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defaultThemeVersion="166925"/>
  <mc:AlternateContent xmlns:mc="http://schemas.openxmlformats.org/markup-compatibility/2006">
    <mc:Choice Requires="x15">
      <x15ac:absPath xmlns:x15ac="http://schemas.microsoft.com/office/spreadsheetml/2010/11/ac" url="https://liveuclac-my.sharepoint.com/personal/dmcbega_ucl_ac_uk/Documents/Desktop/"/>
    </mc:Choice>
  </mc:AlternateContent>
  <xr:revisionPtr revIDLastSave="0" documentId="8_{4CFDDF77-A38C-4EE6-9D09-2D3B5CB1A0F6}" xr6:coauthVersionLast="47" xr6:coauthVersionMax="47" xr10:uidLastSave="{00000000-0000-0000-0000-000000000000}"/>
  <bookViews>
    <workbookView xWindow="30210" yWindow="1320" windowWidth="25440" windowHeight="14010" activeTab="1" xr2:uid="{E93C6F6A-5B32-324C-86C5-261F57036611}"/>
    <workbookView xWindow="390" yWindow="390" windowWidth="25440" windowHeight="14010" activeTab="1" xr2:uid="{F577B882-78EE-4CA6-B54A-8C09A01D89F5}"/>
    <workbookView xWindow="1080" yWindow="1080" windowWidth="25440" windowHeight="14010" xr2:uid="{11318A7A-70BB-48A9-B835-AA72219961F8}"/>
    <workbookView xWindow="29910" yWindow="9945" windowWidth="25440" windowHeight="14010" firstSheet="1" activeTab="1" xr2:uid="{765B8624-1B89-46A3-A589-D86D2C2BDB0A}"/>
    <workbookView xWindow="29415" yWindow="225" windowWidth="27165" windowHeight="14010" xr2:uid="{8617D334-6132-418A-9D16-C6BD29C3CBD1}"/>
  </bookViews>
  <sheets>
    <sheet name="mutation data " sheetId="1" r:id="rId1"/>
    <sheet name="Summary statistics" sheetId="2" r:id="rId2"/>
    <sheet name="status uncertain" sheetId="7" r:id="rId3"/>
  </sheets>
  <definedNames>
    <definedName name="_xlnm.Print_Area" localSheetId="1">'Summary statistics'!$A$1:$R$29</definedName>
  </definedNames>
  <calcPr calcId="191028" concurrentCalc="0"/>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9" i="2" l="1"/>
  <c r="H19" i="2"/>
  <c r="C19" i="2"/>
  <c r="L16" i="2"/>
  <c r="N7" i="2"/>
  <c r="O7" i="2"/>
  <c r="B19" i="2"/>
  <c r="R13" i="2"/>
  <c r="O16" i="2"/>
  <c r="G19" i="2"/>
  <c r="F19" i="2"/>
  <c r="E19" i="2"/>
  <c r="D19" i="2"/>
  <c r="N16" i="2"/>
  <c r="M16" i="2"/>
  <c r="K16" i="2"/>
  <c r="J16" i="2"/>
  <c r="I16" i="2"/>
  <c r="H16" i="2"/>
  <c r="G16" i="2"/>
  <c r="F16" i="2"/>
  <c r="E16" i="2"/>
  <c r="D16" i="2"/>
  <c r="C16" i="2"/>
  <c r="B16" i="2"/>
  <c r="Q13" i="2"/>
  <c r="P13" i="2"/>
  <c r="O13" i="2"/>
  <c r="N13" i="2"/>
  <c r="M13" i="2"/>
  <c r="L13" i="2"/>
  <c r="K13" i="2"/>
  <c r="J13" i="2"/>
  <c r="I13" i="2"/>
  <c r="H13" i="2"/>
  <c r="G13" i="2"/>
  <c r="F13" i="2"/>
  <c r="E13" i="2"/>
  <c r="D13" i="2"/>
  <c r="C13" i="2"/>
  <c r="B13" i="2"/>
  <c r="J10" i="2"/>
  <c r="I10" i="2"/>
  <c r="H10" i="2"/>
  <c r="G10" i="2"/>
  <c r="F10" i="2"/>
  <c r="E10" i="2"/>
  <c r="D10" i="2"/>
  <c r="C10" i="2"/>
  <c r="B10" i="2"/>
  <c r="M7" i="2"/>
  <c r="L7" i="2"/>
  <c r="K7" i="2"/>
  <c r="J7" i="2"/>
  <c r="I7" i="2"/>
  <c r="H7" i="2"/>
  <c r="G7" i="2"/>
  <c r="F7" i="2"/>
  <c r="E7" i="2"/>
  <c r="D7" i="2"/>
  <c r="C7" i="2"/>
  <c r="B7" i="2"/>
  <c r="E4" i="2"/>
  <c r="D4" i="2"/>
  <c r="C4" i="2"/>
  <c r="B4" i="2"/>
  <c r="B1" i="2"/>
  <c r="A4" i="2"/>
  <c r="A7" i="2"/>
  <c r="F8" i="2"/>
  <c r="A19" i="2"/>
  <c r="A16" i="2"/>
  <c r="A13" i="2"/>
  <c r="A10" i="2"/>
  <c r="A20" i="2"/>
  <c r="N8" i="2"/>
  <c r="M8" i="2"/>
  <c r="J8" i="2"/>
  <c r="I8" i="2"/>
  <c r="L8" i="2"/>
  <c r="K8" i="2"/>
  <c r="H8" i="2"/>
  <c r="G8" i="2"/>
  <c r="B5" i="2"/>
  <c r="C5" i="2"/>
  <c r="D5" i="2"/>
  <c r="E5" i="2"/>
  <c r="B11" i="2"/>
  <c r="C11" i="2"/>
  <c r="D11" i="2"/>
  <c r="E11" i="2"/>
  <c r="F11" i="2"/>
  <c r="G11" i="2"/>
  <c r="H11" i="2"/>
  <c r="I11" i="2"/>
  <c r="J11" i="2"/>
  <c r="B8" i="2"/>
  <c r="C8" i="2"/>
  <c r="D8" i="2"/>
  <c r="E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tc={EE777CC2-2030-9B4C-B4EF-4D66B3F5D779}</author>
    <author>tc={4287448B-D3FB-404E-90C6-B71CA5FA777D}</author>
  </authors>
  <commentList>
    <comment ref="C5" authorId="0" shapeId="0" xr:uid="{AF705FFE-980C-4C43-96F8-235DB58864F8}">
      <text>
        <r>
          <rPr>
            <b/>
            <sz val="10"/>
            <color rgb="FF000000"/>
            <rFont val="Tahoma"/>
            <family val="2"/>
          </rPr>
          <t>Microsoft Office User:</t>
        </r>
        <r>
          <rPr>
            <sz val="10"/>
            <color rgb="FF000000"/>
            <rFont val="Tahoma"/>
            <family val="2"/>
          </rPr>
          <t xml:space="preserve">
</t>
        </r>
        <r>
          <rPr>
            <sz val="10"/>
            <color rgb="FF000000"/>
            <rFont val="Tahoma"/>
            <family val="2"/>
          </rPr>
          <t>Mirza et al gives position as c.791_1056 del</t>
        </r>
      </text>
    </comment>
    <comment ref="L5" authorId="1" shapeId="0" xr:uid="{EE777CC2-2030-9B4C-B4EF-4D66B3F5D779}">
      <text>
        <t>[Threaded comment]
Your version of Excel allows you to read this threaded comment; however, any edits to it will get removed if the file is opened in a newer version of Excel. Learn more: https://go.microsoft.com/fwlink/?linkid=870924
Comment:
    Position given in LOVD</t>
      </text>
    </comment>
    <comment ref="L9" authorId="2" shapeId="0" xr:uid="{4287448B-D3FB-404E-90C6-B71CA5FA777D}">
      <text>
        <t>[Threaded comment]
Your version of Excel allows you to read this threaded comment; however, any edits to it will get removed if the file is opened in a newer version of Excel. Learn more: https://go.microsoft.com/fwlink/?linkid=870924
Comment:
    location given in LOVD; likely GRCH37</t>
      </text>
    </comment>
  </commentList>
</comments>
</file>

<file path=xl/sharedStrings.xml><?xml version="1.0" encoding="utf-8"?>
<sst xmlns="http://schemas.openxmlformats.org/spreadsheetml/2006/main" count="1661" uniqueCount="803">
  <si>
    <t>Gene Symbol</t>
  </si>
  <si>
    <t>CLN3</t>
  </si>
  <si>
    <t>Gene ID</t>
  </si>
  <si>
    <t>Chromosomal Location</t>
  </si>
  <si>
    <t>16p12.1</t>
  </si>
  <si>
    <t>Genomic RefSeqGene</t>
  </si>
  <si>
    <t>NG_008654.2</t>
  </si>
  <si>
    <t>32641 bp</t>
  </si>
  <si>
    <t>Transcript RefSeq</t>
  </si>
  <si>
    <t>NM_001042432.2</t>
  </si>
  <si>
    <t>1685 bp</t>
  </si>
  <si>
    <t>NM_000086.2</t>
  </si>
  <si>
    <t>1879 bp</t>
  </si>
  <si>
    <t>Protein RefSeq</t>
  </si>
  <si>
    <t>NP_001035897.1</t>
  </si>
  <si>
    <t>438 aa</t>
  </si>
  <si>
    <t>NP_000077.1</t>
  </si>
  <si>
    <t>See second tab of spreadsheet for statistics on variants</t>
  </si>
  <si>
    <t>Additional notes</t>
  </si>
  <si>
    <t>Intron/exon numbering updated wrt reference sequence, however please note the multitude of mRNA isoforms, which may be numbered differently. Protein level mutation information assumes simplest case, however in silico analysis of exonic point mutations indicates potential alteration of splicing in some cases , e.g. cln3.066.</t>
  </si>
  <si>
    <t>Identifier</t>
  </si>
  <si>
    <t>Location</t>
  </si>
  <si>
    <t>Nucleotide change</t>
  </si>
  <si>
    <t>Amino acid position</t>
  </si>
  <si>
    <t>Amino acid change</t>
  </si>
  <si>
    <t>Type of Mutation - DNA</t>
  </si>
  <si>
    <t>additional mutation info</t>
  </si>
  <si>
    <t>Predicted functional effect in silico</t>
  </si>
  <si>
    <t>Predicted effect on splicing - exonic variants</t>
  </si>
  <si>
    <t>clinvar classification</t>
  </si>
  <si>
    <t>rs number</t>
  </si>
  <si>
    <t>GRCh38</t>
  </si>
  <si>
    <t>Reference</t>
  </si>
  <si>
    <t>PMID</t>
  </si>
  <si>
    <t>Original description</t>
  </si>
  <si>
    <t>Other notes</t>
  </si>
  <si>
    <t>hgmd reference</t>
  </si>
  <si>
    <t>cln3.001</t>
  </si>
  <si>
    <t>Intron 07 - 09</t>
  </si>
  <si>
    <t>c.461-280_677+382del</t>
  </si>
  <si>
    <t>NA</t>
  </si>
  <si>
    <t>p.(?)</t>
  </si>
  <si>
    <t>deletion</t>
  </si>
  <si>
    <t>complex</t>
  </si>
  <si>
    <t>see notes</t>
  </si>
  <si>
    <t>Pathogenic</t>
  </si>
  <si>
    <t>rs1555468634</t>
  </si>
  <si>
    <t>g.28485965_28486930del</t>
  </si>
  <si>
    <t xml:space="preserve">The International Batten Disease Consortium, 1995                                              </t>
  </si>
  <si>
    <t xml:space="preserve">This deletion mutation was originally believed to stretch 1.02 kb (Batten Disease Consortium, 1995). It was later shown to span 966 bp, and is also called 1kb deletion. In culture, fibroblasts from a homozygous patient express a major transcript of 521 bp and a minor transcript of 408 bp (Kitzmüller, Haines, Codlin, Cutler, &amp; Mole, 2008). The major transcript contains exon 6 spliced to exon 9 and is thought to encode a protein containing the first 153 amino acids of CLN3 plus an additional 28 novel amino acids resulting from an out‐of‐frame RNA sequence at the novel splice site. </t>
  </si>
  <si>
    <t>cln3.002</t>
  </si>
  <si>
    <t>Intron 10 - 14</t>
  </si>
  <si>
    <t>c.790+532_1056+1445del</t>
  </si>
  <si>
    <t>p.(Gly264Valfs*29)</t>
  </si>
  <si>
    <t>uncertain</t>
  </si>
  <si>
    <t>Munroe et al., Am J Hum Genet; 1997</t>
  </si>
  <si>
    <t>2.8 kb deletion or p.(Gly264_Gln352delinsValfs*29) or p.(Gly264_Leu437delinsAlaSerAspSerProAlaSerAlaSerArgValAlaGlyThrThrGly)</t>
  </si>
  <si>
    <t>Amino acid change taken from ClinVar entry; note variance from original description</t>
  </si>
  <si>
    <t>cln3.003</t>
  </si>
  <si>
    <t>?</t>
  </si>
  <si>
    <t>Mitchison et al., Am J Hum Genet, 1995</t>
  </si>
  <si>
    <t>deletion of 6 kb that starts between F2 and F4 and ends between GF1 and R3 primers; i08 - 3' region, unknown 6 kb deletion; Truncated protein. Cannot be validated; variant span is outside sequence bounds. Neither nucleotide position corresponds to current intronic boundaries</t>
  </si>
  <si>
    <t>CG952289</t>
  </si>
  <si>
    <t>cln3.004</t>
  </si>
  <si>
    <t>Intron 08</t>
  </si>
  <si>
    <t>c.533+1G&gt;C</t>
  </si>
  <si>
    <t>substitution</t>
  </si>
  <si>
    <t>splice donor variant</t>
  </si>
  <si>
    <t>most probably affecting splicing</t>
  </si>
  <si>
    <t>likely pathogenic</t>
  </si>
  <si>
    <t>rs386833728</t>
  </si>
  <si>
    <t>670+1G&gt;C; c.533+1G&gt;C splice defect</t>
  </si>
  <si>
    <t>cln3.005</t>
  </si>
  <si>
    <t>Exon 06</t>
  </si>
  <si>
    <t>c.302T&gt;C</t>
  </si>
  <si>
    <t>p.(Leu101Pro)</t>
  </si>
  <si>
    <t>missense</t>
  </si>
  <si>
    <t>Probably damaging</t>
  </si>
  <si>
    <t>no significant impact on splicing signals</t>
  </si>
  <si>
    <t>rs386833714</t>
  </si>
  <si>
    <t>CM970329</t>
  </si>
  <si>
    <t>cln3.006</t>
  </si>
  <si>
    <t>Exon 07</t>
  </si>
  <si>
    <t xml:space="preserve"> c.378_379dup</t>
  </si>
  <si>
    <t>p.(Arg127fs)</t>
  </si>
  <si>
    <t>duplication</t>
  </si>
  <si>
    <t>frameshift</t>
  </si>
  <si>
    <t>rs386833717</t>
  </si>
  <si>
    <t>g.28487540_28487541dup</t>
  </si>
  <si>
    <t>p.(Arg127Profs*55)</t>
  </si>
  <si>
    <t xml:space="preserve">formerly c.374-375insCC in Munroe et al 1997, and described as p.Val128GlyfsX54 in Kousi et al 2012, p.(Arg127Profs*55) </t>
  </si>
  <si>
    <t>cln3.007</t>
  </si>
  <si>
    <t>c.424del</t>
  </si>
  <si>
    <t>p.(Val142fs)</t>
  </si>
  <si>
    <t>new acceptor splice site</t>
  </si>
  <si>
    <t>pathogenic</t>
  </si>
  <si>
    <t>rs386833720</t>
  </si>
  <si>
    <t xml:space="preserve">Munroe et al., Am J Hum Genet; 1997; </t>
  </si>
  <si>
    <t>described as p.Val142LeufsX39 in Kousi et al 2012 p.(Val142Leufs*39)</t>
  </si>
  <si>
    <t>cln3.008</t>
  </si>
  <si>
    <t>Intron 06</t>
  </si>
  <si>
    <t>c.461-13G&gt;C</t>
  </si>
  <si>
    <t>rs386833721</t>
  </si>
  <si>
    <t>p.[=, Val155Profs*2]</t>
  </si>
  <si>
    <t>splice defect (confirmed by RT-PCR).  Sometimes aberrant splicing to give truncated protein p.Gly154fsX2; IVS6-13G&gt;C: two transcripts: normal and one with exon 7 missing. However, predicted functional effect from HSF is no significant impact on splicing signals.</t>
  </si>
  <si>
    <t>cln3.009</t>
  </si>
  <si>
    <t>Exon 08</t>
  </si>
  <si>
    <t>c.482C&gt;G</t>
  </si>
  <si>
    <t>p.(Ser161*)</t>
  </si>
  <si>
    <t>nonsense</t>
  </si>
  <si>
    <t>rs386833724</t>
  </si>
  <si>
    <t>cln3.010</t>
  </si>
  <si>
    <t>c.485C&gt;G</t>
  </si>
  <si>
    <t>p.(Ser162*)</t>
  </si>
  <si>
    <t>rs386833725</t>
  </si>
  <si>
    <t>cln3.011</t>
  </si>
  <si>
    <t>c.509T&gt;C</t>
  </si>
  <si>
    <t>p.(Leu170Pro)</t>
  </si>
  <si>
    <t>rs386833727</t>
  </si>
  <si>
    <t>cln3.012</t>
  </si>
  <si>
    <t>Exon 09</t>
  </si>
  <si>
    <t>c.558_559del</t>
  </si>
  <si>
    <t>p.(Gly187fs)</t>
  </si>
  <si>
    <t>new donor splice site; new acceptor splice site</t>
  </si>
  <si>
    <t>rs386833729</t>
  </si>
  <si>
    <t>cln3.013</t>
  </si>
  <si>
    <t>c.586dup</t>
  </si>
  <si>
    <t>p.(Ala196Glyfs*40)</t>
  </si>
  <si>
    <t>CI972580</t>
  </si>
  <si>
    <t>cln3.014</t>
  </si>
  <si>
    <t>c.631C&gt;T</t>
  </si>
  <si>
    <t>p.(Gln211*)</t>
  </si>
  <si>
    <t>Alteration of auxiliary sequences</t>
  </si>
  <si>
    <t>rs386833737</t>
  </si>
  <si>
    <t>cln3.015</t>
  </si>
  <si>
    <t>Exon 12</t>
  </si>
  <si>
    <t>c.883G&gt;A</t>
  </si>
  <si>
    <t>p.(Glu295Lys)</t>
  </si>
  <si>
    <t>Benign</t>
  </si>
  <si>
    <t>rs121434286</t>
  </si>
  <si>
    <t>This is not a common variant; &lt;0.001 total (ALFA); &lt;0.01% 1000 genomes;</t>
  </si>
  <si>
    <t>cln3.016</t>
  </si>
  <si>
    <t>Exon 13</t>
  </si>
  <si>
    <t>c.944dup</t>
  </si>
  <si>
    <t>p.(His315fs)</t>
  </si>
  <si>
    <t>rs386833740</t>
  </si>
  <si>
    <t>c.944-945insA</t>
  </si>
  <si>
    <t>cln3.017</t>
  </si>
  <si>
    <t>Exon 14</t>
  </si>
  <si>
    <t>c.979C&gt;T</t>
  </si>
  <si>
    <t>p.(Gln327*)</t>
  </si>
  <si>
    <t>rs386833743</t>
  </si>
  <si>
    <t>cln3.018</t>
  </si>
  <si>
    <t>c.988G&gt;T</t>
  </si>
  <si>
    <t>p.(Val330Phe)</t>
  </si>
  <si>
    <t>rs386833744</t>
  </si>
  <si>
    <t>cln3.019</t>
  </si>
  <si>
    <t>c.1000C&gt;T</t>
  </si>
  <si>
    <t>p.(Arg334Cys)</t>
  </si>
  <si>
    <t>pathogenic / likely pathogenic</t>
  </si>
  <si>
    <t>rs386833694</t>
  </si>
  <si>
    <t>cln3.020</t>
  </si>
  <si>
    <t>c.1001G&gt;A</t>
  </si>
  <si>
    <t>p.(Arg334His)</t>
  </si>
  <si>
    <t>rs386833695</t>
  </si>
  <si>
    <t>cln3.021</t>
  </si>
  <si>
    <t>c.1054C&gt;T</t>
  </si>
  <si>
    <t>p.(Gln352*)</t>
  </si>
  <si>
    <t>Alteration of auxiliary sequences; broken WT donor site; new donor splice site</t>
  </si>
  <si>
    <t>rs386833697</t>
  </si>
  <si>
    <t xml:space="preserve">Gomes-Giro et al. 2019 show that this mutation causes a novel splicing variant PMID: 31888773 </t>
  </si>
  <si>
    <t>cln3.022</t>
  </si>
  <si>
    <t>Intron 15</t>
  </si>
  <si>
    <t>c.1198-1G&gt;T</t>
  </si>
  <si>
    <t>splice acceptor variant</t>
  </si>
  <si>
    <t>rs386833702</t>
  </si>
  <si>
    <t>splice defect (confirmed by RT-PCR)</t>
  </si>
  <si>
    <t>cln3.023</t>
  </si>
  <si>
    <t>Exon 16</t>
  </si>
  <si>
    <t>c.1272del</t>
  </si>
  <si>
    <t>p.(Leu425fs)</t>
  </si>
  <si>
    <t>new donor splice site</t>
  </si>
  <si>
    <t>rs386833707</t>
  </si>
  <si>
    <t>cln3.024</t>
  </si>
  <si>
    <t>Intron 07</t>
  </si>
  <si>
    <t>c.461-1G&gt;A</t>
  </si>
  <si>
    <t>rs386833722</t>
  </si>
  <si>
    <t>g.28486651C&gt;G</t>
  </si>
  <si>
    <t>Kousi et al., Hum Mutat, 2012</t>
  </si>
  <si>
    <t>number previously used for a different variant</t>
  </si>
  <si>
    <t>cln3.025</t>
  </si>
  <si>
    <t>c.622dup</t>
  </si>
  <si>
    <t>p.(Ser208Phefs*28)</t>
  </si>
  <si>
    <t>activation of cryptic acceptor site</t>
  </si>
  <si>
    <t>rs386833736</t>
  </si>
  <si>
    <t>Pérez-Poyato et al., J Inherit Metab Dis 2011</t>
  </si>
  <si>
    <t>cln3.026</t>
  </si>
  <si>
    <t>Exon 15</t>
  </si>
  <si>
    <t>c.1127del</t>
  </si>
  <si>
    <t xml:space="preserve"> p.(Leu376Argfs*) </t>
  </si>
  <si>
    <t>rs2046022108</t>
  </si>
  <si>
    <t>g.28477807del</t>
  </si>
  <si>
    <t>Gilani et al., 2021</t>
  </si>
  <si>
    <t>cln3.029</t>
  </si>
  <si>
    <t>c.597C&gt;A</t>
  </si>
  <si>
    <t>p.(Tyr199*)</t>
  </si>
  <si>
    <t>rs267606737</t>
  </si>
  <si>
    <t>Sarpong et al., Clin Genet, 2009</t>
  </si>
  <si>
    <t>cln3.030</t>
  </si>
  <si>
    <t>Intron 03</t>
  </si>
  <si>
    <t>c.126-1G&gt;A</t>
  </si>
  <si>
    <t>rs386833705</t>
  </si>
  <si>
    <t>cln3.031</t>
  </si>
  <si>
    <t>c.560G&gt;C</t>
  </si>
  <si>
    <t>p.(Gly187Ala)</t>
  </si>
  <si>
    <t>probable pathogenic</t>
  </si>
  <si>
    <t>rs386833730</t>
  </si>
  <si>
    <t>g.28486464C&gt;G</t>
  </si>
  <si>
    <t>Kousi et al., Hum Mutat, 2011</t>
  </si>
  <si>
    <t>CM011758</t>
  </si>
  <si>
    <t>cln3.032</t>
  </si>
  <si>
    <t>c.1195G&gt;T</t>
  </si>
  <si>
    <t>p.(Glu399*)</t>
  </si>
  <si>
    <t>Alteration of auxiliary sequences; new donor splice site</t>
  </si>
  <si>
    <t>rs386833701</t>
  </si>
  <si>
    <t>g.28477739C&gt;A</t>
  </si>
  <si>
    <t>27-bp deletion</t>
  </si>
  <si>
    <t>cln3.035</t>
  </si>
  <si>
    <t>c.883G&gt;T</t>
  </si>
  <si>
    <t>p.(Glu295*)</t>
  </si>
  <si>
    <t> rs121434286</t>
  </si>
  <si>
    <t>g.28482500C&gt;A</t>
  </si>
  <si>
    <t xml:space="preserve">Kousi et al., Hum Mutat, 2012 </t>
  </si>
  <si>
    <t>CM003663</t>
  </si>
  <si>
    <t>cln3.036</t>
  </si>
  <si>
    <t>Exon 02</t>
  </si>
  <si>
    <t>c.105G&gt;A</t>
  </si>
  <si>
    <t>p.(Trp35*)</t>
  </si>
  <si>
    <t>rs386833700</t>
  </si>
  <si>
    <t>g.28491502C&gt;T</t>
  </si>
  <si>
    <t>CM052841</t>
  </si>
  <si>
    <t>cln3.037</t>
  </si>
  <si>
    <t>c.370dup</t>
  </si>
  <si>
    <t>p.(Tyr124fs)</t>
  </si>
  <si>
    <t>rs386833715</t>
  </si>
  <si>
    <t>p.(Tyr124Leufs*36)</t>
  </si>
  <si>
    <t>cln3.038</t>
  </si>
  <si>
    <t>c.472G&gt;C</t>
  </si>
  <si>
    <t>p.(Ala158Pro)</t>
  </si>
  <si>
    <t>rs386833723</t>
  </si>
  <si>
    <t>g.28486639C&gt;G</t>
  </si>
  <si>
    <t>CM052839</t>
  </si>
  <si>
    <t>cln3.039</t>
  </si>
  <si>
    <t>c.482C&gt;T</t>
  </si>
  <si>
    <t>p.(Ser161Leu)</t>
  </si>
  <si>
    <t>Mizobuchi et al., 2020</t>
  </si>
  <si>
    <t>C&gt;G mutation also seen; number previously used for a different variant</t>
  </si>
  <si>
    <t>cln3.040</t>
  </si>
  <si>
    <t>Intron 14</t>
  </si>
  <si>
    <t>c.1056+3A&gt;C</t>
  </si>
  <si>
    <t>rs386833698</t>
  </si>
  <si>
    <t>CS052953</t>
  </si>
  <si>
    <t>cln3.041</t>
  </si>
  <si>
    <t>c.1247A&gt;G</t>
  </si>
  <si>
    <t>p.(Asp416Gly)</t>
  </si>
  <si>
    <t>rs386833703</t>
  </si>
  <si>
    <t>g.28477586T&gt;C</t>
  </si>
  <si>
    <t>CM052840</t>
  </si>
  <si>
    <t>cln3.042</t>
  </si>
  <si>
    <t>c.1056G&gt;C</t>
  </si>
  <si>
    <t>p.(Gln352His)</t>
  </si>
  <si>
    <t>broken WT donor site</t>
  </si>
  <si>
    <t>rs386833699</t>
  </si>
  <si>
    <t>g.28482105C&gt;G</t>
  </si>
  <si>
    <t>Leman et al., Hum Genet, 2005</t>
  </si>
  <si>
    <t>p.Gln352His / splice defect</t>
  </si>
  <si>
    <t>HM040085</t>
  </si>
  <si>
    <t>cln3.120</t>
  </si>
  <si>
    <t>Exon 05</t>
  </si>
  <si>
    <t>c.266G&gt;A</t>
  </si>
  <si>
    <t>p.(Arg89Gln)</t>
  </si>
  <si>
    <t>uncertain significance</t>
  </si>
  <si>
    <t>rs766287694</t>
  </si>
  <si>
    <t>g.28488619C&gt;T</t>
  </si>
  <si>
    <t>Zenteno et al 2020</t>
  </si>
  <si>
    <t>31736247 </t>
  </si>
  <si>
    <t>cln3.043</t>
  </si>
  <si>
    <t>c.533+1G&gt;A</t>
  </si>
  <si>
    <t> rs386833728</t>
  </si>
  <si>
    <t>g.28486577C&gt;T</t>
  </si>
  <si>
    <t>cln3.044</t>
  </si>
  <si>
    <t>c.49G&gt;T</t>
  </si>
  <si>
    <t>p.(Glu17*)</t>
  </si>
  <si>
    <t>Alteration of auxiliary sequences; new donor splice site; new acceptor splice site</t>
  </si>
  <si>
    <t>rs386833726</t>
  </si>
  <si>
    <t>g.28491558C&gt;A</t>
  </si>
  <si>
    <t>Kwon et al., Neurosci Lett., 2005</t>
  </si>
  <si>
    <t>HM040128</t>
  </si>
  <si>
    <t>cln3.045</t>
  </si>
  <si>
    <t>Exon 04</t>
  </si>
  <si>
    <t>c.214C&gt;T</t>
  </si>
  <si>
    <t>p.(Gln72*)</t>
  </si>
  <si>
    <t>Nonsense</t>
  </si>
  <si>
    <t>rs386833709</t>
  </si>
  <si>
    <t>g.28489298G&gt;A</t>
  </si>
  <si>
    <t>cln3.046</t>
  </si>
  <si>
    <t>Intron 04</t>
  </si>
  <si>
    <t>c.222+2T&gt;G</t>
  </si>
  <si>
    <t>rs386833710</t>
  </si>
  <si>
    <t>g.28489288A&gt;C</t>
  </si>
  <si>
    <t>originally IVS3+2T&gt;G</t>
  </si>
  <si>
    <t>cln3.047</t>
  </si>
  <si>
    <t>Intron 12</t>
  </si>
  <si>
    <t>c.906+5G&gt;A</t>
  </si>
  <si>
    <t>rs386833739</t>
  </si>
  <si>
    <t>g.28482472C&gt;T</t>
  </si>
  <si>
    <t>CS003697</t>
  </si>
  <si>
    <t>cln3.048</t>
  </si>
  <si>
    <t>c.461-1G&gt;C</t>
  </si>
  <si>
    <t>cln3.049</t>
  </si>
  <si>
    <t>c.569del</t>
  </si>
  <si>
    <t>p.(Gly190fs)</t>
  </si>
  <si>
    <t>rs386833732</t>
  </si>
  <si>
    <t>Bessa et al., Mol Genet Metab, 2006</t>
  </si>
  <si>
    <t>previously described as c.568delG</t>
  </si>
  <si>
    <t>cln3.050</t>
  </si>
  <si>
    <t>c.379del</t>
  </si>
  <si>
    <t>new acceptor splice site; broken wild type acceptor site</t>
  </si>
  <si>
    <t>g.28487537del</t>
  </si>
  <si>
    <t>cln3.051</t>
  </si>
  <si>
    <t>c.1048del</t>
  </si>
  <si>
    <t>p.(Leu350fs)</t>
  </si>
  <si>
    <t>rs386833696</t>
  </si>
  <si>
    <t>cln3.052</t>
  </si>
  <si>
    <t>c.678-?_1317+?del</t>
  </si>
  <si>
    <t>frameshift / premature truncation. End point of deletion no longer corresponds to an intronic location</t>
  </si>
  <si>
    <t>cln3.053</t>
  </si>
  <si>
    <t>c.222+5G&gt;C</t>
  </si>
  <si>
    <t>rs386833711</t>
  </si>
  <si>
    <t>g.28489285C&gt;G</t>
  </si>
  <si>
    <t>cln3.054</t>
  </si>
  <si>
    <t>c.565G&gt;C</t>
  </si>
  <si>
    <t>p.(Gly189Arg)</t>
  </si>
  <si>
    <t>rs386833731</t>
  </si>
  <si>
    <t>g.28486459C&gt;G</t>
  </si>
  <si>
    <t>Wang et al., 2014</t>
  </si>
  <si>
    <t>cln3.055</t>
  </si>
  <si>
    <t>c.1268C&gt;A</t>
  </si>
  <si>
    <t>p.(Ser423*)</t>
  </si>
  <si>
    <t> rs386833706</t>
  </si>
  <si>
    <t>g.28477565G&gt;T</t>
  </si>
  <si>
    <t>cln3.058</t>
  </si>
  <si>
    <t>c.1A&gt;C</t>
  </si>
  <si>
    <t>Start-loss</t>
  </si>
  <si>
    <t>No significant impact on splicing signals</t>
  </si>
  <si>
    <t>rs386833708</t>
  </si>
  <si>
    <t>Note that HGVS nomenclature does not give p.(Met1) variant</t>
  </si>
  <si>
    <t>cln3.059</t>
  </si>
  <si>
    <t>c.125+5G&gt;A</t>
  </si>
  <si>
    <t>rs386833704</t>
  </si>
  <si>
    <t>cln3.060</t>
  </si>
  <si>
    <t>Intron 13</t>
  </si>
  <si>
    <t>c.963-1G&gt;T</t>
  </si>
  <si>
    <t>rs386833742</t>
  </si>
  <si>
    <t>cln3.061</t>
  </si>
  <si>
    <t>c.233dup</t>
  </si>
  <si>
    <t>p.(Thr80fs)</t>
  </si>
  <si>
    <t>rs386833712</t>
  </si>
  <si>
    <t>g.28488653dup</t>
  </si>
  <si>
    <t>cln3.062</t>
  </si>
  <si>
    <t>c.265C&gt;T</t>
  </si>
  <si>
    <t>p.(Arg89*)</t>
  </si>
  <si>
    <t>rs386833713</t>
  </si>
  <si>
    <t>g.28488620G&gt;A</t>
  </si>
  <si>
    <t>cln3.063</t>
  </si>
  <si>
    <t>c.575G&gt;A</t>
  </si>
  <si>
    <t>p.(Gly192Glu)</t>
  </si>
  <si>
    <t>rs386833733</t>
  </si>
  <si>
    <t>g.28486449C&gt;T</t>
  </si>
  <si>
    <t>cln3.064</t>
  </si>
  <si>
    <t>c.374G&gt;A</t>
  </si>
  <si>
    <t xml:space="preserve">p.(Ser125Asn) </t>
  </si>
  <si>
    <t>splice donor variant; most probably affecting splicing</t>
  </si>
  <si>
    <t> rs386833716</t>
  </si>
  <si>
    <t>g.28487662C&gt;T</t>
  </si>
  <si>
    <t>p.Ser125Asn / splice-site affecting</t>
  </si>
  <si>
    <t>cln3.065</t>
  </si>
  <si>
    <t>c.400T&gt;C</t>
  </si>
  <si>
    <t>p.(Cys134Arg)</t>
  </si>
  <si>
    <t> rs386833719</t>
  </si>
  <si>
    <t>g.28487516A&gt;G</t>
  </si>
  <si>
    <t>No information on frequency for A&gt;G change</t>
  </si>
  <si>
    <t>cln3.066</t>
  </si>
  <si>
    <t>c.582G&gt;T</t>
  </si>
  <si>
    <t>p.(Leu194Leu)</t>
  </si>
  <si>
    <t>likely benign</t>
  </si>
  <si>
    <t>rs386833734</t>
  </si>
  <si>
    <t>This is not a common variant; &lt;0.0001% total (ExAC); 0.0%gnomAD. Significant alteration of ESE / ESS motifs ratio (-8)</t>
  </si>
  <si>
    <t>cln3.067</t>
  </si>
  <si>
    <t>Intron 10</t>
  </si>
  <si>
    <t>c.790+3A&gt;C</t>
  </si>
  <si>
    <t>conflicting interpretations of pathogenicity</t>
  </si>
  <si>
    <t> rs386833738</t>
  </si>
  <si>
    <t>g.28484003T&gt;G</t>
  </si>
  <si>
    <t>frameshift / premature truncation</t>
  </si>
  <si>
    <t>cln3.068</t>
  </si>
  <si>
    <t>c.954_962+18del</t>
  </si>
  <si>
    <t>p.?</t>
  </si>
  <si>
    <t>rs386833741</t>
  </si>
  <si>
    <t>p.Leu313_Trp321del / splice defect</t>
  </si>
  <si>
    <t>cln3.069</t>
  </si>
  <si>
    <t>1.7 Mb microdeletion</t>
  </si>
  <si>
    <t>Pebrel-Richard et al., 2014</t>
  </si>
  <si>
    <t>hemizygous 16p11.2 microdeletion unmasks 1kb mutation in CLN3</t>
  </si>
  <si>
    <t>cln3.070</t>
  </si>
  <si>
    <t>Exon 10</t>
  </si>
  <si>
    <t>c.784A&gt;T</t>
  </si>
  <si>
    <t>p.(Lys262*)</t>
  </si>
  <si>
    <t> rs1064794233</t>
  </si>
  <si>
    <t>g.28484012T&gt;A</t>
  </si>
  <si>
    <t>Coppieters et al., 2014</t>
  </si>
  <si>
    <t>cln3.071</t>
  </si>
  <si>
    <t>c.494G&gt;A</t>
  </si>
  <si>
    <t>p.(Gly165Glu)</t>
  </si>
  <si>
    <t> rs786201028</t>
  </si>
  <si>
    <t>g.28486617C&gt;T</t>
  </si>
  <si>
    <t>Cortese et al., Neurol; 2014</t>
  </si>
  <si>
    <t>cln3.072</t>
  </si>
  <si>
    <t>c.966C&gt;G</t>
  </si>
  <si>
    <t>p.(Tyr322*)</t>
  </si>
  <si>
    <t>(in Pa with blindness only)</t>
  </si>
  <si>
    <t>cln3.073</t>
  </si>
  <si>
    <t>c.868G&gt;T</t>
  </si>
  <si>
    <t>p.(Val290Leu)</t>
  </si>
  <si>
    <t>rs369008702</t>
  </si>
  <si>
    <t>g.28482515C&gt;A</t>
  </si>
  <si>
    <t>blindness ony, age 45y. This is not a common variant; 0% in ALFA</t>
  </si>
  <si>
    <t>cln3.074</t>
  </si>
  <si>
    <t xml:space="preserve">c.1213C&gt;T </t>
  </si>
  <si>
    <t>p.(Arg405Trp)</t>
  </si>
  <si>
    <t>rs139842473</t>
  </si>
  <si>
    <t>Weisschuh et al. 2016</t>
  </si>
  <si>
    <t>Detected by WES in patient with RP</t>
  </si>
  <si>
    <t>cln3.075</t>
  </si>
  <si>
    <t>c.125+1G&gt;C</t>
  </si>
  <si>
    <t>was given as Exon 02 in previous version and also in Mirza et al</t>
  </si>
  <si>
    <t>(in patient with blindness only ~60y)</t>
  </si>
  <si>
    <t>cln3.076</t>
  </si>
  <si>
    <t>c.391A&gt;C</t>
  </si>
  <si>
    <t>p.(Ser131Arg)</t>
  </si>
  <si>
    <t>Possibly damaging</t>
  </si>
  <si>
    <t>cln3.078</t>
  </si>
  <si>
    <t>c.1135_1138del</t>
  </si>
  <si>
    <t>p.(Leu379Metfs*11)</t>
  </si>
  <si>
    <t>new acceptor site</t>
  </si>
  <si>
    <t>Drack et al. 2014, J Child Neurol 28:1112-6</t>
  </si>
  <si>
    <t>p.(Leu379fs)</t>
  </si>
  <si>
    <t>cln3.079</t>
  </si>
  <si>
    <t>c.565G&gt;T</t>
  </si>
  <si>
    <t>p.(Gly189Trp)</t>
  </si>
  <si>
    <t>g.28486459C&gt;A</t>
  </si>
  <si>
    <t>R Williams pers comm</t>
  </si>
  <si>
    <t>cln3.080</t>
  </si>
  <si>
    <t>c.816_817del</t>
  </si>
  <si>
    <t>predicted frameshift</t>
  </si>
  <si>
    <t xml:space="preserve"> NA</t>
  </si>
  <si>
    <t>rs886041546</t>
  </si>
  <si>
    <t>cln3.081</t>
  </si>
  <si>
    <t>c.1045_1050del</t>
  </si>
  <si>
    <t xml:space="preserve">p.(Ala349_Leu350del) </t>
  </si>
  <si>
    <t>Deletion</t>
  </si>
  <si>
    <t>broken wild type donor site</t>
  </si>
  <si>
    <t xml:space="preserve">Licchetta et al. 2015 </t>
  </si>
  <si>
    <t xml:space="preserve">six-nucleotide deletion predicted to result in the deletion of two amino acids in the sixth transmembrane domain of the protein. </t>
  </si>
  <si>
    <t>cln3.082</t>
  </si>
  <si>
    <t>c.853A&gt;G</t>
  </si>
  <si>
    <t>p.(Ile285Val)</t>
  </si>
  <si>
    <t>rs748844685</t>
  </si>
  <si>
    <t>g.28482530T&gt;C</t>
  </si>
  <si>
    <t>Carss et al. 2017</t>
  </si>
  <si>
    <t>This is not a common variant; &lt;0.00008% total (ExAC); 0.00004% gnomAD</t>
  </si>
  <si>
    <t>cln3.084</t>
  </si>
  <si>
    <t>c.988G&gt;A</t>
  </si>
  <si>
    <t>p.(Val330Ile)</t>
  </si>
  <si>
    <t>g.28482173C&gt;T</t>
  </si>
  <si>
    <t>cln3.086</t>
  </si>
  <si>
    <t>c.1056+34C&gt;A</t>
  </si>
  <si>
    <t>Goebel HH et al 1975</t>
  </si>
  <si>
    <t>paraffin block muscle specimen. Heterozygous with 1kb deletion</t>
  </si>
  <si>
    <t>cln3.087</t>
  </si>
  <si>
    <t>Intron 11</t>
  </si>
  <si>
    <t>c.837+5G&gt;A</t>
  </si>
  <si>
    <t> rs756848924</t>
  </si>
  <si>
    <t>Ku et al., 2017</t>
  </si>
  <si>
    <t>cln3.088</t>
  </si>
  <si>
    <t>c.461-3C&gt;G</t>
  </si>
  <si>
    <t>g.28486653G&gt;C</t>
  </si>
  <si>
    <t>cln3.089</t>
  </si>
  <si>
    <t>c.917T&gt;A</t>
  </si>
  <si>
    <t>p.(Leu306His)</t>
  </si>
  <si>
    <t>probably damaging</t>
  </si>
  <si>
    <t>g.28482372A&gt;T</t>
  </si>
  <si>
    <t>cln3.091</t>
  </si>
  <si>
    <t>c.375-3C&gt;G</t>
  </si>
  <si>
    <t>g.28487544G&gt;C</t>
  </si>
  <si>
    <t>cln3.092</t>
  </si>
  <si>
    <t>c.181_183del</t>
  </si>
  <si>
    <t>(p.Asp61del) </t>
  </si>
  <si>
    <t>rs1567262955 </t>
  </si>
  <si>
    <t>g.28489331_28489333del</t>
  </si>
  <si>
    <t>Sher et al. 2019</t>
  </si>
  <si>
    <t>cln3.093</t>
  </si>
  <si>
    <t>c.906+6T&gt;G </t>
  </si>
  <si>
    <t xml:space="preserve">rs1422519311 </t>
  </si>
  <si>
    <t>g.28482471A&gt;C</t>
  </si>
  <si>
    <t>Lau et al 2018</t>
  </si>
  <si>
    <t>c.DNA products seen: r.838_906del; p. (Gly280_Leu302del) and r.838_906delinsguucggaugauggcuggg; p. (Gly280_Leu302delinsValArgMetMetAlaGly). r.837_838ins80; p.(Gly280ValfsTer37)</t>
  </si>
  <si>
    <t>cln3.094</t>
  </si>
  <si>
    <t>c.906+15C&gt;G</t>
  </si>
  <si>
    <t>g.28482462G&gt;C</t>
  </si>
  <si>
    <t>Smirnov et al. 2021</t>
  </si>
  <si>
    <t>cln3.095</t>
  </si>
  <si>
    <t>c.443_445del</t>
  </si>
  <si>
    <t>p.(Val148del)</t>
  </si>
  <si>
    <t>rs752130042 </t>
  </si>
  <si>
    <t>g.28487472_28487474del </t>
  </si>
  <si>
    <t>cln3.096</t>
  </si>
  <si>
    <t>c.1225A&gt;G</t>
  </si>
  <si>
    <t>p.(Met409Leu)</t>
  </si>
  <si>
    <t>Alteration of auxiliary sequences; new acceptor splice site</t>
  </si>
  <si>
    <t>rs776443981</t>
  </si>
  <si>
    <t>g.28477608T&gt;G</t>
  </si>
  <si>
    <t>cln3.097</t>
  </si>
  <si>
    <t>c.938T&gt;C</t>
  </si>
  <si>
    <t>p.(Leu313Pro)</t>
  </si>
  <si>
    <t>rs141816714</t>
  </si>
  <si>
    <t>g.28482351A&gt;G</t>
  </si>
  <si>
    <t>cln3.098</t>
  </si>
  <si>
    <t>c.175G&gt;A </t>
  </si>
  <si>
    <t>p.(Ala59Thr)</t>
  </si>
  <si>
    <t xml:space="preserve">rs765893479 </t>
  </si>
  <si>
    <t>g.28489337C&gt;T</t>
  </si>
  <si>
    <t>Chen et al., 2019</t>
  </si>
  <si>
    <t>cln3.099</t>
  </si>
  <si>
    <t>c.461-24_677+27del</t>
  </si>
  <si>
    <t>g.28486321_28486675del</t>
  </si>
  <si>
    <t>pers comm from parent</t>
  </si>
  <si>
    <t>cln3.100</t>
  </si>
  <si>
    <t>c.1003T&gt;C</t>
  </si>
  <si>
    <t>p.(Ser335Pro)</t>
  </si>
  <si>
    <t>rs1567257016</t>
  </si>
  <si>
    <t xml:space="preserve">no frequency data. Mother reportedly carries Ser335Tyr mutation, although this would mean c.1004 was C&gt;A change, or something other than a single point mutation </t>
  </si>
  <si>
    <t>cln3.104</t>
  </si>
  <si>
    <t xml:space="preserve">c.1151T&gt;C </t>
  </si>
  <si>
    <t>p.(Leu384Pro)</t>
  </si>
  <si>
    <t xml:space="preserve">rs770221497 </t>
  </si>
  <si>
    <t>g.28477783A&gt;G</t>
  </si>
  <si>
    <t>Radke et al.</t>
  </si>
  <si>
    <t>very rare</t>
  </si>
  <si>
    <t>cln3.106</t>
  </si>
  <si>
    <t>c.482C&gt;A</t>
  </si>
  <si>
    <t>p.(Ser161Ter)</t>
  </si>
  <si>
    <t>rs1328657534</t>
  </si>
  <si>
    <t>g.28486629G&gt;T</t>
  </si>
  <si>
    <t>Pers comm Rus</t>
  </si>
  <si>
    <t>cln3.107</t>
  </si>
  <si>
    <t>c.678_790del</t>
  </si>
  <si>
    <t>p.(Ser226ArgfsTer36)</t>
  </si>
  <si>
    <t>broken wild type donor site; new acceptor splice site; new donor splice site</t>
  </si>
  <si>
    <t>g.28484008_28484120del</t>
  </si>
  <si>
    <t>cln3.108</t>
  </si>
  <si>
    <t>c.906+2T&gt;A</t>
  </si>
  <si>
    <t>rs771788391</t>
  </si>
  <si>
    <t>g.28482475A&gt;T</t>
  </si>
  <si>
    <t>Two separate ClinVar entries - one gives likely pathogenic</t>
  </si>
  <si>
    <t>cln3.109</t>
  </si>
  <si>
    <t>Exon 11 - 17</t>
  </si>
  <si>
    <t>not described</t>
  </si>
  <si>
    <t>pers comm Godoy</t>
  </si>
  <si>
    <t>cln3.110</t>
  </si>
  <si>
    <t>intron 15</t>
  </si>
  <si>
    <t>c.1059C&gt;A</t>
  </si>
  <si>
    <t>p.(Cys353*)</t>
  </si>
  <si>
    <t>rs1057516677</t>
  </si>
  <si>
    <t>Variant Validator gives intronic location</t>
  </si>
  <si>
    <t>cln3.111</t>
  </si>
  <si>
    <t>c.875A&gt;G</t>
  </si>
  <si>
    <t>p.(Tyr292Cys)</t>
  </si>
  <si>
    <t>rs755402909</t>
  </si>
  <si>
    <t>pers comm Ma</t>
  </si>
  <si>
    <t>cln3.112</t>
  </si>
  <si>
    <t>c.461-178_677+384del</t>
  </si>
  <si>
    <t>g.28485966_28486831del</t>
  </si>
  <si>
    <t>Stone et al. 2018</t>
  </si>
  <si>
    <t>described as deletions of exons 9 &amp; 10 in paper</t>
  </si>
  <si>
    <t>cln3.113</t>
  </si>
  <si>
    <t>c.303_305del</t>
  </si>
  <si>
    <t>p.(Leu102del)</t>
  </si>
  <si>
    <t>described as Leu101delCCT</t>
  </si>
  <si>
    <t>cln3.114</t>
  </si>
  <si>
    <t>c.372C&gt;T</t>
  </si>
  <si>
    <t>p.(Tyr124=)</t>
  </si>
  <si>
    <t>synonymous</t>
  </si>
  <si>
    <t>Alteration of auxiliary sequences; broken WT donor site</t>
  </si>
  <si>
    <t>g.28487664G&gt;A</t>
  </si>
  <si>
    <t>pers comm Arno</t>
  </si>
  <si>
    <r>
      <rPr>
        <sz val="11"/>
        <color rgb="FF000000"/>
        <rFont val="Calibri"/>
        <family val="2"/>
        <scheme val="minor"/>
      </rPr>
      <t xml:space="preserve">exon skipping demonstrated </t>
    </r>
    <r>
      <rPr>
        <i/>
        <sz val="11"/>
        <color rgb="FF000000"/>
        <rFont val="Calibri"/>
        <family val="2"/>
        <scheme val="minor"/>
      </rPr>
      <t>in vitro</t>
    </r>
  </si>
  <si>
    <t>cln3.115</t>
  </si>
  <si>
    <t>c.1256G&gt;A</t>
  </si>
  <si>
    <t>p.(Gly419Glu)</t>
  </si>
  <si>
    <t xml:space="preserve">Griffith et al. </t>
  </si>
  <si>
    <t>PMC9407983</t>
  </si>
  <si>
    <t>cln3.116</t>
  </si>
  <si>
    <t>c.1274_1275del</t>
  </si>
  <si>
    <t>p.(Leu425Profs</t>
  </si>
  <si>
    <t>g.28477559_28477560del</t>
  </si>
  <si>
    <t>Panejeshahi et al. 2023</t>
  </si>
  <si>
    <t>cln3.117</t>
  </si>
  <si>
    <t>Intron 09 - 10</t>
  </si>
  <si>
    <t>c.677+883_791–328del</t>
  </si>
  <si>
    <t>Wen et al. 2023</t>
  </si>
  <si>
    <t>cln3.118</t>
  </si>
  <si>
    <t>c.1168G&gt;A</t>
  </si>
  <si>
    <t>p.(Val390Met)</t>
  </si>
  <si>
    <t>rs777383109</t>
  </si>
  <si>
    <t>g.28477766C&gt;T</t>
  </si>
  <si>
    <t>rare TOPMED 0.00001</t>
  </si>
  <si>
    <t>cln3.119</t>
  </si>
  <si>
    <t>c.963G&gt;A</t>
  </si>
  <si>
    <t>p.(Trp321Ter)</t>
  </si>
  <si>
    <t>Substitution</t>
  </si>
  <si>
    <t>g.28482198C&gt;T</t>
  </si>
  <si>
    <t>Jilani et al. 2019</t>
  </si>
  <si>
    <t>c.1174_1175del</t>
  </si>
  <si>
    <t>p.(Thr392Leufs*)</t>
  </si>
  <si>
    <t>g.28477761_28477762del</t>
  </si>
  <si>
    <t>Di Fruscio et al. 2015</t>
  </si>
  <si>
    <t>NM_001042432.2:c.1173_1174del ;  p.(Thr392Leufs*)</t>
  </si>
  <si>
    <t>From VariantValidator: NM_001042432.2:c.1173_1174del automapped to NM_001042432.2:c.1174_1175delAC</t>
  </si>
  <si>
    <t>Variant reference (AT) does not agree with reference sequence (CA)</t>
  </si>
  <si>
    <t>Total</t>
  </si>
  <si>
    <t>Notes</t>
  </si>
  <si>
    <t>Recommended mutation nomenclature followed (http://www.hgvs.org/rec.html)</t>
  </si>
  <si>
    <t>Polyphen and/or SIFT used to predict functional effects</t>
  </si>
  <si>
    <t xml:space="preserve">C - around birth, I -  infantile (6-18 mo), LI - late infantile (2-4 yr), vLI - variant late infantile, J - juvenile (5-10 yr), A - adult </t>
  </si>
  <si>
    <t>GROD - Granular osmiophilic deposits, CL - Curvilinear, RL- Rectilinear, FP - Fingerprint, condensed</t>
  </si>
  <si>
    <t>See dbSNP for more short genetic variations</t>
  </si>
  <si>
    <t>Frameshift amino acid change nomenclature amended for all variants</t>
  </si>
  <si>
    <t>Exon 11</t>
  </si>
  <si>
    <t>g.28477577C&gt;T</t>
  </si>
  <si>
    <t>g.28482173C&gt;A</t>
  </si>
  <si>
    <t>g.28482647_28482648del</t>
  </si>
  <si>
    <t>g.28487733_28487735del</t>
  </si>
  <si>
    <t>g.28477797_28477800del</t>
  </si>
  <si>
    <t>NC_000016.9:g.28489087C&gt;T</t>
  </si>
  <si>
    <t>Number of mutations</t>
  </si>
  <si>
    <t>Count of mutation types</t>
  </si>
  <si>
    <t>Other mutation information</t>
  </si>
  <si>
    <t>Missense</t>
  </si>
  <si>
    <t>splice donor variant*</t>
  </si>
  <si>
    <t>splice acceptor variant*</t>
  </si>
  <si>
    <t>start-loss</t>
  </si>
  <si>
    <t>alteration of auxiliary sequences*</t>
  </si>
  <si>
    <t>no significant impact on splicing signals*</t>
  </si>
  <si>
    <t>Clinvar classification</t>
  </si>
  <si>
    <t>Pathogenic/likely pathogenic</t>
  </si>
  <si>
    <t>NA (not in ClinVar)</t>
  </si>
  <si>
    <t>probably pathogenic</t>
  </si>
  <si>
    <t>Conflicting</t>
  </si>
  <si>
    <t>ND</t>
  </si>
  <si>
    <t>Exon/Intron</t>
  </si>
  <si>
    <t>Promoter</t>
  </si>
  <si>
    <t>Exon 01</t>
  </si>
  <si>
    <t>Exon 03</t>
  </si>
  <si>
    <t>Intron 02</t>
  </si>
  <si>
    <t>Intron 05</t>
  </si>
  <si>
    <t>Intron 09</t>
  </si>
  <si>
    <t>Exon 01 - 02</t>
  </si>
  <si>
    <t>NOTES</t>
  </si>
  <si>
    <t>Mutation types</t>
  </si>
  <si>
    <t>These are at the DNA level (see https://varnomen.hgvs.org)</t>
  </si>
  <si>
    <t>This is at protein or RNA level (see https://varnomen.hgvs.org)</t>
  </si>
  <si>
    <t>This is as reported at the time that the variant is added to the table. Clinvar is constantly updated, so this information is subject to change.</t>
  </si>
  <si>
    <t>* note that in the NCL database, exonic mutations are not generally analysed for effect on splicing. However CLN3 has multiple transcripts, and so the process of analysing exonic variants is underway; unfortunately this is not complete at time of publishing this table. The numbers in the current version of the table do not take into account the column 'Predicted effect on splicing - exonic variants'</t>
  </si>
  <si>
    <t xml:space="preserve"> </t>
  </si>
  <si>
    <t>The following variants have been moved out of the main table. See explanation in final column. Numbers should not be reused.</t>
  </si>
  <si>
    <t>Predicted effect on splicing</t>
  </si>
  <si>
    <t>Resaon for moving from main sheet</t>
  </si>
  <si>
    <t>Pt no</t>
  </si>
  <si>
    <t>cln3.027</t>
  </si>
  <si>
    <t>c.791-?_1056-?del</t>
  </si>
  <si>
    <t>g.28482105_2848672</t>
  </si>
  <si>
    <t>Lauronen et al., Neurology, 1999</t>
  </si>
  <si>
    <t>2.8-kb genomic deletion of exons 10-13: a truncated protein of 291 amino acids, 28 of which are new; 2.8 kb deletion or p.Gly264_Gln352delinsValfsX29; D16S298 not deleted. g.28482111_28482678del - Mirza co-ordinates normalised by VarVal; c.792_1056+1del; exon 11 to intron 14</t>
  </si>
  <si>
    <t xml:space="preserve">Location of deletion is unclear. </t>
  </si>
  <si>
    <t>Pa-cln3.192 - Pa.cln3 196 all have this heterozygous change (REL04)</t>
  </si>
  <si>
    <t>cln3.033</t>
  </si>
  <si>
    <t xml:space="preserve">c.294-58G&gt;A                </t>
  </si>
  <si>
    <t>g.28488649C&gt;T</t>
  </si>
  <si>
    <t xml:space="preserve">Mole et al 2001 </t>
  </si>
  <si>
    <t>orignally IVS4-59G&gt;A</t>
  </si>
  <si>
    <t>Note this variant does not agree with the reference sequence (G not C), nor intron/exon boundaries</t>
  </si>
  <si>
    <t>Location of change is unclear</t>
  </si>
  <si>
    <t>Pa-cln3.396 has heterozygous change; other allele not determined</t>
  </si>
  <si>
    <t>cln3.034</t>
  </si>
  <si>
    <t xml:space="preserve">c.294-80G&gt;A                 </t>
  </si>
  <si>
    <t>g.28488671C&gt;T</t>
  </si>
  <si>
    <t>originally IVS-81G&gt;A</t>
  </si>
  <si>
    <t>Pa-cln3.396</t>
  </si>
  <si>
    <t>Pa-cln3.397 has heterozygous change; othere allele not determined</t>
  </si>
  <si>
    <t>intron 06</t>
  </si>
  <si>
    <t xml:space="preserve">IVS6-23del4tCTCA </t>
  </si>
  <si>
    <t>pers comm from parent, 2020</t>
  </si>
  <si>
    <t>Location cannot be confirmed, as intron 6 does not have CTCA corresponding to numbering given</t>
  </si>
  <si>
    <t>RTPCR shows novel transcript; number previously used for a different variant</t>
  </si>
  <si>
    <t>Location of change is unclear. Pt still  to be added to table</t>
  </si>
  <si>
    <t>Pt to be added to table</t>
  </si>
  <si>
    <t>cln3.056</t>
  </si>
  <si>
    <t>c.-1101C&gt;T</t>
  </si>
  <si>
    <t>p.(=)</t>
  </si>
  <si>
    <t>Sequence variant</t>
  </si>
  <si>
    <t>g.28493044G&gt;A</t>
  </si>
  <si>
    <t>c.1-1101C&gt;T</t>
  </si>
  <si>
    <t>co-ordinates from LOVD not validatable on VarVal</t>
  </si>
  <si>
    <t>Effect of change unclear. No pt in table</t>
  </si>
  <si>
    <t>None</t>
  </si>
  <si>
    <t>cln3.057</t>
  </si>
  <si>
    <t>c.-681_-676del</t>
  </si>
  <si>
    <t>g.28503756_28503761del</t>
  </si>
  <si>
    <t>c.1-676_1-675</t>
  </si>
  <si>
    <t>cln3.105</t>
  </si>
  <si>
    <t>c.-359_46del</t>
  </si>
  <si>
    <t>g.28491714_28492302del</t>
  </si>
  <si>
    <t>pers comm Rus</t>
  </si>
  <si>
    <t>does not map to updated reference sequence</t>
  </si>
  <si>
    <t>Cannot validate genomiccoordinates</t>
  </si>
  <si>
    <t>c.432_*33del</t>
  </si>
  <si>
    <t>Column1</t>
  </si>
  <si>
    <t>c.432+?_1350-?del; 28488804_28498805del. Minimum deletion of exons 08-15; maximum deletion of introns 05-15</t>
  </si>
  <si>
    <t>g.28482115del</t>
  </si>
  <si>
    <t>g.28477875G&gt;T</t>
  </si>
  <si>
    <t>g.28477636C&gt;A</t>
  </si>
  <si>
    <t>g.28477620G&gt;A</t>
  </si>
  <si>
    <t>g.28477564del</t>
  </si>
  <si>
    <t>g.28482158A&gt;G</t>
  </si>
  <si>
    <t>g.28482161G&gt;A</t>
  </si>
  <si>
    <t>g.28482500C&gt;T</t>
  </si>
  <si>
    <t>g.28482508T&gt;C</t>
  </si>
  <si>
    <t>g.28486393G&gt;A</t>
  </si>
  <si>
    <t>g.28486427G&gt;T</t>
  </si>
  <si>
    <t>g.28486459del</t>
  </si>
  <si>
    <t>g.28486602A&gt;G</t>
  </si>
  <si>
    <t>g.28486626G&gt;C</t>
  </si>
  <si>
    <t>g.28486629G&gt;C</t>
  </si>
  <si>
    <t>g.28486629G&gt;A</t>
  </si>
  <si>
    <t>g.28487493del</t>
  </si>
  <si>
    <t>g.28482182G&gt;A</t>
  </si>
  <si>
    <t>g.28489387C&gt;T</t>
  </si>
  <si>
    <t>g.28477483_28487484del</t>
  </si>
  <si>
    <t>g.28480687_28483501del</t>
  </si>
  <si>
    <t>g.28482071G&gt;T</t>
  </si>
  <si>
    <t>g.28482102T&gt;G</t>
  </si>
  <si>
    <t>g.28482118_28482123del</t>
  </si>
  <si>
    <t>g.28482312_28482338del</t>
  </si>
  <si>
    <t>g.28482345dup</t>
  </si>
  <si>
    <t>g.28486465_28486466del</t>
  </si>
  <si>
    <t>g.28486577C&gt;G</t>
  </si>
  <si>
    <t>g.28486651C&gt;T</t>
  </si>
  <si>
    <t>g.28487734A&gt;G</t>
  </si>
  <si>
    <t>Intron 10 - 16</t>
  </si>
  <si>
    <t>g.28477516-?_28484118+?del</t>
  </si>
  <si>
    <t>g.28482107G&gt;A</t>
  </si>
  <si>
    <t>g.28482160C&gt;T</t>
  </si>
  <si>
    <t>g.28482199C&gt;A</t>
  </si>
  <si>
    <t>g.28482621C&gt;T</t>
  </si>
  <si>
    <t>g.28486402dup</t>
  </si>
  <si>
    <t>g.28486442dup</t>
  </si>
  <si>
    <t>g.28486442C&gt;A</t>
  </si>
  <si>
    <t>g.28486663C&gt;G</t>
  </si>
  <si>
    <t>g.28487525T&gt;G</t>
  </si>
  <si>
    <t>g.28487666dup</t>
  </si>
  <si>
    <t>g.28491481C&gt;G</t>
  </si>
  <si>
    <t>g.28491477C&gt;T</t>
  </si>
  <si>
    <t>g.28491759T&gt;G</t>
  </si>
  <si>
    <t>g.28482195G&gt;C</t>
  </si>
  <si>
    <t>NC_000016.9:g.28494321_28496785del</t>
  </si>
  <si>
    <t>NM_001042432.1:c.677+883_791–328del</t>
  </si>
  <si>
    <t>NP_001035897.1:p.(Ser226Argfs∗36)</t>
  </si>
  <si>
    <t>NC_000016.9:g.28497287_28498253del</t>
  </si>
  <si>
    <t>NM_001042432.1:c.461-279_677+384del</t>
  </si>
  <si>
    <t>NP_001035897.1:p.(Val156Serfs∗27)</t>
  </si>
  <si>
    <t>Heterozygous</t>
  </si>
  <si>
    <t>NM_000086.2:c.1168G&gt;A</t>
  </si>
  <si>
    <t>NP_000077.1:p.(Val390Met)</t>
  </si>
  <si>
    <t>Homozygous</t>
  </si>
  <si>
    <t>G369</t>
  </si>
  <si>
    <t>RKK_79</t>
  </si>
  <si>
    <t xml:space="preserve">NM_001042432.1:c.677+883_791–328del; NP_001035897.1:p.(Ser226Argfs∗36); NC_000016.9:g.28494321_28496785del; this description is not validated. </t>
  </si>
  <si>
    <t>benign</t>
  </si>
  <si>
    <t>g.28491925_30190709del</t>
  </si>
  <si>
    <t>g.28483000_28485464del</t>
  </si>
  <si>
    <t>Exon 07 - 16</t>
  </si>
  <si>
    <t>Updated March 2024: please note that the 2023 version had a number of errors in exon/intron location information, and genomic coordinates (GRCh38)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</si>
</sst>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5"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u/>
      <sz val="12"/>
      <color theme="10"/>
      <name val="Calibri"/>
      <family val="2"/>
      <scheme val="minor"/>
    </font>
    <font>
      <sz val="11"/>
      <name val="Calibri"/>
      <family val="2"/>
      <scheme val="minor"/>
    </font>
    <font>
      <b/>
      <sz val="10"/>
      <color rgb="FF000000"/>
      <name val="Tahoma"/>
      <family val="2"/>
    </font>
    <font>
      <sz val="10"/>
      <color rgb="FF000000"/>
      <name val="Tahoma"/>
      <family val="2"/>
    </font>
    <font>
      <sz val="11"/>
      <color rgb="FF000000"/>
      <name val="Calibri"/>
      <family val="2"/>
    </font>
    <font>
      <sz val="10"/>
      <name val="Verdana"/>
      <family val="2"/>
    </font>
    <font>
      <sz val="12"/>
      <color rgb="FF000000"/>
      <name val="Calibri"/>
      <family val="2"/>
      <scheme val="minor"/>
    </font>
    <font>
      <sz val="12"/>
      <color theme="1"/>
      <name val="Calibri"/>
      <family val="2"/>
      <scheme val="minor"/>
    </font>
    <font>
      <sz val="8"/>
      <name val="Calibri"/>
      <family val="2"/>
      <scheme val="minor"/>
    </font>
    <font>
      <sz val="11"/>
      <color rgb="FF000000"/>
      <name val="Calibri"/>
      <family val="2"/>
      <scheme val="minor"/>
    </font>
    <font>
      <u/>
      <sz val="11"/>
      <color theme="10"/>
      <name val="Calibri"/>
      <family val="2"/>
      <scheme val="minor"/>
    </font>
    <font>
      <b/>
      <sz val="11"/>
      <name val="Calibri"/>
      <family val="2"/>
      <scheme val="minor"/>
    </font>
    <font>
      <i/>
      <sz val="11"/>
      <color theme="1"/>
      <name val="Calibri"/>
      <family val="2"/>
      <scheme val="minor"/>
    </font>
    <font>
      <i/>
      <sz val="11"/>
      <name val="Calibri"/>
      <family val="2"/>
      <scheme val="minor"/>
    </font>
    <font>
      <u/>
      <sz val="11"/>
      <color rgb="FF0000CC"/>
      <name val="Calibri"/>
      <family val="2"/>
      <scheme val="minor"/>
    </font>
    <font>
      <sz val="11"/>
      <color rgb="FF0000CC"/>
      <name val="Calibri"/>
      <family val="2"/>
      <scheme val="minor"/>
    </font>
    <font>
      <sz val="11"/>
      <color rgb="FF212121"/>
      <name val="Calibri"/>
      <family val="2"/>
      <scheme val="minor"/>
    </font>
    <font>
      <b/>
      <sz val="11"/>
      <color theme="0"/>
      <name val="Calibri"/>
      <family val="2"/>
      <scheme val="minor"/>
    </font>
    <font>
      <sz val="11"/>
      <color theme="0"/>
      <name val="Calibri"/>
      <family val="2"/>
      <scheme val="minor"/>
    </font>
    <font>
      <i/>
      <sz val="11"/>
      <color rgb="FF000000"/>
      <name val="Calibri"/>
      <family val="2"/>
      <scheme val="minor"/>
    </font>
    <font>
      <b/>
      <i/>
      <sz val="1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4"/>
        <bgColor theme="4"/>
      </patternFill>
    </fill>
  </fills>
  <borders count="19">
    <border>
      <left/>
      <right/>
      <top/>
      <bottom/>
      <diagonal/>
    </border>
    <border>
      <left style="thin">
        <color rgb="FFFFFFFF"/>
      </left>
      <right style="thin">
        <color rgb="FFFFFFFF"/>
      </right>
      <top style="thin">
        <color rgb="FFFFFFFF"/>
      </top>
      <bottom style="thin">
        <color rgb="FFFFFFFF"/>
      </bottom>
      <diagonal/>
    </border>
    <border>
      <left/>
      <right/>
      <top/>
      <bottom style="medium">
        <color auto="1"/>
      </bottom>
      <diagonal/>
    </border>
    <border>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auto="1"/>
      </right>
      <top/>
      <bottom/>
      <diagonal/>
    </border>
    <border>
      <left/>
      <right style="thin">
        <color theme="0"/>
      </right>
      <top/>
      <bottom style="medium">
        <color auto="1"/>
      </bottom>
      <diagonal/>
    </border>
    <border>
      <left style="thin">
        <color theme="0"/>
      </left>
      <right style="thin">
        <color theme="0"/>
      </right>
      <top/>
      <bottom style="thick">
        <color theme="0"/>
      </bottom>
      <diagonal/>
    </border>
    <border>
      <left style="thin">
        <color theme="0"/>
      </left>
      <right style="thin">
        <color theme="0"/>
      </right>
      <top/>
      <bottom style="medium">
        <color auto="1"/>
      </bottom>
      <diagonal/>
    </border>
    <border>
      <left style="thin">
        <color theme="0"/>
      </left>
      <right style="thin">
        <color theme="0"/>
      </right>
      <top/>
      <bottom/>
      <diagonal/>
    </border>
    <border>
      <left style="thin">
        <color theme="0"/>
      </left>
      <right style="thin">
        <color theme="0"/>
      </right>
      <top style="thin">
        <color theme="0"/>
      </top>
      <bottom style="thin">
        <color theme="0"/>
      </bottom>
      <diagonal/>
    </border>
  </borders>
  <cellStyleXfs count="5">
    <xf numFmtId="0" fontId="0" fillId="0" borderId="0"/>
    <xf numFmtId="0" fontId="4" fillId="0" borderId="0" applyNumberFormat="0" applyFill="0" applyBorder="0" applyAlignment="0" applyProtection="0"/>
    <xf numFmtId="0" fontId="8" fillId="0" borderId="0"/>
    <xf numFmtId="0" fontId="9" fillId="0" borderId="0"/>
    <xf numFmtId="9" fontId="11" fillId="0" borderId="0" applyFont="0" applyFill="0" applyBorder="0" applyAlignment="0" applyProtection="0"/>
  </cellStyleXfs>
  <cellXfs count="127">
    <xf numFmtId="0" fontId="0" fillId="0" borderId="0" xfId="0"/>
    <xf numFmtId="0" fontId="5" fillId="0" borderId="0" xfId="0" applyFont="1" applyAlignment="1">
      <alignment horizontal="center" vertical="center" wrapText="1"/>
    </xf>
    <xf numFmtId="0" fontId="0" fillId="0" borderId="0" xfId="0" applyAlignment="1">
      <alignment horizontal="center" vertical="center" wrapText="1"/>
    </xf>
    <xf numFmtId="0" fontId="0" fillId="0" borderId="5" xfId="0" applyBorder="1"/>
    <xf numFmtId="0" fontId="0" fillId="0" borderId="6" xfId="0" applyBorder="1"/>
    <xf numFmtId="0" fontId="0" fillId="0" borderId="7" xfId="0" applyBorder="1"/>
    <xf numFmtId="0" fontId="0" fillId="0" borderId="8" xfId="0" applyBorder="1" applyAlignment="1">
      <alignment horizontal="center"/>
    </xf>
    <xf numFmtId="0" fontId="10" fillId="0" borderId="9" xfId="0" applyFont="1" applyBorder="1" applyAlignment="1">
      <alignment horizontal="center"/>
    </xf>
    <xf numFmtId="0" fontId="0" fillId="0" borderId="10" xfId="0" applyBorder="1"/>
    <xf numFmtId="0" fontId="0" fillId="0" borderId="2" xfId="0" applyBorder="1"/>
    <xf numFmtId="0" fontId="0" fillId="0" borderId="11" xfId="0" applyBorder="1"/>
    <xf numFmtId="0" fontId="0" fillId="0" borderId="12" xfId="0" applyBorder="1"/>
    <xf numFmtId="0" fontId="0" fillId="0" borderId="0" xfId="0" applyAlignment="1">
      <alignment horizontal="center"/>
    </xf>
    <xf numFmtId="0" fontId="0" fillId="0" borderId="2" xfId="0" applyBorder="1" applyAlignment="1">
      <alignment horizontal="center"/>
    </xf>
    <xf numFmtId="0" fontId="0" fillId="0" borderId="11" xfId="0" applyBorder="1" applyAlignment="1">
      <alignment horizontal="center"/>
    </xf>
    <xf numFmtId="164" fontId="0" fillId="0" borderId="0" xfId="4" applyNumberFormat="1" applyFont="1"/>
    <xf numFmtId="0" fontId="5" fillId="0" borderId="0" xfId="1" applyFont="1" applyFill="1" applyAlignment="1" applyProtection="1">
      <alignment horizontal="center" vertical="center" wrapText="1"/>
    </xf>
    <xf numFmtId="0" fontId="5" fillId="0" borderId="0" xfId="1" applyFont="1" applyFill="1" applyBorder="1" applyAlignment="1" applyProtection="1">
      <alignment horizontal="center" vertical="center" wrapText="1"/>
    </xf>
    <xf numFmtId="0" fontId="5" fillId="0" borderId="0" xfId="0" applyFont="1" applyAlignment="1">
      <alignment horizontal="left"/>
    </xf>
    <xf numFmtId="0" fontId="15" fillId="0" borderId="0" xfId="1" applyFont="1" applyFill="1" applyAlignment="1" applyProtection="1">
      <alignment horizontal="left"/>
    </xf>
    <xf numFmtId="0" fontId="5" fillId="0" borderId="0" xfId="1" applyFont="1" applyFill="1" applyAlignment="1" applyProtection="1">
      <alignment horizontal="center" vertical="center"/>
    </xf>
    <xf numFmtId="0" fontId="14" fillId="0" borderId="0" xfId="1" applyFont="1" applyFill="1" applyAlignment="1" applyProtection="1">
      <alignment horizontal="center" vertical="center"/>
    </xf>
    <xf numFmtId="0" fontId="14" fillId="0" borderId="0" xfId="1" applyFont="1" applyFill="1" applyAlignment="1" applyProtection="1">
      <alignment horizontal="center"/>
    </xf>
    <xf numFmtId="0" fontId="5" fillId="0" borderId="0" xfId="0" applyFont="1" applyAlignment="1">
      <alignment horizontal="center" vertical="center"/>
    </xf>
    <xf numFmtId="0" fontId="14" fillId="0" borderId="0" xfId="1" applyFont="1" applyFill="1" applyBorder="1" applyAlignment="1" applyProtection="1">
      <alignment horizontal="center" vertical="center" wrapText="1"/>
    </xf>
    <xf numFmtId="0" fontId="17" fillId="0" borderId="0" xfId="0" applyFont="1" applyAlignment="1">
      <alignment horizontal="left"/>
    </xf>
    <xf numFmtId="0" fontId="18" fillId="0" borderId="0" xfId="1" applyFont="1" applyFill="1" applyBorder="1" applyAlignment="1" applyProtection="1">
      <alignment horizontal="center" vertical="center" wrapText="1"/>
    </xf>
    <xf numFmtId="0" fontId="17" fillId="0" borderId="0" xfId="0" applyFont="1" applyAlignment="1">
      <alignment horizontal="center" vertical="center" wrapText="1"/>
    </xf>
    <xf numFmtId="0" fontId="17" fillId="0" borderId="0" xfId="0" applyFont="1" applyAlignment="1">
      <alignment horizontal="center" vertical="center"/>
    </xf>
    <xf numFmtId="0" fontId="17" fillId="0" borderId="0" xfId="0" applyFont="1" applyAlignment="1">
      <alignment horizontal="left" vertical="center" wrapText="1"/>
    </xf>
    <xf numFmtId="0" fontId="16" fillId="0" borderId="0" xfId="0" applyFont="1" applyAlignment="1">
      <alignment horizontal="center" vertical="center"/>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0" xfId="0" applyAlignment="1">
      <alignment horizontal="center" vertical="top" wrapText="1"/>
    </xf>
    <xf numFmtId="9" fontId="0" fillId="0" borderId="8" xfId="4" applyFont="1" applyBorder="1" applyAlignment="1">
      <alignment horizontal="center" vertical="center" wrapText="1"/>
    </xf>
    <xf numFmtId="0" fontId="0" fillId="0" borderId="0" xfId="0" applyAlignment="1">
      <alignment horizontal="center" vertical="center"/>
    </xf>
    <xf numFmtId="0" fontId="0" fillId="0" borderId="12" xfId="0" applyBorder="1" applyAlignment="1">
      <alignment vertical="center" wrapText="1"/>
    </xf>
    <xf numFmtId="0" fontId="0" fillId="0" borderId="0" xfId="0" applyAlignment="1">
      <alignment vertical="center" wrapText="1"/>
    </xf>
    <xf numFmtId="0" fontId="3" fillId="0" borderId="0" xfId="0" applyFont="1" applyAlignment="1">
      <alignment horizontal="center" vertical="top"/>
    </xf>
    <xf numFmtId="0" fontId="0" fillId="0" borderId="9" xfId="0" applyBorder="1" applyAlignment="1">
      <alignment horizontal="center" vertical="top" wrapText="1"/>
    </xf>
    <xf numFmtId="0" fontId="0" fillId="0" borderId="9" xfId="0" applyBorder="1" applyAlignment="1">
      <alignment horizontal="center"/>
    </xf>
    <xf numFmtId="0" fontId="0" fillId="0" borderId="13" xfId="0" applyBorder="1" applyAlignment="1">
      <alignment horizontal="center"/>
    </xf>
    <xf numFmtId="0" fontId="0" fillId="0" borderId="13" xfId="0" applyBorder="1" applyAlignment="1">
      <alignment horizontal="center" vertical="center" wrapText="1"/>
    </xf>
    <xf numFmtId="0" fontId="4" fillId="0" borderId="0" xfId="1" applyFill="1"/>
    <xf numFmtId="0" fontId="16" fillId="2" borderId="0" xfId="0" applyFont="1" applyFill="1" applyAlignment="1">
      <alignment horizontal="center" vertical="center" wrapText="1"/>
    </xf>
    <xf numFmtId="0" fontId="21" fillId="3" borderId="14" xfId="0" applyFont="1" applyFill="1" applyBorder="1" applyAlignment="1">
      <alignment horizontal="center" vertical="center" wrapText="1"/>
    </xf>
    <xf numFmtId="0" fontId="21" fillId="3" borderId="15" xfId="0" applyFont="1" applyFill="1" applyBorder="1" applyAlignment="1">
      <alignment horizontal="center" vertical="center" wrapText="1"/>
    </xf>
    <xf numFmtId="0" fontId="21" fillId="3" borderId="16" xfId="0" applyFont="1" applyFill="1" applyBorder="1" applyAlignment="1">
      <alignment horizontal="center" vertical="center" wrapText="1"/>
    </xf>
    <xf numFmtId="0" fontId="17" fillId="0" borderId="0" xfId="0" applyFont="1" applyAlignment="1">
      <alignment horizontal="center" vertical="top" wrapText="1"/>
    </xf>
    <xf numFmtId="0" fontId="17" fillId="0" borderId="0" xfId="0" applyFont="1" applyAlignment="1">
      <alignment horizontal="center" vertical="top"/>
    </xf>
    <xf numFmtId="0" fontId="17" fillId="0" borderId="0" xfId="2" applyFont="1" applyAlignment="1">
      <alignment horizontal="center" vertical="top"/>
    </xf>
    <xf numFmtId="0" fontId="17" fillId="0" borderId="0" xfId="2" applyFont="1" applyAlignment="1">
      <alignment horizontal="center" vertical="top" wrapText="1"/>
    </xf>
    <xf numFmtId="0" fontId="17" fillId="0" borderId="1" xfId="0" applyFont="1" applyBorder="1" applyAlignment="1">
      <alignment horizontal="center" vertical="top" wrapText="1"/>
    </xf>
    <xf numFmtId="0" fontId="16" fillId="0" borderId="0" xfId="0" applyFont="1" applyAlignment="1">
      <alignment horizontal="center" vertical="top"/>
    </xf>
    <xf numFmtId="49" fontId="17" fillId="0" borderId="0" xfId="2" applyNumberFormat="1" applyFont="1" applyAlignment="1">
      <alignment horizontal="center" vertical="top" wrapText="1"/>
    </xf>
    <xf numFmtId="0" fontId="17" fillId="0" borderId="0" xfId="0" applyFont="1" applyAlignment="1">
      <alignment horizontal="left" vertical="top" wrapText="1"/>
    </xf>
    <xf numFmtId="0" fontId="17" fillId="0" borderId="0" xfId="0" applyFont="1" applyAlignment="1">
      <alignment horizontal="left" vertical="top"/>
    </xf>
    <xf numFmtId="0" fontId="5" fillId="0" borderId="0" xfId="0" applyFont="1" applyAlignment="1">
      <alignment horizontal="left" vertical="top"/>
    </xf>
    <xf numFmtId="49" fontId="17" fillId="0" borderId="0" xfId="2" applyNumberFormat="1" applyFont="1" applyAlignment="1">
      <alignment horizontal="center" vertical="top"/>
    </xf>
    <xf numFmtId="0" fontId="5" fillId="0" borderId="0" xfId="0" applyFont="1" applyAlignment="1">
      <alignment horizontal="center" vertical="top" wrapText="1"/>
    </xf>
    <xf numFmtId="0" fontId="17" fillId="0" borderId="0" xfId="3" applyFont="1" applyAlignment="1">
      <alignment horizontal="center" vertical="top" wrapText="1"/>
    </xf>
    <xf numFmtId="0" fontId="16" fillId="0" borderId="0" xfId="0" applyFont="1" applyAlignment="1">
      <alignment horizontal="center" vertical="center" wrapText="1"/>
    </xf>
    <xf numFmtId="0" fontId="16"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21" fillId="3" borderId="17" xfId="0" applyFont="1" applyFill="1" applyBorder="1" applyAlignment="1">
      <alignment horizontal="center" vertical="center" wrapText="1"/>
    </xf>
    <xf numFmtId="0" fontId="18" fillId="0" borderId="1" xfId="1" applyFont="1" applyFill="1" applyBorder="1" applyAlignment="1" applyProtection="1">
      <alignment horizontal="center" vertical="center" wrapText="1"/>
    </xf>
    <xf numFmtId="0" fontId="14" fillId="0" borderId="0" xfId="1" applyFont="1" applyFill="1" applyBorder="1" applyAlignment="1" applyProtection="1">
      <alignment horizontal="center" vertical="center"/>
    </xf>
    <xf numFmtId="0" fontId="14" fillId="0" borderId="1" xfId="1" applyFont="1" applyFill="1" applyBorder="1" applyAlignment="1" applyProtection="1">
      <alignment horizontal="center" vertical="center" wrapText="1"/>
    </xf>
    <xf numFmtId="0" fontId="0" fillId="0" borderId="7" xfId="0" applyBorder="1" applyAlignment="1">
      <alignment horizontal="left" vertical="center"/>
    </xf>
    <xf numFmtId="0" fontId="0" fillId="0" borderId="7" xfId="0" applyBorder="1" applyAlignment="1">
      <alignment horizontal="left"/>
    </xf>
    <xf numFmtId="0" fontId="24" fillId="0" borderId="0" xfId="1" applyFont="1" applyFill="1" applyBorder="1" applyAlignment="1" applyProtection="1">
      <alignment horizontal="center" vertical="center" wrapText="1"/>
    </xf>
    <xf numFmtId="0" fontId="0" fillId="0" borderId="0" xfId="0" applyAlignment="1">
      <alignment horizontal="left" vertical="top" wrapText="1"/>
    </xf>
    <xf numFmtId="0" fontId="5" fillId="0" borderId="0" xfId="0" applyFont="1" applyFill="1" applyAlignment="1">
      <alignment horizontal="center" vertical="center" wrapText="1"/>
    </xf>
    <xf numFmtId="0" fontId="1" fillId="0" borderId="0" xfId="0" applyFont="1" applyFill="1" applyAlignment="1">
      <alignment horizontal="center" vertical="center" wrapText="1"/>
    </xf>
    <xf numFmtId="0" fontId="3" fillId="0" borderId="0" xfId="0" applyFont="1" applyFill="1" applyAlignment="1">
      <alignment horizontal="center" vertical="center" wrapText="1"/>
    </xf>
    <xf numFmtId="0" fontId="0" fillId="0" borderId="0" xfId="0" applyFill="1"/>
    <xf numFmtId="0" fontId="5" fillId="0" borderId="18"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0" xfId="0" applyFont="1" applyFill="1" applyAlignment="1">
      <alignment horizontal="left" wrapText="1"/>
    </xf>
    <xf numFmtId="0" fontId="5" fillId="0" borderId="0" xfId="0" applyFont="1" applyFill="1" applyAlignment="1">
      <alignment horizontal="center"/>
    </xf>
    <xf numFmtId="0" fontId="5" fillId="0" borderId="0" xfId="0" applyFont="1" applyFill="1" applyAlignment="1">
      <alignment horizontal="left"/>
    </xf>
    <xf numFmtId="0" fontId="15" fillId="0" borderId="0" xfId="0" applyFont="1" applyFill="1" applyAlignment="1">
      <alignment horizontal="left"/>
    </xf>
    <xf numFmtId="0" fontId="5" fillId="0" borderId="0" xfId="0" applyFont="1" applyFill="1" applyAlignment="1">
      <alignment horizontal="center" wrapText="1"/>
    </xf>
    <xf numFmtId="0" fontId="5" fillId="0" borderId="0" xfId="0" applyFont="1" applyFill="1" applyAlignment="1">
      <alignment horizontal="center" vertical="center"/>
    </xf>
    <xf numFmtId="0" fontId="3" fillId="0" borderId="0" xfId="0" applyFont="1" applyFill="1" applyAlignment="1">
      <alignment horizontal="left"/>
    </xf>
    <xf numFmtId="0" fontId="3" fillId="0" borderId="0" xfId="0" applyFont="1" applyFill="1" applyAlignment="1">
      <alignment horizontal="center"/>
    </xf>
    <xf numFmtId="17" fontId="5" fillId="0" borderId="0" xfId="0" applyNumberFormat="1" applyFont="1" applyFill="1" applyAlignment="1">
      <alignment horizontal="left"/>
    </xf>
    <xf numFmtId="0" fontId="3" fillId="0" borderId="0" xfId="0" applyFont="1" applyFill="1"/>
    <xf numFmtId="0" fontId="21" fillId="0" borderId="2" xfId="0" applyFont="1" applyFill="1" applyBorder="1" applyAlignment="1">
      <alignment horizontal="center" vertical="center" wrapText="1"/>
    </xf>
    <xf numFmtId="0" fontId="22" fillId="0" borderId="0" xfId="0" applyFont="1" applyFill="1" applyAlignment="1">
      <alignment horizontal="center" vertical="center" wrapText="1"/>
    </xf>
    <xf numFmtId="49" fontId="5" fillId="0" borderId="0" xfId="2" applyNumberFormat="1" applyFont="1" applyFill="1" applyAlignment="1">
      <alignment horizontal="center" vertical="center" wrapText="1"/>
    </xf>
    <xf numFmtId="0" fontId="3" fillId="0" borderId="0" xfId="0" applyFont="1" applyFill="1" applyAlignment="1">
      <alignment horizontal="center" vertical="center"/>
    </xf>
    <xf numFmtId="0" fontId="5" fillId="0" borderId="0" xfId="2" applyFont="1" applyFill="1" applyAlignment="1">
      <alignment horizontal="center" vertical="center"/>
    </xf>
    <xf numFmtId="0" fontId="2" fillId="0" borderId="0" xfId="2" applyFont="1" applyFill="1" applyAlignment="1">
      <alignment horizontal="center" vertical="center"/>
    </xf>
    <xf numFmtId="0" fontId="2" fillId="0" borderId="0" xfId="0" applyFont="1" applyFill="1" applyAlignment="1">
      <alignment horizontal="center" vertical="center"/>
    </xf>
    <xf numFmtId="0" fontId="2" fillId="0" borderId="0" xfId="2" applyFont="1" applyFill="1" applyAlignment="1">
      <alignment horizontal="center" vertical="center" wrapText="1"/>
    </xf>
    <xf numFmtId="0" fontId="3" fillId="0" borderId="0" xfId="0" applyFont="1" applyFill="1" applyBorder="1" applyAlignment="1">
      <alignment horizontal="center" vertical="center"/>
    </xf>
    <xf numFmtId="49" fontId="5" fillId="0" borderId="0" xfId="2" applyNumberFormat="1" applyFont="1" applyFill="1" applyAlignment="1">
      <alignment horizontal="center" vertical="center"/>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14" fillId="0" borderId="1" xfId="1" applyFont="1" applyFill="1" applyBorder="1" applyAlignment="1" applyProtection="1">
      <alignment horizontal="center" vertical="center"/>
    </xf>
    <xf numFmtId="0" fontId="1" fillId="0" borderId="0" xfId="0" applyFont="1" applyFill="1" applyAlignment="1">
      <alignment horizontal="center" vertical="center"/>
    </xf>
    <xf numFmtId="0" fontId="5" fillId="0" borderId="0" xfId="2" applyFont="1" applyFill="1" applyAlignment="1">
      <alignment horizontal="center" vertical="center" wrapText="1"/>
    </xf>
    <xf numFmtId="49" fontId="5" fillId="0" borderId="0" xfId="2" applyNumberFormat="1" applyFont="1" applyFill="1" applyBorder="1" applyAlignment="1">
      <alignment horizontal="center" vertical="center" wrapText="1"/>
    </xf>
    <xf numFmtId="0" fontId="5" fillId="0" borderId="0" xfId="3" applyFont="1" applyFill="1" applyAlignment="1">
      <alignment horizontal="center" vertical="center" wrapText="1"/>
    </xf>
    <xf numFmtId="0" fontId="19" fillId="0" borderId="0" xfId="0" applyFont="1" applyFill="1" applyAlignment="1">
      <alignment horizontal="center" vertical="center" wrapText="1"/>
    </xf>
    <xf numFmtId="0" fontId="17" fillId="0" borderId="0" xfId="0" applyFont="1" applyFill="1" applyAlignment="1">
      <alignment horizontal="left"/>
    </xf>
    <xf numFmtId="0" fontId="3" fillId="0" borderId="1" xfId="0" applyFont="1" applyFill="1" applyBorder="1" applyAlignment="1">
      <alignment horizontal="center" vertical="center"/>
    </xf>
    <xf numFmtId="0" fontId="15" fillId="0" borderId="0" xfId="0" applyFont="1" applyFill="1" applyAlignment="1">
      <alignment horizontal="center" vertical="center" wrapText="1"/>
    </xf>
    <xf numFmtId="0" fontId="1" fillId="0" borderId="1" xfId="0" applyFont="1" applyFill="1" applyBorder="1" applyAlignment="1">
      <alignment horizontal="center" vertical="center"/>
    </xf>
    <xf numFmtId="0" fontId="5" fillId="0" borderId="0" xfId="3" applyFont="1" applyFill="1" applyBorder="1" applyAlignment="1">
      <alignment horizontal="center" vertical="center" wrapText="1"/>
    </xf>
    <xf numFmtId="0" fontId="13" fillId="0" borderId="0" xfId="0" applyFont="1" applyFill="1" applyAlignment="1">
      <alignment horizontal="center" vertical="center" wrapText="1" readingOrder="1"/>
    </xf>
    <xf numFmtId="0" fontId="5" fillId="0" borderId="0" xfId="0" applyFont="1" applyFill="1" applyAlignment="1">
      <alignment horizontal="left" vertical="center"/>
    </xf>
    <xf numFmtId="0" fontId="20" fillId="0" borderId="0" xfId="0" applyFont="1" applyFill="1" applyAlignment="1">
      <alignment horizontal="center" vertical="center"/>
    </xf>
    <xf numFmtId="0" fontId="17" fillId="0" borderId="0" xfId="0" applyFont="1" applyFill="1" applyAlignment="1">
      <alignment horizontal="center" vertical="center"/>
    </xf>
    <xf numFmtId="0" fontId="13" fillId="0" borderId="0" xfId="0" applyFont="1" applyFill="1" applyAlignment="1">
      <alignment horizontal="center" vertical="center"/>
    </xf>
    <xf numFmtId="0" fontId="13" fillId="0" borderId="0" xfId="0" applyFont="1" applyFill="1" applyAlignment="1">
      <alignment horizontal="center" vertical="center" wrapText="1"/>
    </xf>
    <xf numFmtId="0" fontId="3" fillId="0" borderId="0" xfId="0" applyFont="1" applyFill="1" applyBorder="1" applyAlignment="1">
      <alignment horizontal="center" vertical="top"/>
    </xf>
    <xf numFmtId="0" fontId="3" fillId="0" borderId="0" xfId="0" applyFont="1" applyFill="1" applyAlignment="1">
      <alignment horizontal="center" vertical="top"/>
    </xf>
    <xf numFmtId="0" fontId="3" fillId="0" borderId="0" xfId="0" applyFont="1" applyFill="1" applyAlignment="1">
      <alignment horizontal="left" vertical="center"/>
    </xf>
    <xf numFmtId="0" fontId="5" fillId="0" borderId="0" xfId="0" applyFont="1" applyFill="1" applyAlignment="1">
      <alignment horizontal="left" vertical="top" wrapText="1"/>
    </xf>
    <xf numFmtId="0" fontId="1" fillId="0" borderId="0" xfId="0" applyFont="1" applyFill="1"/>
    <xf numFmtId="0" fontId="5" fillId="0" borderId="0" xfId="0" applyFont="1" applyFill="1"/>
    <xf numFmtId="0" fontId="3" fillId="0" borderId="0" xfId="0" applyFont="1" applyFill="1" applyAlignment="1">
      <alignment vertical="center"/>
    </xf>
    <xf numFmtId="0" fontId="5" fillId="0" borderId="0" xfId="0" applyFont="1" applyFill="1" applyAlignment="1">
      <alignment vertical="center"/>
    </xf>
  </cellXfs>
  <cellStyles count="5">
    <cellStyle name="Hyperlink" xfId="1" builtinId="8"/>
    <cellStyle name="Normal" xfId="0" builtinId="0"/>
    <cellStyle name="Normal 2" xfId="3" xr:uid="{31513E74-EB8F-984F-BC27-AAC815804116}"/>
    <cellStyle name="Normal 4" xfId="2" xr:uid="{E7432FF4-B239-7742-9431-9B4E7DBCC414}"/>
    <cellStyle name="Percent" xfId="4" builtinId="5"/>
  </cellStyles>
  <dxfs count="5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center" textRotation="0" wrapText="1" indent="0" justifyLastLine="0" shrinkToFit="0" readingOrder="0"/>
    </dxf>
    <dxf>
      <font>
        <b val="0"/>
        <i val="0"/>
        <strike val="0"/>
        <outline val="0"/>
        <shadow val="0"/>
        <u val="none"/>
        <vertAlign val="baseline"/>
        <sz val="11"/>
        <color auto="1"/>
        <name val="Calibri"/>
        <family val="2"/>
        <scheme val="minor"/>
      </font>
      <fill>
        <patternFill patternType="none">
          <fgColor indexed="64"/>
          <bgColor auto="1"/>
        </patternFill>
      </fill>
      <alignment horizontal="center" vertical="center" textRotation="0" wrapText="1" indent="0" justifyLastLine="0" shrinkToFit="0" readingOrder="0"/>
    </dxf>
    <dxf>
      <fill>
        <patternFill patternType="none">
          <bgColor auto="1"/>
        </patternFill>
      </fill>
    </dxf>
    <dxf>
      <font>
        <b/>
        <i val="0"/>
        <strike val="0"/>
        <condense val="0"/>
        <extend val="0"/>
        <outline val="0"/>
        <shadow val="0"/>
        <u val="none"/>
        <vertAlign val="baseline"/>
        <sz val="11"/>
        <color theme="0"/>
        <name val="Calibri"/>
        <family val="2"/>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center" textRotation="0" wrapText="1" indent="0" justifyLastLine="0" shrinkToFit="0" readingOrder="0"/>
    </dxf>
    <dxf>
      <font>
        <strike val="0"/>
        <outline val="0"/>
        <shadow val="0"/>
        <vertAlign val="baseline"/>
        <sz val="11"/>
        <name val="Calibri"/>
        <family val="2"/>
        <scheme val="minor"/>
      </font>
      <fill>
        <patternFill patternType="none">
          <bgColor auto="1"/>
        </patternFill>
      </fill>
      <alignment horizontal="center" vertical="center" textRotation="0" wrapText="0" indent="0" justifyLastLine="0" shrinkToFit="0" readingOrder="0"/>
    </dxf>
    <dxf>
      <font>
        <strike val="0"/>
        <outline val="0"/>
        <shadow val="0"/>
        <vertAlign val="baseline"/>
        <sz val="11"/>
        <name val="Calibri"/>
        <family val="2"/>
        <scheme val="minor"/>
      </font>
      <fill>
        <patternFill patternType="none">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family val="2"/>
        <scheme val="minor"/>
      </font>
      <fill>
        <patternFill patternType="none">
          <bgColor auto="1"/>
        </patternFill>
      </fill>
      <alignment horizontal="center" vertical="center" textRotation="0" wrapText="1" indent="0" justifyLastLine="0" shrinkToFit="0" readingOrder="0"/>
    </dxf>
    <dxf>
      <font>
        <strike val="0"/>
        <outline val="0"/>
        <shadow val="0"/>
        <vertAlign val="baseline"/>
        <sz val="11"/>
        <name val="Calibri"/>
        <family val="2"/>
        <scheme val="minor"/>
      </font>
      <fill>
        <patternFill patternType="none">
          <bgColor auto="1"/>
        </patternFill>
      </fill>
      <alignment horizontal="center" vertical="center" textRotation="0" wrapText="0" indent="0" justifyLastLine="0" shrinkToFit="0" readingOrder="0"/>
    </dxf>
    <dxf>
      <font>
        <strike val="0"/>
        <outline val="0"/>
        <shadow val="0"/>
        <vertAlign val="baseline"/>
        <sz val="11"/>
        <name val="Calibri"/>
        <family val="2"/>
        <scheme val="minor"/>
      </font>
      <fill>
        <patternFill patternType="none">
          <bgColor auto="1"/>
        </patternFill>
      </fill>
      <alignment horizontal="center" vertical="center" textRotation="0" wrapText="0" indent="0" justifyLastLine="0" shrinkToFit="0" readingOrder="0"/>
    </dxf>
    <dxf>
      <font>
        <strike val="0"/>
        <outline val="0"/>
        <shadow val="0"/>
        <vertAlign val="baseline"/>
        <sz val="11"/>
        <name val="Calibri"/>
        <family val="2"/>
        <scheme val="minor"/>
      </font>
      <fill>
        <patternFill patternType="none">
          <bgColor auto="1"/>
        </patternFill>
      </fill>
      <alignment horizontal="center" vertical="center" textRotation="0" wrapText="0" indent="0" justifyLastLine="0" shrinkToFit="0" readingOrder="0"/>
    </dxf>
    <dxf>
      <font>
        <strike val="0"/>
        <outline val="0"/>
        <shadow val="0"/>
        <vertAlign val="baseline"/>
        <sz val="11"/>
        <name val="Calibri"/>
        <family val="2"/>
        <scheme val="minor"/>
      </font>
      <fill>
        <patternFill patternType="none">
          <bgColor auto="1"/>
        </patternFill>
      </fill>
      <alignment horizontal="center" vertical="center" textRotation="0" wrapText="0" indent="0" justifyLastLine="0" shrinkToFit="0" readingOrder="0"/>
    </dxf>
    <dxf>
      <font>
        <strike val="0"/>
        <outline val="0"/>
        <shadow val="0"/>
        <vertAlign val="baseline"/>
        <sz val="11"/>
        <name val="Calibri"/>
        <family val="2"/>
        <scheme val="minor"/>
      </font>
      <fill>
        <patternFill patternType="none">
          <bgColor auto="1"/>
        </patternFill>
      </fill>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center" vertical="center" textRotation="0" wrapText="1" indent="0" justifyLastLine="0" shrinkToFit="0" readingOrder="0"/>
    </dxf>
    <dxf>
      <alignment horizontal="center" textRotation="0" wrapText="1" indent="0" justifyLastLine="0" shrinkToFit="0" readingOrder="0"/>
    </dxf>
    <dxf>
      <alignment horizontal="center" textRotation="0" wrapText="1" indent="0" justifyLastLine="0" shrinkToFit="0" readingOrder="0"/>
    </dxf>
    <dxf>
      <font>
        <b val="0"/>
        <i/>
        <strike val="0"/>
        <condense val="0"/>
        <extend val="0"/>
        <outline val="0"/>
        <shadow val="0"/>
        <u val="none"/>
        <vertAlign val="baseline"/>
        <sz val="11"/>
        <color auto="1"/>
        <name val="Calibri"/>
        <family val="2"/>
        <scheme val="minor"/>
      </font>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border diagonalUp="0" diagonalDown="0" outline="0">
        <left style="thin">
          <color theme="0"/>
        </left>
        <right style="thin">
          <color theme="0"/>
        </right>
        <top/>
        <bottom/>
      </border>
    </dxf>
    <dxf>
      <border outline="0">
        <bottom style="medium">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person displayName="Gardner, Emily" id="{006E55A4-D3C4-104B-BFC5-2BC7FCAEE1B6}" userId="S::dmcbega@ucl.ac.uk::37e07b13-af40-4e43-8023-8c028f34cce5"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D64724E-6AFB-8448-BD2B-241F955D5814}" name="Table33" displayName="Table33" ref="A11:R131" totalsRowCount="1" headerRowDxfId="29" dataDxfId="27" totalsRowDxfId="28" headerRowBorderDxfId="52">
  <autoFilter ref="A11:R130" xr:uid="{6D64724E-6AFB-8448-BD2B-241F955D5814}"/>
  <sortState xmlns:xlrd2="http://schemas.microsoft.com/office/spreadsheetml/2017/richdata2" ref="A12:R130">
    <sortCondition ref="A11:A130"/>
  </sortState>
  <tableColumns count="18">
    <tableColumn id="1" xr3:uid="{176F5F3B-332C-EC4F-8C2E-02E8C2163D58}" name="Identifier" totalsRowLabel="Total" dataDxfId="47" totalsRowDxfId="26"/>
    <tableColumn id="2" xr3:uid="{C16262D7-7E1C-4744-8B0C-22694EFFEBFB}" name="Location" dataDxfId="46" totalsRowDxfId="25"/>
    <tableColumn id="3" xr3:uid="{F7B8E0D4-DECA-7A4A-BEC8-AEBDFF384129}" name="Nucleotide change" dataDxfId="45" totalsRowDxfId="24"/>
    <tableColumn id="5" xr3:uid="{2C473286-EC9E-954D-A231-4FFA11A3B667}" name="Amino acid position" dataDxfId="44" totalsRowDxfId="23"/>
    <tableColumn id="19" xr3:uid="{AA02E26D-80E8-5645-B090-09C7F4D15DF3}" name="Amino acid change" dataDxfId="43" totalsRowDxfId="22"/>
    <tableColumn id="20" xr3:uid="{C524D31E-4D99-6F4B-9261-C4BA018669A8}" name="Type of Mutation - DNA" dataDxfId="42" totalsRowDxfId="21"/>
    <tableColumn id="21" xr3:uid="{D7EFE333-558A-E747-9934-869079902518}" name="additional mutation info" dataDxfId="41" totalsRowDxfId="20"/>
    <tableColumn id="22" xr3:uid="{C6DC6968-1539-8943-8F4F-B354ABA5DEB5}" name="Predicted functional effect in silico" dataDxfId="40" totalsRowDxfId="19"/>
    <tableColumn id="7" xr3:uid="{1CC9A68E-3D59-438E-9111-598605053EA8}" name="Predicted effect on splicing - exonic variants" dataDxfId="39" totalsRowDxfId="18"/>
    <tableColumn id="23" xr3:uid="{21234305-7F12-D443-9870-D0D3CDFEACD5}" name="clinvar classification" dataDxfId="38" totalsRowDxfId="17"/>
    <tableColumn id="24" xr3:uid="{F4E5DA82-273C-E048-8E05-F3B5EEAB7AB2}" name="rs number" dataDxfId="37" totalsRowDxfId="16"/>
    <tableColumn id="16" xr3:uid="{D8E40A27-D669-8543-AE95-9886227DE25D}" name="GRCh38" dataDxfId="36" totalsRowDxfId="15"/>
    <tableColumn id="17" xr3:uid="{7A095F4C-A7C3-1E40-891A-35BC61ABA2BF}" name="Reference" dataDxfId="35" totalsRowDxfId="14"/>
    <tableColumn id="25" xr3:uid="{975F4E15-876C-E64B-B37F-BDB6C1F3DCD4}" name="PMID" dataDxfId="34" totalsRowDxfId="13" dataCellStyle="Hyperlink"/>
    <tableColumn id="26" xr3:uid="{93BFB198-9F03-1446-97E5-0BA6A435AE07}" name="Original description" dataDxfId="33" totalsRowDxfId="12" dataCellStyle="Hyperlink"/>
    <tableColumn id="9" xr3:uid="{5D792329-3934-154E-B513-228F9642D957}" name="Other notes" dataDxfId="32" totalsRowDxfId="11"/>
    <tableColumn id="4" xr3:uid="{AA858D9F-6D76-4141-A6A4-A7FA03AB8322}" name="hgmd reference" dataDxfId="31" totalsRowDxfId="10"/>
    <tableColumn id="6" xr3:uid="{FE5CA390-0802-4950-81FF-F443D42EAC48}" name="Column1" dataDxfId="30" totalsRowDxfId="9"/>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7F16E64-AF03-6942-A45E-946E7BA656F1}" name="Table2" displayName="Table2" ref="A4:R12" totalsRowShown="0" headerRowDxfId="51">
  <autoFilter ref="A4:R12" xr:uid="{F7F16E64-AF03-6942-A45E-946E7BA656F1}"/>
  <tableColumns count="18">
    <tableColumn id="1" xr3:uid="{26B2142F-49DF-FA43-919C-93984D5BC5A4}" name="Identifier" dataDxfId="50"/>
    <tableColumn id="2" xr3:uid="{1E478426-D49A-C745-8EFF-23509A98E24D}" name="Location"/>
    <tableColumn id="3" xr3:uid="{BA2C5D4D-A92C-C743-9F4E-62F9AB0B7113}" name="Nucleotide change"/>
    <tableColumn id="4" xr3:uid="{5E295DEE-43D5-3D4D-BB43-E33B648CDFAB}" name="Amino acid position"/>
    <tableColumn id="5" xr3:uid="{C22F813D-F905-FA4A-B4D9-4454F83FEE36}" name="Amino acid change"/>
    <tableColumn id="6" xr3:uid="{9F672E19-4AB2-0043-BE12-63411B314A8C}" name="Type of Mutation - DNA"/>
    <tableColumn id="7" xr3:uid="{1DBE7013-1477-0B48-B504-05B205C00B79}" name="additional mutation info"/>
    <tableColumn id="8" xr3:uid="{91E96DE5-EBF8-B94A-9BA5-4A281E87D235}" name="Predicted functional effect in silico"/>
    <tableColumn id="9" xr3:uid="{DE4D153B-4A65-A846-9846-D0B8F63813DF}" name="Predicted effect on splicing"/>
    <tableColumn id="10" xr3:uid="{58890B72-13DF-1745-B152-4490E0F937D5}" name="clinvar classification"/>
    <tableColumn id="11" xr3:uid="{1F381FA0-0094-204F-A031-0EF33A091ACF}" name="rs number"/>
    <tableColumn id="12" xr3:uid="{A6361B5D-9551-EF42-9EE5-86E737B2C440}" name="GRCh38"/>
    <tableColumn id="13" xr3:uid="{C72B5E3E-E2FF-A14C-84E9-8C3B93BEE0FB}" name="Reference"/>
    <tableColumn id="14" xr3:uid="{396BD42A-5371-6E40-9360-668AF3D6BCB2}" name="PMID"/>
    <tableColumn id="15" xr3:uid="{43548675-9D53-A147-A963-B5B760A69A40}" name="Original description"/>
    <tableColumn id="16" xr3:uid="{9DD59C34-4B68-074A-9E16-94A1FEC42301}" name="Other notes"/>
    <tableColumn id="18" xr3:uid="{9DED471F-5FA0-634D-A290-1D2AD801B173}" name="Resaon for moving from main sheet" dataDxfId="49"/>
    <tableColumn id="19" xr3:uid="{0C7A1C38-F69E-A74C-83FB-14972CB8B29C}" name="Pt no" dataDxfId="48"/>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L5" dT="2021-02-08T17:00:44.57" personId="{006E55A4-D3C4-104B-BFC5-2BC7FCAEE1B6}" id="{EE777CC2-2030-9B4C-B4EF-4D66B3F5D779}">
    <text>Position given in LOVD</text>
  </threadedComment>
  <threadedComment ref="L9" dT="2021-02-08T17:06:50.75" personId="{006E55A4-D3C4-104B-BFC5-2BC7FCAEE1B6}" id="{4287448B-D3FB-404E-90C6-B71CA5FA777D}">
    <text>location given in LOVD; likely GRCH37</text>
  </threadedComment>
</ThreadedComments>
</file>

<file path=xl/worksheets/_rels/sheet1.xml.rels><?xml version="1.0" encoding="UTF-8" standalone="yes"?>
<Relationships xmlns="http://schemas.openxmlformats.org/package/2006/relationships"><Relationship Id="rId8" Type="http://schemas.openxmlformats.org/officeDocument/2006/relationships/table" Target="../tables/table1.xml"/><Relationship Id="rId3" Type="http://schemas.openxmlformats.org/officeDocument/2006/relationships/hyperlink" Target="http://www.ncbi.nlm.nih.gov/nuccore/NG_008654" TargetMode="External"/><Relationship Id="rId7" Type="http://schemas.openxmlformats.org/officeDocument/2006/relationships/printerSettings" Target="../printerSettings/printerSettings1.bin"/><Relationship Id="rId2" Type="http://schemas.openxmlformats.org/officeDocument/2006/relationships/hyperlink" Target="http://www.ncbi.nlm.nih.gov/gene/1201" TargetMode="External"/><Relationship Id="rId1" Type="http://schemas.openxmlformats.org/officeDocument/2006/relationships/hyperlink" Target="https://www.ncbi.nlm.nih.gov/snp/rs386833728" TargetMode="External"/><Relationship Id="rId6" Type="http://schemas.openxmlformats.org/officeDocument/2006/relationships/hyperlink" Target="https://www.ncbi.nlm.nih.gov/nuccore/NM_001042432.2/" TargetMode="External"/><Relationship Id="rId5" Type="http://schemas.openxmlformats.org/officeDocument/2006/relationships/hyperlink" Target="https://www.ncbi.nlm.nih.gov/snp/rs777383109" TargetMode="External"/><Relationship Id="rId4" Type="http://schemas.openxmlformats.org/officeDocument/2006/relationships/hyperlink" Target="http://www.ncbi.nlm.nih.gov/nuccore/NM_000086.2"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table" Target="../tables/table2.xml"/><Relationship Id="rId1" Type="http://schemas.openxmlformats.org/officeDocument/2006/relationships/vmlDrawing" Target="../drawings/vmlDrawing1.vml"/><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089E5B-3616-1245-89CC-94F41F33E19B}">
  <dimension ref="A1:CG151"/>
  <sheetViews>
    <sheetView topLeftCell="A132" zoomScale="80" zoomScaleNormal="80" workbookViewId="0">
      <selection activeCell="L12" sqref="L12:L119"/>
    </sheetView>
    <sheetView workbookViewId="1"/>
    <sheetView tabSelected="1" topLeftCell="A9" zoomScale="77" zoomScaleNormal="77" workbookViewId="2">
      <selection activeCell="A119" sqref="A119:XFD119"/>
    </sheetView>
    <sheetView workbookViewId="3"/>
    <sheetView tabSelected="1" workbookViewId="4">
      <selection activeCell="E3" sqref="E3"/>
    </sheetView>
  </sheetViews>
  <sheetFormatPr defaultColWidth="8.875" defaultRowHeight="15" x14ac:dyDescent="0.25"/>
  <cols>
    <col min="1" max="1" width="14.5" style="81" customWidth="1"/>
    <col min="2" max="2" width="15.625" style="81" bestFit="1" customWidth="1"/>
    <col min="3" max="3" width="25.125" style="84" customWidth="1"/>
    <col min="4" max="4" width="18.625" style="81" customWidth="1"/>
    <col min="5" max="5" width="18.625" style="80" customWidth="1"/>
    <col min="6" max="10" width="18.625" style="81" customWidth="1"/>
    <col min="11" max="11" width="25.125" style="81" customWidth="1"/>
    <col min="12" max="12" width="24.875" style="81" customWidth="1"/>
    <col min="13" max="14" width="19.5" style="81" customWidth="1"/>
    <col min="15" max="15" width="45" style="81" customWidth="1"/>
    <col min="16" max="16" width="50" style="84" customWidth="1"/>
    <col min="17" max="17" width="37.375" style="81" customWidth="1"/>
    <col min="18" max="18" width="18.625" style="81" customWidth="1"/>
    <col min="19" max="16384" width="8.875" style="81"/>
  </cols>
  <sheetData>
    <row r="1" spans="1:18" ht="15" customHeight="1" x14ac:dyDescent="0.25">
      <c r="A1" s="79" t="s">
        <v>0</v>
      </c>
      <c r="B1" s="80" t="s">
        <v>1</v>
      </c>
      <c r="C1" s="73"/>
      <c r="E1" s="82"/>
      <c r="F1" s="83"/>
      <c r="J1" s="82"/>
    </row>
    <row r="2" spans="1:18" x14ac:dyDescent="0.25">
      <c r="A2" s="79" t="s">
        <v>2</v>
      </c>
      <c r="B2" s="22">
        <v>1201</v>
      </c>
      <c r="C2" s="73"/>
      <c r="E2" s="19"/>
      <c r="F2" s="83"/>
      <c r="J2" s="19"/>
    </row>
    <row r="3" spans="1:18" ht="15" customHeight="1" x14ac:dyDescent="0.25">
      <c r="A3" s="79" t="s">
        <v>3</v>
      </c>
      <c r="B3" s="80" t="s">
        <v>4</v>
      </c>
      <c r="C3" s="73"/>
      <c r="E3" s="19"/>
      <c r="F3" s="83"/>
      <c r="J3" s="19"/>
    </row>
    <row r="4" spans="1:18" ht="15.95" customHeight="1" x14ac:dyDescent="0.25">
      <c r="A4" s="79" t="s">
        <v>5</v>
      </c>
      <c r="B4" s="22" t="s">
        <v>6</v>
      </c>
      <c r="C4" s="20" t="s">
        <v>7</v>
      </c>
      <c r="E4" s="81"/>
      <c r="F4" s="83"/>
      <c r="J4" s="19"/>
    </row>
    <row r="5" spans="1:18" ht="15.75" x14ac:dyDescent="0.25">
      <c r="A5" s="85" t="s">
        <v>8</v>
      </c>
      <c r="B5" s="44" t="s">
        <v>9</v>
      </c>
      <c r="C5" s="20" t="s">
        <v>10</v>
      </c>
      <c r="D5" s="21" t="s">
        <v>11</v>
      </c>
      <c r="E5" s="20" t="s">
        <v>12</v>
      </c>
      <c r="F5" s="86"/>
      <c r="J5" s="87"/>
    </row>
    <row r="6" spans="1:18" ht="15.95" customHeight="1" x14ac:dyDescent="0.25">
      <c r="A6" s="79" t="s">
        <v>13</v>
      </c>
      <c r="B6" s="22" t="s">
        <v>14</v>
      </c>
      <c r="C6" s="84" t="s">
        <v>15</v>
      </c>
      <c r="D6" s="22" t="s">
        <v>16</v>
      </c>
      <c r="E6" s="84" t="s">
        <v>15</v>
      </c>
      <c r="F6" s="83"/>
      <c r="J6" s="82"/>
    </row>
    <row r="7" spans="1:18" x14ac:dyDescent="0.25">
      <c r="A7" s="88" t="s">
        <v>17</v>
      </c>
      <c r="B7" s="83"/>
      <c r="E7" s="83"/>
      <c r="F7" s="80"/>
      <c r="J7" s="83"/>
    </row>
    <row r="8" spans="1:18" x14ac:dyDescent="0.25">
      <c r="A8" s="81" t="s">
        <v>18</v>
      </c>
      <c r="B8" s="81" t="s">
        <v>19</v>
      </c>
      <c r="E8" s="83"/>
      <c r="F8" s="80"/>
      <c r="J8" s="83"/>
    </row>
    <row r="9" spans="1:18" x14ac:dyDescent="0.25">
      <c r="A9" s="81" t="s">
        <v>802</v>
      </c>
      <c r="B9" s="79"/>
      <c r="E9" s="83"/>
      <c r="F9" s="80"/>
      <c r="J9" s="83"/>
    </row>
    <row r="11" spans="1:18" s="73" customFormat="1" ht="45.75" thickBot="1" x14ac:dyDescent="0.3">
      <c r="A11" s="89" t="s">
        <v>20</v>
      </c>
      <c r="B11" s="90" t="s">
        <v>21</v>
      </c>
      <c r="C11" s="90" t="s">
        <v>22</v>
      </c>
      <c r="D11" s="90" t="s">
        <v>23</v>
      </c>
      <c r="E11" s="90" t="s">
        <v>24</v>
      </c>
      <c r="F11" s="90" t="s">
        <v>25</v>
      </c>
      <c r="G11" s="90" t="s">
        <v>26</v>
      </c>
      <c r="H11" s="90" t="s">
        <v>27</v>
      </c>
      <c r="I11" s="90" t="s">
        <v>28</v>
      </c>
      <c r="J11" s="90" t="s">
        <v>29</v>
      </c>
      <c r="K11" s="90" t="s">
        <v>30</v>
      </c>
      <c r="L11" s="89" t="s">
        <v>31</v>
      </c>
      <c r="M11" s="90" t="s">
        <v>32</v>
      </c>
      <c r="N11" s="89" t="s">
        <v>33</v>
      </c>
      <c r="O11" s="90" t="s">
        <v>34</v>
      </c>
      <c r="P11" s="90" t="s">
        <v>35</v>
      </c>
      <c r="Q11" s="89" t="s">
        <v>36</v>
      </c>
      <c r="R11" s="89" t="s">
        <v>737</v>
      </c>
    </row>
    <row r="12" spans="1:18" ht="61.5" customHeight="1" x14ac:dyDescent="0.25">
      <c r="A12" s="73" t="s">
        <v>37</v>
      </c>
      <c r="B12" s="73" t="s">
        <v>38</v>
      </c>
      <c r="C12" s="73" t="s">
        <v>39</v>
      </c>
      <c r="D12" s="73" t="s">
        <v>40</v>
      </c>
      <c r="E12" s="91" t="s">
        <v>41</v>
      </c>
      <c r="F12" s="84" t="s">
        <v>42</v>
      </c>
      <c r="G12" s="73" t="s">
        <v>43</v>
      </c>
      <c r="H12" s="73" t="s">
        <v>44</v>
      </c>
      <c r="I12" s="73" t="s">
        <v>40</v>
      </c>
      <c r="J12" s="73" t="s">
        <v>45</v>
      </c>
      <c r="K12" s="73" t="s">
        <v>46</v>
      </c>
      <c r="L12" s="77" t="s">
        <v>47</v>
      </c>
      <c r="M12" s="73" t="s">
        <v>48</v>
      </c>
      <c r="N12" s="92">
        <v>7553855</v>
      </c>
      <c r="O12" s="24"/>
      <c r="P12" s="73" t="s">
        <v>49</v>
      </c>
      <c r="Q12" s="73"/>
      <c r="R12" s="73"/>
    </row>
    <row r="13" spans="1:18" ht="56.25" customHeight="1" x14ac:dyDescent="0.25">
      <c r="A13" s="73" t="s">
        <v>50</v>
      </c>
      <c r="B13" s="73" t="s">
        <v>51</v>
      </c>
      <c r="C13" s="73" t="s">
        <v>52</v>
      </c>
      <c r="D13" s="73" t="s">
        <v>40</v>
      </c>
      <c r="E13" s="91" t="s">
        <v>53</v>
      </c>
      <c r="F13" s="73" t="s">
        <v>42</v>
      </c>
      <c r="G13" s="73" t="s">
        <v>54</v>
      </c>
      <c r="H13" s="73" t="s">
        <v>44</v>
      </c>
      <c r="I13" s="73" t="s">
        <v>40</v>
      </c>
      <c r="J13" s="73" t="s">
        <v>45</v>
      </c>
      <c r="K13" s="93" t="s">
        <v>40</v>
      </c>
      <c r="L13" s="77" t="s">
        <v>759</v>
      </c>
      <c r="M13" s="73" t="s">
        <v>55</v>
      </c>
      <c r="N13" s="92">
        <v>9311735</v>
      </c>
      <c r="O13" s="73" t="s">
        <v>56</v>
      </c>
      <c r="P13" s="73" t="s">
        <v>57</v>
      </c>
      <c r="Q13" s="73"/>
      <c r="R13" s="73"/>
    </row>
    <row r="14" spans="1:18" ht="75" x14ac:dyDescent="0.25">
      <c r="A14" s="73" t="s">
        <v>58</v>
      </c>
      <c r="B14" s="73" t="s">
        <v>801</v>
      </c>
      <c r="C14" s="94" t="s">
        <v>736</v>
      </c>
      <c r="D14" s="73" t="s">
        <v>40</v>
      </c>
      <c r="E14" s="91" t="s">
        <v>41</v>
      </c>
      <c r="F14" s="84" t="s">
        <v>42</v>
      </c>
      <c r="G14" s="73" t="s">
        <v>42</v>
      </c>
      <c r="H14" s="73" t="s">
        <v>44</v>
      </c>
      <c r="I14" s="73" t="s">
        <v>40</v>
      </c>
      <c r="J14" s="73" t="s">
        <v>40</v>
      </c>
      <c r="K14" s="84" t="s">
        <v>40</v>
      </c>
      <c r="L14" s="77" t="s">
        <v>758</v>
      </c>
      <c r="M14" s="73" t="s">
        <v>60</v>
      </c>
      <c r="N14" s="95">
        <v>7887419</v>
      </c>
      <c r="O14" s="73" t="s">
        <v>738</v>
      </c>
      <c r="P14" s="73" t="s">
        <v>61</v>
      </c>
      <c r="Q14" s="96" t="s">
        <v>62</v>
      </c>
      <c r="R14" s="73"/>
    </row>
    <row r="15" spans="1:18" ht="30" x14ac:dyDescent="0.25">
      <c r="A15" s="73" t="s">
        <v>63</v>
      </c>
      <c r="B15" s="73" t="s">
        <v>64</v>
      </c>
      <c r="C15" s="73" t="s">
        <v>65</v>
      </c>
      <c r="D15" s="73" t="s">
        <v>40</v>
      </c>
      <c r="E15" s="73" t="s">
        <v>41</v>
      </c>
      <c r="F15" s="73" t="s">
        <v>66</v>
      </c>
      <c r="G15" s="73" t="s">
        <v>67</v>
      </c>
      <c r="H15" s="73" t="s">
        <v>68</v>
      </c>
      <c r="I15" s="73" t="s">
        <v>40</v>
      </c>
      <c r="J15" s="73" t="s">
        <v>69</v>
      </c>
      <c r="K15" s="73" t="s">
        <v>70</v>
      </c>
      <c r="L15" s="77" t="s">
        <v>766</v>
      </c>
      <c r="M15" s="73" t="s">
        <v>55</v>
      </c>
      <c r="N15" s="97">
        <v>9311735</v>
      </c>
      <c r="O15" s="24"/>
      <c r="P15" s="98" t="s">
        <v>71</v>
      </c>
      <c r="Q15" s="73"/>
      <c r="R15" s="73"/>
    </row>
    <row r="16" spans="1:18" ht="30" x14ac:dyDescent="0.25">
      <c r="A16" s="99" t="s">
        <v>72</v>
      </c>
      <c r="B16" s="73" t="s">
        <v>73</v>
      </c>
      <c r="C16" s="100" t="s">
        <v>74</v>
      </c>
      <c r="D16" s="101">
        <v>101</v>
      </c>
      <c r="E16" s="98" t="s">
        <v>75</v>
      </c>
      <c r="F16" s="84" t="s">
        <v>66</v>
      </c>
      <c r="G16" s="99" t="s">
        <v>76</v>
      </c>
      <c r="H16" s="73" t="s">
        <v>77</v>
      </c>
      <c r="I16" s="73" t="s">
        <v>78</v>
      </c>
      <c r="J16" s="73" t="s">
        <v>69</v>
      </c>
      <c r="K16" s="73" t="s">
        <v>79</v>
      </c>
      <c r="L16" s="77" t="s">
        <v>768</v>
      </c>
      <c r="M16" s="78" t="s">
        <v>55</v>
      </c>
      <c r="N16" s="92">
        <v>9311735</v>
      </c>
      <c r="O16" s="102"/>
      <c r="P16" s="78"/>
      <c r="Q16" s="93" t="s">
        <v>80</v>
      </c>
      <c r="R16" s="73"/>
    </row>
    <row r="17" spans="1:18" ht="30" x14ac:dyDescent="0.25">
      <c r="A17" s="73" t="s">
        <v>81</v>
      </c>
      <c r="B17" s="73" t="s">
        <v>82</v>
      </c>
      <c r="C17" s="73" t="s">
        <v>83</v>
      </c>
      <c r="D17" s="101">
        <v>127</v>
      </c>
      <c r="E17" s="103" t="s">
        <v>84</v>
      </c>
      <c r="F17" s="73" t="s">
        <v>85</v>
      </c>
      <c r="G17" s="73" t="s">
        <v>86</v>
      </c>
      <c r="H17" s="73" t="s">
        <v>40</v>
      </c>
      <c r="I17" s="73"/>
      <c r="J17" s="73" t="s">
        <v>69</v>
      </c>
      <c r="K17" s="93" t="s">
        <v>87</v>
      </c>
      <c r="L17" s="77" t="s">
        <v>88</v>
      </c>
      <c r="M17" s="73" t="s">
        <v>55</v>
      </c>
      <c r="N17" s="103">
        <v>9311735</v>
      </c>
      <c r="O17" s="103" t="s">
        <v>89</v>
      </c>
      <c r="P17" s="73" t="s">
        <v>90</v>
      </c>
      <c r="Q17" s="73"/>
      <c r="R17" s="73"/>
    </row>
    <row r="18" spans="1:18" ht="30" x14ac:dyDescent="0.25">
      <c r="A18" s="73" t="s">
        <v>91</v>
      </c>
      <c r="B18" s="73" t="s">
        <v>82</v>
      </c>
      <c r="C18" s="73" t="s">
        <v>92</v>
      </c>
      <c r="D18" s="73">
        <v>142</v>
      </c>
      <c r="E18" s="98" t="s">
        <v>93</v>
      </c>
      <c r="F18" s="73" t="s">
        <v>42</v>
      </c>
      <c r="G18" s="73" t="s">
        <v>86</v>
      </c>
      <c r="H18" s="73" t="s">
        <v>40</v>
      </c>
      <c r="I18" s="73" t="s">
        <v>94</v>
      </c>
      <c r="J18" s="73" t="s">
        <v>95</v>
      </c>
      <c r="K18" s="93" t="s">
        <v>96</v>
      </c>
      <c r="L18" s="77" t="s">
        <v>755</v>
      </c>
      <c r="M18" s="73" t="s">
        <v>97</v>
      </c>
      <c r="N18" s="92">
        <v>9311735</v>
      </c>
      <c r="O18" s="92"/>
      <c r="P18" s="73" t="s">
        <v>98</v>
      </c>
      <c r="Q18" s="73"/>
      <c r="R18" s="73"/>
    </row>
    <row r="19" spans="1:18" ht="75" x14ac:dyDescent="0.25">
      <c r="A19" s="73" t="s">
        <v>99</v>
      </c>
      <c r="B19" s="73" t="s">
        <v>100</v>
      </c>
      <c r="C19" s="78" t="s">
        <v>101</v>
      </c>
      <c r="D19" s="73" t="s">
        <v>40</v>
      </c>
      <c r="E19" s="84" t="s">
        <v>41</v>
      </c>
      <c r="F19" s="84" t="s">
        <v>66</v>
      </c>
      <c r="G19" s="73" t="s">
        <v>54</v>
      </c>
      <c r="H19" s="73" t="s">
        <v>44</v>
      </c>
      <c r="I19" s="73" t="s">
        <v>40</v>
      </c>
      <c r="J19" s="73" t="s">
        <v>69</v>
      </c>
      <c r="K19" s="93" t="s">
        <v>102</v>
      </c>
      <c r="L19" s="77" t="s">
        <v>778</v>
      </c>
      <c r="M19" s="78" t="s">
        <v>55</v>
      </c>
      <c r="N19" s="92">
        <v>9311735</v>
      </c>
      <c r="O19" s="98" t="s">
        <v>103</v>
      </c>
      <c r="P19" s="100" t="s">
        <v>104</v>
      </c>
      <c r="Q19" s="100"/>
      <c r="R19" s="73"/>
    </row>
    <row r="20" spans="1:18" ht="30" x14ac:dyDescent="0.25">
      <c r="A20" s="73" t="s">
        <v>105</v>
      </c>
      <c r="B20" s="73" t="s">
        <v>106</v>
      </c>
      <c r="C20" s="73" t="s">
        <v>107</v>
      </c>
      <c r="D20" s="73">
        <v>161</v>
      </c>
      <c r="E20" s="98" t="s">
        <v>108</v>
      </c>
      <c r="F20" s="73" t="s">
        <v>66</v>
      </c>
      <c r="G20" s="73" t="s">
        <v>109</v>
      </c>
      <c r="H20" s="73" t="s">
        <v>40</v>
      </c>
      <c r="I20" s="73" t="s">
        <v>78</v>
      </c>
      <c r="J20" s="73" t="s">
        <v>69</v>
      </c>
      <c r="K20" s="93" t="s">
        <v>110</v>
      </c>
      <c r="L20" s="77" t="s">
        <v>753</v>
      </c>
      <c r="M20" s="73" t="s">
        <v>55</v>
      </c>
      <c r="N20" s="26">
        <v>9311735</v>
      </c>
      <c r="O20" s="26"/>
      <c r="P20" s="73"/>
      <c r="Q20" s="73"/>
      <c r="R20" s="73"/>
    </row>
    <row r="21" spans="1:18" ht="30" x14ac:dyDescent="0.25">
      <c r="A21" s="73" t="s">
        <v>111</v>
      </c>
      <c r="B21" s="73" t="s">
        <v>106</v>
      </c>
      <c r="C21" s="73" t="s">
        <v>112</v>
      </c>
      <c r="D21" s="73">
        <v>162</v>
      </c>
      <c r="E21" s="98" t="s">
        <v>113</v>
      </c>
      <c r="F21" s="73" t="s">
        <v>66</v>
      </c>
      <c r="G21" s="73" t="s">
        <v>109</v>
      </c>
      <c r="H21" s="73" t="s">
        <v>40</v>
      </c>
      <c r="I21" s="73" t="s">
        <v>78</v>
      </c>
      <c r="J21" s="73" t="s">
        <v>69</v>
      </c>
      <c r="K21" s="93" t="s">
        <v>114</v>
      </c>
      <c r="L21" s="77" t="s">
        <v>752</v>
      </c>
      <c r="M21" s="73" t="s">
        <v>55</v>
      </c>
      <c r="N21" s="26">
        <v>9311735</v>
      </c>
      <c r="O21" s="66"/>
      <c r="P21" s="73"/>
      <c r="Q21" s="73"/>
      <c r="R21" s="73"/>
    </row>
    <row r="22" spans="1:18" ht="30" x14ac:dyDescent="0.25">
      <c r="A22" s="73" t="s">
        <v>115</v>
      </c>
      <c r="B22" s="73" t="s">
        <v>106</v>
      </c>
      <c r="C22" s="73" t="s">
        <v>116</v>
      </c>
      <c r="D22" s="73">
        <v>170</v>
      </c>
      <c r="E22" s="98" t="s">
        <v>117</v>
      </c>
      <c r="F22" s="73" t="s">
        <v>66</v>
      </c>
      <c r="G22" s="73" t="s">
        <v>76</v>
      </c>
      <c r="H22" s="73" t="s">
        <v>77</v>
      </c>
      <c r="I22" s="73" t="s">
        <v>78</v>
      </c>
      <c r="J22" s="73" t="s">
        <v>69</v>
      </c>
      <c r="K22" s="93" t="s">
        <v>118</v>
      </c>
      <c r="L22" s="77" t="s">
        <v>751</v>
      </c>
      <c r="M22" s="73" t="s">
        <v>55</v>
      </c>
      <c r="N22" s="26">
        <v>9311735</v>
      </c>
      <c r="O22" s="66"/>
      <c r="P22" s="73"/>
      <c r="Q22" s="73"/>
      <c r="R22" s="73"/>
    </row>
    <row r="23" spans="1:18" ht="45" x14ac:dyDescent="0.25">
      <c r="A23" s="73" t="s">
        <v>119</v>
      </c>
      <c r="B23" s="73" t="s">
        <v>120</v>
      </c>
      <c r="C23" s="73" t="s">
        <v>121</v>
      </c>
      <c r="D23" s="73">
        <v>187</v>
      </c>
      <c r="E23" s="98" t="s">
        <v>122</v>
      </c>
      <c r="F23" s="73" t="s">
        <v>42</v>
      </c>
      <c r="G23" s="73" t="s">
        <v>86</v>
      </c>
      <c r="H23" s="73" t="s">
        <v>40</v>
      </c>
      <c r="I23" s="73" t="s">
        <v>123</v>
      </c>
      <c r="J23" s="73" t="s">
        <v>69</v>
      </c>
      <c r="K23" s="73" t="s">
        <v>124</v>
      </c>
      <c r="L23" s="77" t="s">
        <v>765</v>
      </c>
      <c r="M23" s="73" t="s">
        <v>55</v>
      </c>
      <c r="N23" s="26">
        <v>9311735</v>
      </c>
      <c r="O23" s="66"/>
      <c r="P23" s="73"/>
      <c r="Q23" s="73"/>
      <c r="R23" s="73"/>
    </row>
    <row r="24" spans="1:18" ht="30" x14ac:dyDescent="0.25">
      <c r="A24" s="73" t="s">
        <v>125</v>
      </c>
      <c r="B24" s="73" t="s">
        <v>120</v>
      </c>
      <c r="C24" s="73" t="s">
        <v>126</v>
      </c>
      <c r="D24" s="73">
        <v>196</v>
      </c>
      <c r="E24" s="98" t="s">
        <v>127</v>
      </c>
      <c r="F24" s="73" t="s">
        <v>85</v>
      </c>
      <c r="G24" s="73" t="s">
        <v>86</v>
      </c>
      <c r="H24" s="73" t="s">
        <v>40</v>
      </c>
      <c r="I24" s="73" t="s">
        <v>78</v>
      </c>
      <c r="J24" s="73" t="s">
        <v>40</v>
      </c>
      <c r="K24" s="84" t="s">
        <v>40</v>
      </c>
      <c r="L24" s="77" t="s">
        <v>776</v>
      </c>
      <c r="M24" s="73" t="s">
        <v>55</v>
      </c>
      <c r="N24" s="26">
        <v>9311735</v>
      </c>
      <c r="O24" s="26"/>
      <c r="P24" s="73"/>
      <c r="Q24" s="93" t="s">
        <v>128</v>
      </c>
      <c r="R24" s="73"/>
    </row>
    <row r="25" spans="1:18" ht="30" x14ac:dyDescent="0.25">
      <c r="A25" s="73" t="s">
        <v>129</v>
      </c>
      <c r="B25" s="73" t="s">
        <v>120</v>
      </c>
      <c r="C25" s="73" t="s">
        <v>130</v>
      </c>
      <c r="D25" s="73">
        <v>211</v>
      </c>
      <c r="E25" s="98" t="s">
        <v>131</v>
      </c>
      <c r="F25" s="73" t="s">
        <v>66</v>
      </c>
      <c r="G25" s="73" t="s">
        <v>109</v>
      </c>
      <c r="H25" s="73" t="s">
        <v>40</v>
      </c>
      <c r="I25" s="73" t="s">
        <v>132</v>
      </c>
      <c r="J25" s="73" t="s">
        <v>45</v>
      </c>
      <c r="K25" s="73" t="s">
        <v>133</v>
      </c>
      <c r="L25" s="77" t="s">
        <v>748</v>
      </c>
      <c r="M25" s="73" t="s">
        <v>55</v>
      </c>
      <c r="N25" s="26">
        <v>9311735</v>
      </c>
      <c r="O25" s="26"/>
      <c r="P25" s="73"/>
      <c r="Q25" s="73"/>
      <c r="R25" s="73"/>
    </row>
    <row r="26" spans="1:18" ht="30" x14ac:dyDescent="0.25">
      <c r="A26" s="73" t="s">
        <v>134</v>
      </c>
      <c r="B26" s="73" t="s">
        <v>135</v>
      </c>
      <c r="C26" s="101" t="s">
        <v>136</v>
      </c>
      <c r="D26" s="73">
        <v>295</v>
      </c>
      <c r="E26" s="98" t="s">
        <v>137</v>
      </c>
      <c r="F26" s="73" t="s">
        <v>66</v>
      </c>
      <c r="G26" s="73" t="s">
        <v>76</v>
      </c>
      <c r="H26" s="73" t="s">
        <v>138</v>
      </c>
      <c r="I26" s="73" t="s">
        <v>132</v>
      </c>
      <c r="J26" s="73" t="s">
        <v>95</v>
      </c>
      <c r="K26" s="104" t="s">
        <v>139</v>
      </c>
      <c r="L26" s="77" t="s">
        <v>746</v>
      </c>
      <c r="M26" s="101" t="s">
        <v>55</v>
      </c>
      <c r="N26" s="92">
        <v>9311735</v>
      </c>
      <c r="O26" s="78"/>
      <c r="P26" s="105" t="s">
        <v>140</v>
      </c>
      <c r="Q26" s="101"/>
      <c r="R26" s="73"/>
    </row>
    <row r="27" spans="1:18" ht="30" x14ac:dyDescent="0.25">
      <c r="A27" s="73" t="s">
        <v>141</v>
      </c>
      <c r="B27" s="73" t="s">
        <v>142</v>
      </c>
      <c r="C27" s="73" t="s">
        <v>143</v>
      </c>
      <c r="D27" s="73">
        <v>315</v>
      </c>
      <c r="E27" s="106" t="s">
        <v>144</v>
      </c>
      <c r="F27" s="73" t="s">
        <v>85</v>
      </c>
      <c r="G27" s="73" t="s">
        <v>86</v>
      </c>
      <c r="H27" s="73" t="s">
        <v>40</v>
      </c>
      <c r="I27" s="73" t="s">
        <v>94</v>
      </c>
      <c r="J27" s="73" t="s">
        <v>95</v>
      </c>
      <c r="K27" s="73" t="s">
        <v>145</v>
      </c>
      <c r="L27" s="77" t="s">
        <v>764</v>
      </c>
      <c r="M27" s="73" t="s">
        <v>55</v>
      </c>
      <c r="N27" s="97">
        <v>9311735</v>
      </c>
      <c r="O27" s="73"/>
      <c r="P27" s="73" t="s">
        <v>146</v>
      </c>
      <c r="Q27" s="73"/>
      <c r="R27" s="73"/>
    </row>
    <row r="28" spans="1:18" ht="30" x14ac:dyDescent="0.25">
      <c r="A28" s="73" t="s">
        <v>147</v>
      </c>
      <c r="B28" s="73" t="s">
        <v>148</v>
      </c>
      <c r="C28" s="73" t="s">
        <v>149</v>
      </c>
      <c r="D28" s="73">
        <v>327</v>
      </c>
      <c r="E28" s="73" t="s">
        <v>150</v>
      </c>
      <c r="F28" s="84" t="s">
        <v>66</v>
      </c>
      <c r="G28" s="73" t="s">
        <v>109</v>
      </c>
      <c r="H28" s="73" t="s">
        <v>40</v>
      </c>
      <c r="I28" s="73" t="s">
        <v>132</v>
      </c>
      <c r="J28" s="73" t="s">
        <v>69</v>
      </c>
      <c r="K28" s="73" t="s">
        <v>151</v>
      </c>
      <c r="L28" s="77" t="s">
        <v>756</v>
      </c>
      <c r="M28" s="73" t="s">
        <v>55</v>
      </c>
      <c r="N28" s="92">
        <v>9311735</v>
      </c>
      <c r="O28" s="24"/>
      <c r="P28" s="73"/>
      <c r="Q28" s="73"/>
      <c r="R28" s="73"/>
    </row>
    <row r="29" spans="1:18" ht="30" x14ac:dyDescent="0.25">
      <c r="A29" s="73" t="s">
        <v>152</v>
      </c>
      <c r="B29" s="73" t="s">
        <v>148</v>
      </c>
      <c r="C29" s="73" t="s">
        <v>153</v>
      </c>
      <c r="D29" s="73">
        <v>330</v>
      </c>
      <c r="E29" s="73" t="s">
        <v>154</v>
      </c>
      <c r="F29" s="84" t="s">
        <v>66</v>
      </c>
      <c r="G29" s="73" t="s">
        <v>76</v>
      </c>
      <c r="H29" s="73" t="s">
        <v>77</v>
      </c>
      <c r="I29" s="73" t="s">
        <v>132</v>
      </c>
      <c r="J29" s="73" t="s">
        <v>69</v>
      </c>
      <c r="K29" s="73" t="s">
        <v>155</v>
      </c>
      <c r="L29" s="77" t="s">
        <v>650</v>
      </c>
      <c r="M29" s="73" t="s">
        <v>55</v>
      </c>
      <c r="N29" s="92">
        <v>9311735</v>
      </c>
      <c r="O29" s="24"/>
      <c r="P29" s="73"/>
      <c r="Q29" s="73"/>
      <c r="R29" s="73"/>
    </row>
    <row r="30" spans="1:18" ht="30" x14ac:dyDescent="0.25">
      <c r="A30" s="73" t="s">
        <v>156</v>
      </c>
      <c r="B30" s="73" t="s">
        <v>148</v>
      </c>
      <c r="C30" s="73" t="s">
        <v>157</v>
      </c>
      <c r="D30" s="73">
        <v>334</v>
      </c>
      <c r="E30" s="73" t="s">
        <v>158</v>
      </c>
      <c r="F30" s="84" t="s">
        <v>66</v>
      </c>
      <c r="G30" s="73" t="s">
        <v>76</v>
      </c>
      <c r="H30" s="73" t="s">
        <v>77</v>
      </c>
      <c r="I30" s="73" t="s">
        <v>78</v>
      </c>
      <c r="J30" s="73" t="s">
        <v>159</v>
      </c>
      <c r="K30" s="73" t="s">
        <v>160</v>
      </c>
      <c r="L30" s="77" t="s">
        <v>745</v>
      </c>
      <c r="M30" s="73" t="s">
        <v>55</v>
      </c>
      <c r="N30" s="92">
        <v>9311735</v>
      </c>
      <c r="O30" s="107"/>
      <c r="P30" s="73"/>
      <c r="Q30" s="73"/>
      <c r="R30" s="73"/>
    </row>
    <row r="31" spans="1:18" ht="30" x14ac:dyDescent="0.25">
      <c r="A31" s="73" t="s">
        <v>161</v>
      </c>
      <c r="B31" s="73" t="s">
        <v>148</v>
      </c>
      <c r="C31" s="73" t="s">
        <v>162</v>
      </c>
      <c r="D31" s="73">
        <v>334</v>
      </c>
      <c r="E31" s="73" t="s">
        <v>163</v>
      </c>
      <c r="F31" s="84" t="s">
        <v>66</v>
      </c>
      <c r="G31" s="73" t="s">
        <v>76</v>
      </c>
      <c r="H31" s="73" t="s">
        <v>77</v>
      </c>
      <c r="I31" s="73" t="s">
        <v>78</v>
      </c>
      <c r="J31" s="73" t="s">
        <v>159</v>
      </c>
      <c r="K31" s="73" t="s">
        <v>164</v>
      </c>
      <c r="L31" s="77" t="s">
        <v>772</v>
      </c>
      <c r="M31" s="73" t="s">
        <v>55</v>
      </c>
      <c r="N31" s="92">
        <v>9311735</v>
      </c>
      <c r="O31" s="107"/>
      <c r="P31" s="73"/>
      <c r="Q31" s="73"/>
      <c r="R31" s="73"/>
    </row>
    <row r="32" spans="1:18" ht="60" x14ac:dyDescent="0.25">
      <c r="A32" s="73" t="s">
        <v>165</v>
      </c>
      <c r="B32" s="73" t="s">
        <v>148</v>
      </c>
      <c r="C32" s="73" t="s">
        <v>166</v>
      </c>
      <c r="D32" s="73">
        <v>352</v>
      </c>
      <c r="E32" s="73" t="s">
        <v>167</v>
      </c>
      <c r="F32" s="84" t="s">
        <v>66</v>
      </c>
      <c r="G32" s="73" t="s">
        <v>109</v>
      </c>
      <c r="H32" s="73" t="s">
        <v>40</v>
      </c>
      <c r="I32" s="73" t="s">
        <v>168</v>
      </c>
      <c r="J32" s="73" t="s">
        <v>45</v>
      </c>
      <c r="K32" s="73" t="s">
        <v>169</v>
      </c>
      <c r="L32" s="77" t="s">
        <v>771</v>
      </c>
      <c r="M32" s="73" t="s">
        <v>55</v>
      </c>
      <c r="N32" s="92">
        <v>9311735</v>
      </c>
      <c r="O32" s="107"/>
      <c r="P32" s="73" t="s">
        <v>170</v>
      </c>
      <c r="Q32" s="73"/>
      <c r="R32" s="73"/>
    </row>
    <row r="33" spans="1:18" ht="30" x14ac:dyDescent="0.25">
      <c r="A33" s="73" t="s">
        <v>171</v>
      </c>
      <c r="B33" s="73" t="s">
        <v>172</v>
      </c>
      <c r="C33" s="73" t="s">
        <v>173</v>
      </c>
      <c r="D33" s="73">
        <v>400</v>
      </c>
      <c r="E33" s="98" t="s">
        <v>41</v>
      </c>
      <c r="F33" s="84" t="s">
        <v>66</v>
      </c>
      <c r="G33" s="73" t="s">
        <v>174</v>
      </c>
      <c r="H33" s="75" t="s">
        <v>68</v>
      </c>
      <c r="I33" s="73" t="s">
        <v>40</v>
      </c>
      <c r="J33" s="73" t="s">
        <v>45</v>
      </c>
      <c r="K33" s="73" t="s">
        <v>175</v>
      </c>
      <c r="L33" s="77" t="s">
        <v>741</v>
      </c>
      <c r="M33" s="73" t="s">
        <v>55</v>
      </c>
      <c r="N33" s="92">
        <v>9311735</v>
      </c>
      <c r="O33" s="73"/>
      <c r="P33" s="73" t="s">
        <v>176</v>
      </c>
      <c r="Q33" s="73"/>
      <c r="R33" s="73"/>
    </row>
    <row r="34" spans="1:18" s="108" customFormat="1" ht="30" x14ac:dyDescent="0.25">
      <c r="A34" s="73" t="s">
        <v>177</v>
      </c>
      <c r="B34" s="73" t="s">
        <v>178</v>
      </c>
      <c r="C34" s="73" t="s">
        <v>179</v>
      </c>
      <c r="D34" s="73">
        <v>425</v>
      </c>
      <c r="E34" s="98" t="s">
        <v>180</v>
      </c>
      <c r="F34" s="84" t="s">
        <v>42</v>
      </c>
      <c r="G34" s="73" t="s">
        <v>86</v>
      </c>
      <c r="H34" s="73" t="s">
        <v>40</v>
      </c>
      <c r="I34" s="73" t="s">
        <v>181</v>
      </c>
      <c r="J34" s="73" t="s">
        <v>69</v>
      </c>
      <c r="K34" s="73" t="s">
        <v>182</v>
      </c>
      <c r="L34" s="77" t="s">
        <v>743</v>
      </c>
      <c r="M34" s="73" t="s">
        <v>55</v>
      </c>
      <c r="N34" s="92">
        <v>9311735</v>
      </c>
      <c r="O34" s="24"/>
      <c r="P34" s="73"/>
      <c r="Q34" s="73"/>
      <c r="R34" s="73"/>
    </row>
    <row r="35" spans="1:18" s="108" customFormat="1" ht="30" x14ac:dyDescent="0.25">
      <c r="A35" s="73" t="s">
        <v>183</v>
      </c>
      <c r="B35" s="73" t="s">
        <v>184</v>
      </c>
      <c r="C35" s="73" t="s">
        <v>185</v>
      </c>
      <c r="D35" s="73" t="s">
        <v>40</v>
      </c>
      <c r="E35" s="73" t="s">
        <v>41</v>
      </c>
      <c r="F35" s="84" t="s">
        <v>66</v>
      </c>
      <c r="G35" s="75" t="s">
        <v>174</v>
      </c>
      <c r="H35" s="73" t="s">
        <v>68</v>
      </c>
      <c r="I35" s="73" t="s">
        <v>40</v>
      </c>
      <c r="J35" s="73" t="s">
        <v>69</v>
      </c>
      <c r="K35" s="73" t="s">
        <v>186</v>
      </c>
      <c r="L35" s="77" t="s">
        <v>767</v>
      </c>
      <c r="M35" s="73" t="s">
        <v>188</v>
      </c>
      <c r="N35" s="109">
        <v>21990111</v>
      </c>
      <c r="O35" s="24"/>
      <c r="P35" s="73" t="s">
        <v>189</v>
      </c>
      <c r="Q35" s="73"/>
      <c r="R35" s="73"/>
    </row>
    <row r="36" spans="1:18" ht="30" x14ac:dyDescent="0.25">
      <c r="A36" s="73" t="s">
        <v>190</v>
      </c>
      <c r="B36" s="73" t="s">
        <v>120</v>
      </c>
      <c r="C36" s="73" t="s">
        <v>191</v>
      </c>
      <c r="D36" s="73">
        <v>208</v>
      </c>
      <c r="E36" s="98" t="s">
        <v>192</v>
      </c>
      <c r="F36" s="73" t="s">
        <v>85</v>
      </c>
      <c r="G36" s="73" t="s">
        <v>86</v>
      </c>
      <c r="H36" s="73" t="s">
        <v>40</v>
      </c>
      <c r="I36" s="73" t="s">
        <v>193</v>
      </c>
      <c r="J36" s="73" t="s">
        <v>45</v>
      </c>
      <c r="K36" s="73" t="s">
        <v>194</v>
      </c>
      <c r="L36" s="77" t="s">
        <v>775</v>
      </c>
      <c r="M36" s="73" t="s">
        <v>195</v>
      </c>
      <c r="N36" s="92">
        <v>21499717</v>
      </c>
      <c r="O36" s="73"/>
      <c r="P36" s="73"/>
      <c r="Q36" s="73"/>
      <c r="R36" s="73"/>
    </row>
    <row r="37" spans="1:18" ht="30" x14ac:dyDescent="0.25">
      <c r="A37" s="73" t="s">
        <v>196</v>
      </c>
      <c r="B37" s="73" t="s">
        <v>197</v>
      </c>
      <c r="C37" s="75" t="s">
        <v>198</v>
      </c>
      <c r="D37" s="75">
        <v>376</v>
      </c>
      <c r="E37" s="75" t="s">
        <v>199</v>
      </c>
      <c r="F37" s="75" t="s">
        <v>42</v>
      </c>
      <c r="G37" s="75" t="s">
        <v>86</v>
      </c>
      <c r="H37" s="75" t="s">
        <v>40</v>
      </c>
      <c r="I37" s="75" t="s">
        <v>78</v>
      </c>
      <c r="J37" s="75" t="s">
        <v>69</v>
      </c>
      <c r="K37" s="75" t="s">
        <v>200</v>
      </c>
      <c r="L37" s="77" t="s">
        <v>201</v>
      </c>
      <c r="M37" s="75" t="s">
        <v>202</v>
      </c>
      <c r="N37" s="97">
        <v>33783722</v>
      </c>
      <c r="O37" s="75"/>
      <c r="P37" s="73" t="s">
        <v>189</v>
      </c>
      <c r="Q37" s="73"/>
      <c r="R37" s="73"/>
    </row>
    <row r="38" spans="1:18" ht="30" x14ac:dyDescent="0.25">
      <c r="A38" s="73" t="s">
        <v>203</v>
      </c>
      <c r="B38" s="73" t="s">
        <v>120</v>
      </c>
      <c r="C38" s="73" t="s">
        <v>204</v>
      </c>
      <c r="D38" s="73">
        <v>199</v>
      </c>
      <c r="E38" s="98" t="s">
        <v>205</v>
      </c>
      <c r="F38" s="84" t="s">
        <v>66</v>
      </c>
      <c r="G38" s="73" t="s">
        <v>109</v>
      </c>
      <c r="H38" s="73" t="s">
        <v>40</v>
      </c>
      <c r="I38" s="73" t="s">
        <v>78</v>
      </c>
      <c r="J38" s="73" t="s">
        <v>159</v>
      </c>
      <c r="K38" s="73" t="s">
        <v>206</v>
      </c>
      <c r="L38" s="77" t="s">
        <v>749</v>
      </c>
      <c r="M38" s="73" t="s">
        <v>207</v>
      </c>
      <c r="N38" s="109">
        <v>19489875</v>
      </c>
      <c r="O38" s="24"/>
      <c r="P38" s="73"/>
      <c r="Q38" s="73"/>
      <c r="R38" s="73"/>
    </row>
    <row r="39" spans="1:18" ht="30" x14ac:dyDescent="0.25">
      <c r="A39" s="73" t="s">
        <v>208</v>
      </c>
      <c r="B39" s="73" t="s">
        <v>209</v>
      </c>
      <c r="C39" s="73" t="s">
        <v>210</v>
      </c>
      <c r="D39" s="73" t="s">
        <v>40</v>
      </c>
      <c r="E39" s="73" t="s">
        <v>41</v>
      </c>
      <c r="F39" s="84" t="s">
        <v>66</v>
      </c>
      <c r="G39" s="75" t="s">
        <v>174</v>
      </c>
      <c r="H39" s="73" t="s">
        <v>68</v>
      </c>
      <c r="I39" s="73" t="s">
        <v>40</v>
      </c>
      <c r="J39" s="73" t="s">
        <v>69</v>
      </c>
      <c r="K39" s="73" t="s">
        <v>211</v>
      </c>
      <c r="L39" s="77" t="s">
        <v>757</v>
      </c>
      <c r="M39" s="73" t="s">
        <v>188</v>
      </c>
      <c r="N39" s="92">
        <v>21990111</v>
      </c>
      <c r="O39" s="73"/>
      <c r="P39" s="73"/>
      <c r="Q39" s="73"/>
      <c r="R39" s="73"/>
    </row>
    <row r="40" spans="1:18" ht="30" x14ac:dyDescent="0.25">
      <c r="A40" s="73" t="s">
        <v>212</v>
      </c>
      <c r="B40" s="73" t="s">
        <v>120</v>
      </c>
      <c r="C40" s="73" t="s">
        <v>213</v>
      </c>
      <c r="D40" s="73">
        <v>187</v>
      </c>
      <c r="E40" s="98" t="s">
        <v>214</v>
      </c>
      <c r="F40" s="84" t="s">
        <v>66</v>
      </c>
      <c r="G40" s="73" t="s">
        <v>76</v>
      </c>
      <c r="H40" s="73" t="s">
        <v>77</v>
      </c>
      <c r="I40" s="73" t="s">
        <v>78</v>
      </c>
      <c r="J40" s="73" t="s">
        <v>215</v>
      </c>
      <c r="K40" s="73" t="s">
        <v>216</v>
      </c>
      <c r="L40" s="77" t="s">
        <v>217</v>
      </c>
      <c r="M40" s="73" t="s">
        <v>218</v>
      </c>
      <c r="N40" s="109">
        <v>21990111</v>
      </c>
      <c r="O40" s="78"/>
      <c r="P40" s="73"/>
      <c r="Q40" s="93" t="s">
        <v>219</v>
      </c>
      <c r="R40" s="73"/>
    </row>
    <row r="41" spans="1:18" ht="45" x14ac:dyDescent="0.25">
      <c r="A41" s="73" t="s">
        <v>220</v>
      </c>
      <c r="B41" s="73" t="s">
        <v>197</v>
      </c>
      <c r="C41" s="73" t="s">
        <v>221</v>
      </c>
      <c r="D41" s="73">
        <v>399</v>
      </c>
      <c r="E41" s="98" t="s">
        <v>222</v>
      </c>
      <c r="F41" s="84" t="s">
        <v>66</v>
      </c>
      <c r="G41" s="84" t="s">
        <v>109</v>
      </c>
      <c r="H41" s="73" t="s">
        <v>40</v>
      </c>
      <c r="I41" s="73" t="s">
        <v>223</v>
      </c>
      <c r="J41" s="73" t="s">
        <v>159</v>
      </c>
      <c r="K41" s="73" t="s">
        <v>224</v>
      </c>
      <c r="L41" s="77" t="s">
        <v>225</v>
      </c>
      <c r="M41" s="73" t="s">
        <v>188</v>
      </c>
      <c r="N41" s="109">
        <v>21990111</v>
      </c>
      <c r="O41" s="24"/>
      <c r="P41" s="73" t="s">
        <v>226</v>
      </c>
      <c r="Q41" s="73"/>
      <c r="R41" s="73"/>
    </row>
    <row r="42" spans="1:18" ht="30" x14ac:dyDescent="0.25">
      <c r="A42" s="73" t="s">
        <v>227</v>
      </c>
      <c r="B42" s="73" t="s">
        <v>135</v>
      </c>
      <c r="C42" s="73" t="s">
        <v>228</v>
      </c>
      <c r="D42" s="73">
        <v>295</v>
      </c>
      <c r="E42" s="73" t="s">
        <v>229</v>
      </c>
      <c r="F42" s="84" t="s">
        <v>66</v>
      </c>
      <c r="G42" s="73" t="s">
        <v>109</v>
      </c>
      <c r="H42" s="73" t="s">
        <v>40</v>
      </c>
      <c r="I42" s="73" t="s">
        <v>132</v>
      </c>
      <c r="J42" s="73" t="s">
        <v>159</v>
      </c>
      <c r="K42" s="73" t="s">
        <v>230</v>
      </c>
      <c r="L42" s="77" t="s">
        <v>231</v>
      </c>
      <c r="M42" s="73" t="s">
        <v>232</v>
      </c>
      <c r="N42" s="97">
        <v>21990111</v>
      </c>
      <c r="O42" s="101"/>
      <c r="P42" s="73"/>
      <c r="Q42" s="104" t="s">
        <v>233</v>
      </c>
      <c r="R42" s="73"/>
    </row>
    <row r="43" spans="1:18" ht="30" x14ac:dyDescent="0.25">
      <c r="A43" s="73" t="s">
        <v>234</v>
      </c>
      <c r="B43" s="73" t="s">
        <v>235</v>
      </c>
      <c r="C43" s="73" t="s">
        <v>236</v>
      </c>
      <c r="D43" s="73">
        <v>35</v>
      </c>
      <c r="E43" s="98" t="s">
        <v>237</v>
      </c>
      <c r="F43" s="84" t="s">
        <v>66</v>
      </c>
      <c r="G43" s="73" t="s">
        <v>109</v>
      </c>
      <c r="H43" s="73" t="s">
        <v>40</v>
      </c>
      <c r="I43" s="73" t="s">
        <v>132</v>
      </c>
      <c r="J43" s="73" t="s">
        <v>45</v>
      </c>
      <c r="K43" s="73" t="s">
        <v>238</v>
      </c>
      <c r="L43" s="77" t="s">
        <v>239</v>
      </c>
      <c r="M43" s="73" t="s">
        <v>188</v>
      </c>
      <c r="N43" s="92">
        <v>21990111</v>
      </c>
      <c r="O43" s="73"/>
      <c r="P43" s="73"/>
      <c r="Q43" s="93" t="s">
        <v>240</v>
      </c>
      <c r="R43" s="73"/>
    </row>
    <row r="44" spans="1:18" ht="30" x14ac:dyDescent="0.25">
      <c r="A44" s="73" t="s">
        <v>241</v>
      </c>
      <c r="B44" s="73" t="s">
        <v>73</v>
      </c>
      <c r="C44" s="73" t="s">
        <v>242</v>
      </c>
      <c r="D44" s="73">
        <v>124</v>
      </c>
      <c r="E44" s="98" t="s">
        <v>243</v>
      </c>
      <c r="F44" s="84" t="s">
        <v>85</v>
      </c>
      <c r="G44" s="73" t="s">
        <v>86</v>
      </c>
      <c r="H44" s="73" t="s">
        <v>40</v>
      </c>
      <c r="I44" s="73" t="s">
        <v>193</v>
      </c>
      <c r="J44" s="73" t="s">
        <v>69</v>
      </c>
      <c r="K44" s="73" t="s">
        <v>244</v>
      </c>
      <c r="L44" s="77" t="s">
        <v>780</v>
      </c>
      <c r="M44" s="73" t="s">
        <v>195</v>
      </c>
      <c r="N44" s="92">
        <v>21499717</v>
      </c>
      <c r="O44" s="73"/>
      <c r="P44" s="98" t="s">
        <v>245</v>
      </c>
      <c r="Q44" s="73"/>
      <c r="R44" s="73"/>
    </row>
    <row r="45" spans="1:18" ht="30" x14ac:dyDescent="0.25">
      <c r="A45" s="73" t="s">
        <v>246</v>
      </c>
      <c r="B45" s="73" t="s">
        <v>82</v>
      </c>
      <c r="C45" s="73" t="s">
        <v>247</v>
      </c>
      <c r="D45" s="78">
        <v>158</v>
      </c>
      <c r="E45" s="98" t="s">
        <v>248</v>
      </c>
      <c r="F45" s="84" t="s">
        <v>66</v>
      </c>
      <c r="G45" s="73" t="s">
        <v>76</v>
      </c>
      <c r="H45" s="73" t="s">
        <v>77</v>
      </c>
      <c r="I45" s="73" t="s">
        <v>94</v>
      </c>
      <c r="J45" s="73" t="s">
        <v>69</v>
      </c>
      <c r="K45" s="73" t="s">
        <v>249</v>
      </c>
      <c r="L45" s="77" t="s">
        <v>250</v>
      </c>
      <c r="M45" s="73" t="s">
        <v>188</v>
      </c>
      <c r="N45" s="92">
        <v>21990111</v>
      </c>
      <c r="O45" s="24"/>
      <c r="P45" s="73"/>
      <c r="Q45" s="92" t="s">
        <v>251</v>
      </c>
      <c r="R45" s="73"/>
    </row>
    <row r="46" spans="1:18" ht="30" x14ac:dyDescent="0.25">
      <c r="A46" s="73" t="s">
        <v>252</v>
      </c>
      <c r="B46" s="73" t="s">
        <v>106</v>
      </c>
      <c r="C46" s="75" t="s">
        <v>253</v>
      </c>
      <c r="D46" s="75">
        <v>161</v>
      </c>
      <c r="E46" s="75" t="s">
        <v>254</v>
      </c>
      <c r="F46" s="75" t="s">
        <v>66</v>
      </c>
      <c r="G46" s="75" t="s">
        <v>76</v>
      </c>
      <c r="H46" s="73" t="s">
        <v>77</v>
      </c>
      <c r="I46" s="73" t="s">
        <v>78</v>
      </c>
      <c r="J46" s="75" t="s">
        <v>69</v>
      </c>
      <c r="K46" s="75" t="s">
        <v>110</v>
      </c>
      <c r="L46" s="77" t="s">
        <v>754</v>
      </c>
      <c r="M46" s="75" t="s">
        <v>255</v>
      </c>
      <c r="N46" s="92">
        <v>32441891</v>
      </c>
      <c r="O46" s="75"/>
      <c r="P46" s="75" t="s">
        <v>256</v>
      </c>
      <c r="Q46" s="73"/>
      <c r="R46" s="73"/>
    </row>
    <row r="47" spans="1:18" ht="30" x14ac:dyDescent="0.25">
      <c r="A47" s="73" t="s">
        <v>257</v>
      </c>
      <c r="B47" s="73" t="s">
        <v>258</v>
      </c>
      <c r="C47" s="73" t="s">
        <v>259</v>
      </c>
      <c r="D47" s="73" t="s">
        <v>40</v>
      </c>
      <c r="E47" s="73" t="s">
        <v>41</v>
      </c>
      <c r="F47" s="84" t="s">
        <v>66</v>
      </c>
      <c r="G47" s="73" t="s">
        <v>67</v>
      </c>
      <c r="H47" s="73" t="s">
        <v>68</v>
      </c>
      <c r="I47" s="73" t="s">
        <v>40</v>
      </c>
      <c r="J47" s="73" t="s">
        <v>45</v>
      </c>
      <c r="K47" s="73" t="s">
        <v>260</v>
      </c>
      <c r="L47" s="77" t="s">
        <v>761</v>
      </c>
      <c r="M47" s="73" t="s">
        <v>188</v>
      </c>
      <c r="N47" s="92">
        <v>21990111</v>
      </c>
      <c r="O47" s="24"/>
      <c r="P47" s="73"/>
      <c r="Q47" s="93" t="s">
        <v>261</v>
      </c>
      <c r="R47" s="73"/>
    </row>
    <row r="48" spans="1:18" ht="30" x14ac:dyDescent="0.25">
      <c r="A48" s="73" t="s">
        <v>262</v>
      </c>
      <c r="B48" s="73" t="s">
        <v>178</v>
      </c>
      <c r="C48" s="73" t="s">
        <v>263</v>
      </c>
      <c r="D48" s="73">
        <v>416</v>
      </c>
      <c r="E48" s="98" t="s">
        <v>264</v>
      </c>
      <c r="F48" s="84" t="s">
        <v>66</v>
      </c>
      <c r="G48" s="73" t="s">
        <v>76</v>
      </c>
      <c r="H48" s="73" t="s">
        <v>77</v>
      </c>
      <c r="I48" s="73" t="s">
        <v>78</v>
      </c>
      <c r="J48" s="73" t="s">
        <v>69</v>
      </c>
      <c r="K48" s="73" t="s">
        <v>265</v>
      </c>
      <c r="L48" s="77" t="s">
        <v>266</v>
      </c>
      <c r="M48" s="73" t="s">
        <v>188</v>
      </c>
      <c r="N48" s="109">
        <v>21990111</v>
      </c>
      <c r="O48" s="24"/>
      <c r="P48" s="73"/>
      <c r="Q48" s="93" t="s">
        <v>267</v>
      </c>
      <c r="R48" s="73"/>
    </row>
    <row r="49" spans="1:18" ht="30" x14ac:dyDescent="0.25">
      <c r="A49" s="73" t="s">
        <v>268</v>
      </c>
      <c r="B49" s="73" t="s">
        <v>148</v>
      </c>
      <c r="C49" s="73" t="s">
        <v>269</v>
      </c>
      <c r="D49" s="101">
        <v>352</v>
      </c>
      <c r="E49" s="73" t="s">
        <v>270</v>
      </c>
      <c r="F49" s="84" t="s">
        <v>66</v>
      </c>
      <c r="G49" s="73" t="s">
        <v>76</v>
      </c>
      <c r="H49" s="73" t="s">
        <v>77</v>
      </c>
      <c r="I49" s="73" t="s">
        <v>271</v>
      </c>
      <c r="J49" s="73" t="s">
        <v>69</v>
      </c>
      <c r="K49" s="73" t="s">
        <v>272</v>
      </c>
      <c r="L49" s="77" t="s">
        <v>273</v>
      </c>
      <c r="M49" s="73" t="s">
        <v>274</v>
      </c>
      <c r="N49" s="92">
        <v>15991331</v>
      </c>
      <c r="O49" s="73"/>
      <c r="P49" s="73" t="s">
        <v>275</v>
      </c>
      <c r="Q49" s="104" t="s">
        <v>276</v>
      </c>
      <c r="R49" s="73"/>
    </row>
    <row r="50" spans="1:18" ht="30" x14ac:dyDescent="0.25">
      <c r="A50" s="73" t="s">
        <v>286</v>
      </c>
      <c r="B50" s="73" t="s">
        <v>64</v>
      </c>
      <c r="C50" s="73" t="s">
        <v>287</v>
      </c>
      <c r="D50" s="78" t="s">
        <v>40</v>
      </c>
      <c r="E50" s="73" t="s">
        <v>41</v>
      </c>
      <c r="F50" s="93" t="s">
        <v>66</v>
      </c>
      <c r="G50" s="73" t="s">
        <v>67</v>
      </c>
      <c r="H50" s="73" t="s">
        <v>68</v>
      </c>
      <c r="I50" s="73" t="s">
        <v>40</v>
      </c>
      <c r="J50" s="73" t="s">
        <v>69</v>
      </c>
      <c r="K50" s="73" t="s">
        <v>288</v>
      </c>
      <c r="L50" s="77" t="s">
        <v>289</v>
      </c>
      <c r="M50" s="73" t="s">
        <v>188</v>
      </c>
      <c r="N50" s="92">
        <v>21990111</v>
      </c>
      <c r="O50" s="92"/>
      <c r="P50" s="73" t="s">
        <v>189</v>
      </c>
      <c r="Q50" s="73"/>
      <c r="R50" s="73"/>
    </row>
    <row r="51" spans="1:18" ht="60" x14ac:dyDescent="0.25">
      <c r="A51" s="73" t="s">
        <v>290</v>
      </c>
      <c r="B51" s="73" t="s">
        <v>235</v>
      </c>
      <c r="C51" s="73" t="s">
        <v>291</v>
      </c>
      <c r="D51" s="73">
        <v>17</v>
      </c>
      <c r="E51" s="98" t="s">
        <v>292</v>
      </c>
      <c r="F51" s="84" t="s">
        <v>66</v>
      </c>
      <c r="G51" s="73" t="s">
        <v>109</v>
      </c>
      <c r="H51" s="73" t="s">
        <v>40</v>
      </c>
      <c r="I51" s="73" t="s">
        <v>293</v>
      </c>
      <c r="J51" s="73" t="s">
        <v>69</v>
      </c>
      <c r="K51" s="73" t="s">
        <v>294</v>
      </c>
      <c r="L51" s="77" t="s">
        <v>295</v>
      </c>
      <c r="M51" s="73" t="s">
        <v>296</v>
      </c>
      <c r="N51" s="109">
        <v>16087292</v>
      </c>
      <c r="O51" s="24"/>
      <c r="P51" s="73"/>
      <c r="Q51" s="93" t="s">
        <v>297</v>
      </c>
      <c r="R51" s="73"/>
    </row>
    <row r="52" spans="1:18" ht="30" x14ac:dyDescent="0.25">
      <c r="A52" s="73" t="s">
        <v>298</v>
      </c>
      <c r="B52" s="73" t="s">
        <v>299</v>
      </c>
      <c r="C52" s="73" t="s">
        <v>300</v>
      </c>
      <c r="D52" s="73">
        <v>72</v>
      </c>
      <c r="E52" s="98" t="s">
        <v>301</v>
      </c>
      <c r="F52" s="84" t="s">
        <v>66</v>
      </c>
      <c r="G52" s="73" t="s">
        <v>302</v>
      </c>
      <c r="H52" s="73" t="s">
        <v>40</v>
      </c>
      <c r="I52" s="73" t="s">
        <v>132</v>
      </c>
      <c r="J52" s="73" t="s">
        <v>159</v>
      </c>
      <c r="K52" s="73" t="s">
        <v>303</v>
      </c>
      <c r="L52" s="77" t="s">
        <v>304</v>
      </c>
      <c r="M52" s="73" t="s">
        <v>188</v>
      </c>
      <c r="N52" s="92">
        <v>21990111</v>
      </c>
      <c r="O52" s="24"/>
      <c r="P52" s="73"/>
      <c r="Q52" s="73"/>
      <c r="R52" s="73"/>
    </row>
    <row r="53" spans="1:18" ht="30" x14ac:dyDescent="0.25">
      <c r="A53" s="73" t="s">
        <v>305</v>
      </c>
      <c r="B53" s="73" t="s">
        <v>306</v>
      </c>
      <c r="C53" s="73" t="s">
        <v>307</v>
      </c>
      <c r="D53" s="73" t="s">
        <v>40</v>
      </c>
      <c r="E53" s="73" t="s">
        <v>41</v>
      </c>
      <c r="F53" s="84" t="s">
        <v>66</v>
      </c>
      <c r="G53" s="73" t="s">
        <v>67</v>
      </c>
      <c r="H53" s="73" t="s">
        <v>68</v>
      </c>
      <c r="I53" s="73" t="s">
        <v>40</v>
      </c>
      <c r="J53" s="73" t="s">
        <v>69</v>
      </c>
      <c r="K53" s="73" t="s">
        <v>308</v>
      </c>
      <c r="L53" s="77" t="s">
        <v>309</v>
      </c>
      <c r="M53" s="73" t="s">
        <v>188</v>
      </c>
      <c r="N53" s="92">
        <v>21990111</v>
      </c>
      <c r="O53" s="24"/>
      <c r="P53" s="73" t="s">
        <v>310</v>
      </c>
      <c r="Q53" s="73"/>
      <c r="R53" s="73"/>
    </row>
    <row r="54" spans="1:18" ht="30" x14ac:dyDescent="0.25">
      <c r="A54" s="73" t="s">
        <v>311</v>
      </c>
      <c r="B54" s="73" t="s">
        <v>312</v>
      </c>
      <c r="C54" s="73" t="s">
        <v>313</v>
      </c>
      <c r="D54" s="73" t="s">
        <v>40</v>
      </c>
      <c r="E54" s="91" t="s">
        <v>41</v>
      </c>
      <c r="F54" s="84" t="s">
        <v>66</v>
      </c>
      <c r="G54" s="73" t="s">
        <v>67</v>
      </c>
      <c r="H54" s="73" t="s">
        <v>68</v>
      </c>
      <c r="I54" s="73" t="s">
        <v>40</v>
      </c>
      <c r="J54" s="73" t="s">
        <v>69</v>
      </c>
      <c r="K54" s="73" t="s">
        <v>314</v>
      </c>
      <c r="L54" s="77" t="s">
        <v>315</v>
      </c>
      <c r="M54" s="73" t="s">
        <v>188</v>
      </c>
      <c r="N54" s="109">
        <v>21990111</v>
      </c>
      <c r="O54" s="24"/>
      <c r="P54" s="73"/>
      <c r="Q54" s="104" t="s">
        <v>316</v>
      </c>
      <c r="R54" s="73"/>
    </row>
    <row r="55" spans="1:18" ht="30" x14ac:dyDescent="0.25">
      <c r="A55" s="73" t="s">
        <v>317</v>
      </c>
      <c r="B55" s="73" t="s">
        <v>184</v>
      </c>
      <c r="C55" s="73" t="s">
        <v>318</v>
      </c>
      <c r="D55" s="73" t="s">
        <v>40</v>
      </c>
      <c r="E55" s="73" t="s">
        <v>41</v>
      </c>
      <c r="F55" s="84" t="s">
        <v>66</v>
      </c>
      <c r="G55" s="75" t="s">
        <v>174</v>
      </c>
      <c r="H55" s="73" t="s">
        <v>68</v>
      </c>
      <c r="I55" s="73" t="s">
        <v>40</v>
      </c>
      <c r="J55" s="73" t="s">
        <v>69</v>
      </c>
      <c r="K55" s="73" t="s">
        <v>186</v>
      </c>
      <c r="L55" s="77" t="s">
        <v>187</v>
      </c>
      <c r="M55" s="73" t="s">
        <v>188</v>
      </c>
      <c r="N55" s="109">
        <v>21990111</v>
      </c>
      <c r="O55" s="24"/>
      <c r="P55" s="73"/>
      <c r="Q55" s="73"/>
      <c r="R55" s="73"/>
    </row>
    <row r="56" spans="1:18" ht="45" x14ac:dyDescent="0.25">
      <c r="A56" s="73" t="s">
        <v>319</v>
      </c>
      <c r="B56" s="73" t="s">
        <v>120</v>
      </c>
      <c r="C56" s="73" t="s">
        <v>320</v>
      </c>
      <c r="D56" s="73">
        <v>190</v>
      </c>
      <c r="E56" s="98" t="s">
        <v>321</v>
      </c>
      <c r="F56" s="84" t="s">
        <v>42</v>
      </c>
      <c r="G56" s="73" t="s">
        <v>86</v>
      </c>
      <c r="H56" s="73" t="s">
        <v>40</v>
      </c>
      <c r="I56" s="73" t="s">
        <v>123</v>
      </c>
      <c r="J56" s="73" t="s">
        <v>69</v>
      </c>
      <c r="K56" s="73" t="s">
        <v>322</v>
      </c>
      <c r="L56" s="77" t="s">
        <v>750</v>
      </c>
      <c r="M56" s="73" t="s">
        <v>323</v>
      </c>
      <c r="N56" s="92">
        <v>16814585</v>
      </c>
      <c r="O56" s="26"/>
      <c r="P56" s="73" t="s">
        <v>324</v>
      </c>
      <c r="Q56" s="73"/>
      <c r="R56" s="73"/>
    </row>
    <row r="57" spans="1:18" ht="45" x14ac:dyDescent="0.25">
      <c r="A57" s="73" t="s">
        <v>325</v>
      </c>
      <c r="B57" s="73" t="s">
        <v>82</v>
      </c>
      <c r="C57" s="73" t="s">
        <v>326</v>
      </c>
      <c r="D57" s="73">
        <v>127</v>
      </c>
      <c r="E57" s="98" t="s">
        <v>84</v>
      </c>
      <c r="F57" s="84" t="s">
        <v>42</v>
      </c>
      <c r="G57" s="73" t="s">
        <v>86</v>
      </c>
      <c r="H57" s="73" t="s">
        <v>40</v>
      </c>
      <c r="I57" s="73" t="s">
        <v>327</v>
      </c>
      <c r="J57" s="73" t="s">
        <v>159</v>
      </c>
      <c r="K57" s="73" t="s">
        <v>87</v>
      </c>
      <c r="L57" s="77" t="s">
        <v>328</v>
      </c>
      <c r="M57" s="73" t="s">
        <v>188</v>
      </c>
      <c r="N57" s="92">
        <v>21990111</v>
      </c>
      <c r="O57" s="67"/>
      <c r="P57" s="73"/>
      <c r="Q57" s="73"/>
      <c r="R57" s="73"/>
    </row>
    <row r="58" spans="1:18" ht="30" x14ac:dyDescent="0.25">
      <c r="A58" s="101" t="s">
        <v>329</v>
      </c>
      <c r="B58" s="73" t="s">
        <v>148</v>
      </c>
      <c r="C58" s="101" t="s">
        <v>330</v>
      </c>
      <c r="D58" s="73">
        <v>350</v>
      </c>
      <c r="E58" s="73" t="s">
        <v>331</v>
      </c>
      <c r="F58" s="84" t="s">
        <v>42</v>
      </c>
      <c r="G58" s="101" t="s">
        <v>86</v>
      </c>
      <c r="H58" s="73" t="s">
        <v>40</v>
      </c>
      <c r="I58" s="73" t="s">
        <v>78</v>
      </c>
      <c r="J58" s="73" t="s">
        <v>69</v>
      </c>
      <c r="K58" s="73" t="s">
        <v>332</v>
      </c>
      <c r="L58" s="77" t="s">
        <v>739</v>
      </c>
      <c r="M58" s="101" t="s">
        <v>188</v>
      </c>
      <c r="N58" s="109">
        <v>21990111</v>
      </c>
      <c r="O58" s="68"/>
      <c r="P58" s="101"/>
      <c r="Q58" s="73"/>
      <c r="R58" s="73"/>
    </row>
    <row r="59" spans="1:18" ht="30" x14ac:dyDescent="0.25">
      <c r="A59" s="73" t="s">
        <v>333</v>
      </c>
      <c r="B59" s="73" t="s">
        <v>769</v>
      </c>
      <c r="C59" s="73" t="s">
        <v>334</v>
      </c>
      <c r="D59" s="73" t="s">
        <v>40</v>
      </c>
      <c r="E59" s="73" t="s">
        <v>41</v>
      </c>
      <c r="F59" s="84" t="s">
        <v>42</v>
      </c>
      <c r="G59" s="73" t="s">
        <v>40</v>
      </c>
      <c r="H59" s="73" t="s">
        <v>40</v>
      </c>
      <c r="I59" s="73" t="s">
        <v>40</v>
      </c>
      <c r="J59" s="73" t="s">
        <v>40</v>
      </c>
      <c r="K59" s="93" t="s">
        <v>40</v>
      </c>
      <c r="L59" s="77" t="s">
        <v>770</v>
      </c>
      <c r="M59" s="73" t="s">
        <v>188</v>
      </c>
      <c r="N59" s="95">
        <v>21990111</v>
      </c>
      <c r="O59" s="71"/>
      <c r="P59" s="110" t="s">
        <v>335</v>
      </c>
      <c r="Q59" s="110"/>
      <c r="R59" s="110"/>
    </row>
    <row r="60" spans="1:18" ht="30" x14ac:dyDescent="0.25">
      <c r="A60" s="73" t="s">
        <v>336</v>
      </c>
      <c r="B60" s="73" t="s">
        <v>197</v>
      </c>
      <c r="C60" s="73" t="s">
        <v>337</v>
      </c>
      <c r="D60" s="73" t="s">
        <v>40</v>
      </c>
      <c r="E60" s="73" t="s">
        <v>41</v>
      </c>
      <c r="F60" s="84" t="s">
        <v>66</v>
      </c>
      <c r="G60" s="73" t="s">
        <v>67</v>
      </c>
      <c r="H60" s="73" t="s">
        <v>68</v>
      </c>
      <c r="I60" s="73" t="s">
        <v>40</v>
      </c>
      <c r="J60" s="73" t="s">
        <v>69</v>
      </c>
      <c r="K60" s="73" t="s">
        <v>338</v>
      </c>
      <c r="L60" s="77" t="s">
        <v>339</v>
      </c>
      <c r="M60" s="73" t="s">
        <v>188</v>
      </c>
      <c r="N60" s="92">
        <v>21990111</v>
      </c>
      <c r="O60" s="24"/>
      <c r="P60" s="73"/>
      <c r="Q60" s="73"/>
      <c r="R60" s="73"/>
    </row>
    <row r="61" spans="1:18" ht="30" x14ac:dyDescent="0.25">
      <c r="A61" s="73" t="s">
        <v>340</v>
      </c>
      <c r="B61" s="73" t="s">
        <v>120</v>
      </c>
      <c r="C61" s="73" t="s">
        <v>341</v>
      </c>
      <c r="D61" s="101">
        <v>189</v>
      </c>
      <c r="E61" s="98" t="s">
        <v>342</v>
      </c>
      <c r="F61" s="84" t="s">
        <v>66</v>
      </c>
      <c r="G61" s="73" t="s">
        <v>76</v>
      </c>
      <c r="H61" s="73" t="s">
        <v>77</v>
      </c>
      <c r="I61" s="73" t="s">
        <v>78</v>
      </c>
      <c r="J61" s="73" t="s">
        <v>69</v>
      </c>
      <c r="K61" s="73" t="s">
        <v>343</v>
      </c>
      <c r="L61" s="77" t="s">
        <v>344</v>
      </c>
      <c r="M61" s="106" t="s">
        <v>345</v>
      </c>
      <c r="N61" s="92">
        <v>24154662</v>
      </c>
      <c r="O61" s="73"/>
      <c r="P61" s="73"/>
      <c r="Q61" s="73"/>
      <c r="R61" s="73"/>
    </row>
    <row r="62" spans="1:18" ht="60" x14ac:dyDescent="0.25">
      <c r="A62" s="73" t="s">
        <v>346</v>
      </c>
      <c r="B62" s="73" t="s">
        <v>178</v>
      </c>
      <c r="C62" s="73" t="s">
        <v>347</v>
      </c>
      <c r="D62" s="73">
        <v>423</v>
      </c>
      <c r="E62" s="98" t="s">
        <v>348</v>
      </c>
      <c r="F62" s="84" t="s">
        <v>66</v>
      </c>
      <c r="G62" s="73" t="s">
        <v>109</v>
      </c>
      <c r="H62" s="73" t="s">
        <v>40</v>
      </c>
      <c r="I62" s="73" t="s">
        <v>293</v>
      </c>
      <c r="J62" s="73" t="s">
        <v>69</v>
      </c>
      <c r="K62" s="73" t="s">
        <v>349</v>
      </c>
      <c r="L62" s="77" t="s">
        <v>350</v>
      </c>
      <c r="M62" s="73" t="s">
        <v>188</v>
      </c>
      <c r="N62" s="92">
        <v>21990111</v>
      </c>
      <c r="O62" s="24"/>
      <c r="P62" s="73"/>
      <c r="Q62" s="73"/>
      <c r="R62" s="73"/>
    </row>
    <row r="63" spans="1:18" ht="30" x14ac:dyDescent="0.25">
      <c r="A63" s="73" t="s">
        <v>351</v>
      </c>
      <c r="B63" s="73" t="s">
        <v>235</v>
      </c>
      <c r="C63" s="73" t="s">
        <v>352</v>
      </c>
      <c r="D63" s="78">
        <v>1</v>
      </c>
      <c r="E63" s="73" t="s">
        <v>41</v>
      </c>
      <c r="F63" s="84" t="s">
        <v>66</v>
      </c>
      <c r="G63" s="75" t="s">
        <v>353</v>
      </c>
      <c r="H63" s="75" t="s">
        <v>354</v>
      </c>
      <c r="I63" s="74" t="s">
        <v>40</v>
      </c>
      <c r="J63" s="73" t="s">
        <v>69</v>
      </c>
      <c r="K63" s="73" t="s">
        <v>355</v>
      </c>
      <c r="L63" s="77" t="s">
        <v>783</v>
      </c>
      <c r="M63" s="73" t="s">
        <v>188</v>
      </c>
      <c r="N63" s="92">
        <v>21990111</v>
      </c>
      <c r="O63" s="24"/>
      <c r="P63" s="73" t="s">
        <v>356</v>
      </c>
      <c r="Q63" s="73"/>
      <c r="R63" s="73"/>
    </row>
    <row r="64" spans="1:18" ht="30" x14ac:dyDescent="0.25">
      <c r="A64" s="73" t="s">
        <v>357</v>
      </c>
      <c r="B64" s="73" t="s">
        <v>209</v>
      </c>
      <c r="C64" s="73" t="s">
        <v>358</v>
      </c>
      <c r="D64" s="78" t="s">
        <v>40</v>
      </c>
      <c r="E64" s="73" t="s">
        <v>41</v>
      </c>
      <c r="F64" s="84" t="s">
        <v>66</v>
      </c>
      <c r="G64" s="73" t="s">
        <v>67</v>
      </c>
      <c r="H64" s="73" t="s">
        <v>68</v>
      </c>
      <c r="I64" s="73" t="s">
        <v>40</v>
      </c>
      <c r="J64" s="73" t="s">
        <v>281</v>
      </c>
      <c r="K64" s="73" t="s">
        <v>359</v>
      </c>
      <c r="L64" s="77" t="s">
        <v>782</v>
      </c>
      <c r="M64" s="78" t="s">
        <v>188</v>
      </c>
      <c r="N64" s="92">
        <v>21990111</v>
      </c>
      <c r="O64" s="24"/>
      <c r="P64" s="73"/>
      <c r="Q64" s="73"/>
      <c r="R64" s="73"/>
    </row>
    <row r="65" spans="1:85" ht="30" x14ac:dyDescent="0.25">
      <c r="A65" s="73" t="s">
        <v>360</v>
      </c>
      <c r="B65" s="73" t="s">
        <v>361</v>
      </c>
      <c r="C65" s="73" t="s">
        <v>362</v>
      </c>
      <c r="D65" s="73" t="s">
        <v>40</v>
      </c>
      <c r="E65" s="73" t="s">
        <v>41</v>
      </c>
      <c r="F65" s="84" t="s">
        <v>66</v>
      </c>
      <c r="G65" s="75" t="s">
        <v>174</v>
      </c>
      <c r="H65" s="73" t="s">
        <v>68</v>
      </c>
      <c r="I65" s="73" t="s">
        <v>40</v>
      </c>
      <c r="J65" s="73" t="s">
        <v>69</v>
      </c>
      <c r="K65" s="73" t="s">
        <v>363</v>
      </c>
      <c r="L65" s="77" t="s">
        <v>773</v>
      </c>
      <c r="M65" s="73" t="s">
        <v>188</v>
      </c>
      <c r="N65" s="92">
        <v>21990111</v>
      </c>
      <c r="O65" s="24"/>
      <c r="P65" s="73"/>
      <c r="Q65" s="73"/>
      <c r="R65" s="73"/>
    </row>
    <row r="66" spans="1:85" ht="30" x14ac:dyDescent="0.25">
      <c r="A66" s="73" t="s">
        <v>364</v>
      </c>
      <c r="B66" s="73" t="s">
        <v>278</v>
      </c>
      <c r="C66" s="73" t="s">
        <v>365</v>
      </c>
      <c r="D66" s="73">
        <v>80</v>
      </c>
      <c r="E66" s="98" t="s">
        <v>366</v>
      </c>
      <c r="F66" s="84" t="s">
        <v>85</v>
      </c>
      <c r="G66" s="78" t="s">
        <v>86</v>
      </c>
      <c r="H66" s="73" t="s">
        <v>40</v>
      </c>
      <c r="I66" s="73" t="s">
        <v>78</v>
      </c>
      <c r="J66" s="73" t="s">
        <v>69</v>
      </c>
      <c r="K66" s="73" t="s">
        <v>367</v>
      </c>
      <c r="L66" s="77" t="s">
        <v>368</v>
      </c>
      <c r="M66" s="73" t="s">
        <v>188</v>
      </c>
      <c r="N66" s="92">
        <v>21990111</v>
      </c>
      <c r="O66" s="73"/>
      <c r="P66" s="73"/>
      <c r="Q66" s="73"/>
      <c r="R66" s="73"/>
    </row>
    <row r="67" spans="1:85" ht="95.25" customHeight="1" x14ac:dyDescent="0.25">
      <c r="A67" s="73" t="s">
        <v>369</v>
      </c>
      <c r="B67" s="73" t="s">
        <v>278</v>
      </c>
      <c r="C67" s="73" t="s">
        <v>370</v>
      </c>
      <c r="D67" s="73">
        <v>89</v>
      </c>
      <c r="E67" s="98" t="s">
        <v>371</v>
      </c>
      <c r="F67" s="84" t="s">
        <v>66</v>
      </c>
      <c r="G67" s="73" t="s">
        <v>109</v>
      </c>
      <c r="H67" s="73" t="s">
        <v>40</v>
      </c>
      <c r="I67" s="73" t="s">
        <v>132</v>
      </c>
      <c r="J67" s="73" t="s">
        <v>159</v>
      </c>
      <c r="K67" s="73" t="s">
        <v>372</v>
      </c>
      <c r="L67" s="77" t="s">
        <v>373</v>
      </c>
      <c r="M67" s="73" t="s">
        <v>195</v>
      </c>
      <c r="N67" s="92">
        <v>21499717</v>
      </c>
      <c r="O67" s="73"/>
      <c r="P67" s="73"/>
      <c r="Q67" s="73"/>
      <c r="R67" s="73"/>
    </row>
    <row r="68" spans="1:85" ht="30" x14ac:dyDescent="0.25">
      <c r="A68" s="73" t="s">
        <v>374</v>
      </c>
      <c r="B68" s="73" t="s">
        <v>120</v>
      </c>
      <c r="C68" s="73" t="s">
        <v>375</v>
      </c>
      <c r="D68" s="78">
        <v>192</v>
      </c>
      <c r="E68" s="98" t="s">
        <v>376</v>
      </c>
      <c r="F68" s="84" t="s">
        <v>66</v>
      </c>
      <c r="G68" s="73" t="s">
        <v>76</v>
      </c>
      <c r="H68" s="73" t="s">
        <v>77</v>
      </c>
      <c r="I68" s="73" t="s">
        <v>78</v>
      </c>
      <c r="J68" s="73" t="s">
        <v>281</v>
      </c>
      <c r="K68" s="73" t="s">
        <v>377</v>
      </c>
      <c r="L68" s="77" t="s">
        <v>378</v>
      </c>
      <c r="M68" s="73" t="s">
        <v>195</v>
      </c>
      <c r="N68" s="92">
        <v>21499717</v>
      </c>
      <c r="O68" s="26"/>
      <c r="P68" s="73"/>
      <c r="Q68" s="73"/>
      <c r="R68" s="73"/>
    </row>
    <row r="69" spans="1:85" ht="45" x14ac:dyDescent="0.25">
      <c r="A69" s="73" t="s">
        <v>379</v>
      </c>
      <c r="B69" s="73" t="s">
        <v>73</v>
      </c>
      <c r="C69" s="73" t="s">
        <v>380</v>
      </c>
      <c r="D69" s="78">
        <v>125</v>
      </c>
      <c r="E69" s="98" t="s">
        <v>381</v>
      </c>
      <c r="F69" s="84" t="s">
        <v>66</v>
      </c>
      <c r="G69" s="84" t="s">
        <v>76</v>
      </c>
      <c r="H69" s="73" t="s">
        <v>798</v>
      </c>
      <c r="I69" s="73" t="s">
        <v>382</v>
      </c>
      <c r="J69" s="73" t="s">
        <v>281</v>
      </c>
      <c r="K69" s="73" t="s">
        <v>383</v>
      </c>
      <c r="L69" s="77" t="s">
        <v>384</v>
      </c>
      <c r="M69" s="73" t="s">
        <v>195</v>
      </c>
      <c r="N69" s="103">
        <v>21499717</v>
      </c>
      <c r="O69" s="73" t="s">
        <v>385</v>
      </c>
      <c r="P69" s="73"/>
      <c r="Q69" s="73"/>
      <c r="R69" s="73"/>
    </row>
    <row r="70" spans="1:85" ht="30" x14ac:dyDescent="0.25">
      <c r="A70" s="73" t="s">
        <v>386</v>
      </c>
      <c r="B70" s="73" t="s">
        <v>82</v>
      </c>
      <c r="C70" s="73" t="s">
        <v>387</v>
      </c>
      <c r="D70" s="78">
        <v>134</v>
      </c>
      <c r="E70" s="98" t="s">
        <v>388</v>
      </c>
      <c r="F70" s="84" t="s">
        <v>66</v>
      </c>
      <c r="G70" s="73" t="s">
        <v>76</v>
      </c>
      <c r="H70" s="73" t="s">
        <v>138</v>
      </c>
      <c r="I70" s="73" t="s">
        <v>78</v>
      </c>
      <c r="J70" s="73" t="s">
        <v>281</v>
      </c>
      <c r="K70" s="73" t="s">
        <v>389</v>
      </c>
      <c r="L70" s="77" t="s">
        <v>390</v>
      </c>
      <c r="M70" s="73" t="s">
        <v>188</v>
      </c>
      <c r="N70" s="92">
        <v>21990111</v>
      </c>
      <c r="O70" s="24"/>
      <c r="P70" s="73" t="s">
        <v>391</v>
      </c>
      <c r="Q70" s="73"/>
      <c r="R70" s="73"/>
    </row>
    <row r="71" spans="1:85" ht="45" x14ac:dyDescent="0.25">
      <c r="A71" s="73" t="s">
        <v>392</v>
      </c>
      <c r="B71" s="73" t="s">
        <v>120</v>
      </c>
      <c r="C71" s="73" t="s">
        <v>393</v>
      </c>
      <c r="D71" s="78">
        <v>194</v>
      </c>
      <c r="E71" s="98" t="s">
        <v>394</v>
      </c>
      <c r="F71" s="84" t="s">
        <v>66</v>
      </c>
      <c r="G71" s="75" t="s">
        <v>76</v>
      </c>
      <c r="H71" s="74" t="s">
        <v>40</v>
      </c>
      <c r="I71" s="75" t="s">
        <v>132</v>
      </c>
      <c r="J71" s="73" t="s">
        <v>395</v>
      </c>
      <c r="K71" s="73" t="s">
        <v>396</v>
      </c>
      <c r="L71" s="77" t="s">
        <v>777</v>
      </c>
      <c r="M71" s="73" t="s">
        <v>207</v>
      </c>
      <c r="N71" s="92">
        <v>19489875</v>
      </c>
      <c r="O71" s="24"/>
      <c r="P71" s="91" t="s">
        <v>397</v>
      </c>
      <c r="Q71" s="73"/>
      <c r="R71" s="73"/>
    </row>
    <row r="72" spans="1:85" ht="45" x14ac:dyDescent="0.25">
      <c r="A72" s="73" t="s">
        <v>398</v>
      </c>
      <c r="B72" s="73" t="s">
        <v>399</v>
      </c>
      <c r="C72" s="73" t="s">
        <v>400</v>
      </c>
      <c r="D72" s="73" t="s">
        <v>40</v>
      </c>
      <c r="E72" s="98" t="s">
        <v>41</v>
      </c>
      <c r="F72" s="84" t="s">
        <v>66</v>
      </c>
      <c r="G72" s="73" t="s">
        <v>67</v>
      </c>
      <c r="H72" s="73" t="s">
        <v>68</v>
      </c>
      <c r="I72" s="73" t="s">
        <v>40</v>
      </c>
      <c r="J72" s="73" t="s">
        <v>401</v>
      </c>
      <c r="K72" s="73" t="s">
        <v>402</v>
      </c>
      <c r="L72" s="77" t="s">
        <v>403</v>
      </c>
      <c r="M72" s="73" t="s">
        <v>188</v>
      </c>
      <c r="N72" s="92">
        <v>21990111</v>
      </c>
      <c r="O72" s="24"/>
      <c r="P72" s="73" t="s">
        <v>404</v>
      </c>
      <c r="Q72" s="73"/>
      <c r="R72" s="73"/>
    </row>
    <row r="73" spans="1:85" ht="30" x14ac:dyDescent="0.25">
      <c r="A73" s="73" t="s">
        <v>405</v>
      </c>
      <c r="B73" s="73" t="s">
        <v>135</v>
      </c>
      <c r="C73" s="73" t="s">
        <v>406</v>
      </c>
      <c r="D73" s="101" t="s">
        <v>40</v>
      </c>
      <c r="E73" s="73" t="s">
        <v>407</v>
      </c>
      <c r="F73" s="84" t="s">
        <v>42</v>
      </c>
      <c r="G73" s="84" t="s">
        <v>40</v>
      </c>
      <c r="H73" s="73" t="s">
        <v>40</v>
      </c>
      <c r="I73" s="73" t="s">
        <v>40</v>
      </c>
      <c r="J73" s="73" t="s">
        <v>95</v>
      </c>
      <c r="K73" s="73" t="s">
        <v>408</v>
      </c>
      <c r="L73" s="77" t="s">
        <v>763</v>
      </c>
      <c r="M73" s="106" t="s">
        <v>188</v>
      </c>
      <c r="N73" s="109">
        <v>21990111</v>
      </c>
      <c r="O73" s="73" t="s">
        <v>409</v>
      </c>
      <c r="P73" s="73"/>
      <c r="Q73" s="73"/>
      <c r="R73" s="73"/>
    </row>
    <row r="74" spans="1:85" ht="30" x14ac:dyDescent="0.25">
      <c r="A74" s="73" t="s">
        <v>410</v>
      </c>
      <c r="B74" s="73" t="s">
        <v>40</v>
      </c>
      <c r="C74" s="73" t="s">
        <v>411</v>
      </c>
      <c r="D74" s="73" t="s">
        <v>40</v>
      </c>
      <c r="E74" s="73" t="s">
        <v>41</v>
      </c>
      <c r="F74" s="84" t="s">
        <v>42</v>
      </c>
      <c r="G74" s="73" t="s">
        <v>40</v>
      </c>
      <c r="H74" s="73" t="s">
        <v>40</v>
      </c>
      <c r="I74" s="73" t="s">
        <v>40</v>
      </c>
      <c r="J74" s="73" t="s">
        <v>40</v>
      </c>
      <c r="K74" s="73" t="s">
        <v>40</v>
      </c>
      <c r="L74" s="77" t="s">
        <v>799</v>
      </c>
      <c r="M74" s="106" t="s">
        <v>412</v>
      </c>
      <c r="N74" s="111">
        <v>23860047</v>
      </c>
      <c r="O74" s="73" t="s">
        <v>413</v>
      </c>
      <c r="P74" s="73" t="s">
        <v>735</v>
      </c>
      <c r="Q74" s="73"/>
      <c r="R74" s="73"/>
    </row>
    <row r="75" spans="1:85" ht="30" x14ac:dyDescent="0.25">
      <c r="A75" s="73" t="s">
        <v>414</v>
      </c>
      <c r="B75" s="73" t="s">
        <v>415</v>
      </c>
      <c r="C75" s="73" t="s">
        <v>416</v>
      </c>
      <c r="D75" s="101">
        <v>262</v>
      </c>
      <c r="E75" s="98" t="s">
        <v>417</v>
      </c>
      <c r="F75" s="84" t="s">
        <v>66</v>
      </c>
      <c r="G75" s="73" t="s">
        <v>109</v>
      </c>
      <c r="H75" s="73" t="s">
        <v>40</v>
      </c>
      <c r="I75" s="73" t="s">
        <v>132</v>
      </c>
      <c r="J75" s="73" t="s">
        <v>45</v>
      </c>
      <c r="K75" s="73" t="s">
        <v>418</v>
      </c>
      <c r="L75" s="77" t="s">
        <v>419</v>
      </c>
      <c r="M75" s="112" t="s">
        <v>420</v>
      </c>
      <c r="N75" s="92">
        <v>24625443</v>
      </c>
      <c r="O75" s="24"/>
      <c r="P75" s="73"/>
      <c r="Q75" s="73"/>
      <c r="R75" s="73"/>
    </row>
    <row r="76" spans="1:85" ht="30" x14ac:dyDescent="0.25">
      <c r="A76" s="73" t="s">
        <v>421</v>
      </c>
      <c r="B76" s="73" t="s">
        <v>106</v>
      </c>
      <c r="C76" s="73" t="s">
        <v>422</v>
      </c>
      <c r="D76" s="73">
        <v>165</v>
      </c>
      <c r="E76" s="106" t="s">
        <v>423</v>
      </c>
      <c r="F76" s="84" t="s">
        <v>66</v>
      </c>
      <c r="G76" s="73" t="s">
        <v>76</v>
      </c>
      <c r="H76" s="73" t="s">
        <v>77</v>
      </c>
      <c r="I76" s="73" t="s">
        <v>94</v>
      </c>
      <c r="J76" s="73" t="s">
        <v>45</v>
      </c>
      <c r="K76" s="73" t="s">
        <v>424</v>
      </c>
      <c r="L76" s="77" t="s">
        <v>425</v>
      </c>
      <c r="M76" s="106" t="s">
        <v>426</v>
      </c>
      <c r="N76" s="92">
        <v>24827497</v>
      </c>
      <c r="O76" s="24"/>
      <c r="P76" s="73"/>
      <c r="Q76" s="73"/>
      <c r="R76" s="73"/>
    </row>
    <row r="77" spans="1:85" ht="30" x14ac:dyDescent="0.25">
      <c r="A77" s="73" t="s">
        <v>427</v>
      </c>
      <c r="B77" s="73" t="s">
        <v>148</v>
      </c>
      <c r="C77" s="73" t="s">
        <v>428</v>
      </c>
      <c r="D77" s="78">
        <v>322</v>
      </c>
      <c r="E77" s="106" t="s">
        <v>429</v>
      </c>
      <c r="F77" s="84" t="s">
        <v>66</v>
      </c>
      <c r="G77" s="73" t="s">
        <v>109</v>
      </c>
      <c r="H77" s="73" t="s">
        <v>40</v>
      </c>
      <c r="I77" s="73" t="s">
        <v>94</v>
      </c>
      <c r="J77" s="73" t="s">
        <v>40</v>
      </c>
      <c r="K77" s="73" t="s">
        <v>40</v>
      </c>
      <c r="L77" s="77" t="s">
        <v>784</v>
      </c>
      <c r="M77" s="106" t="s">
        <v>345</v>
      </c>
      <c r="N77" s="92">
        <v>24154662</v>
      </c>
      <c r="O77" s="24"/>
      <c r="P77" s="106" t="s">
        <v>430</v>
      </c>
      <c r="Q77" s="73"/>
      <c r="R77" s="73"/>
    </row>
    <row r="78" spans="1:85" ht="30" x14ac:dyDescent="0.25">
      <c r="A78" s="73" t="s">
        <v>431</v>
      </c>
      <c r="B78" s="73" t="s">
        <v>135</v>
      </c>
      <c r="C78" s="73" t="s">
        <v>432</v>
      </c>
      <c r="D78" s="73">
        <v>290</v>
      </c>
      <c r="E78" s="106" t="s">
        <v>433</v>
      </c>
      <c r="F78" s="84" t="s">
        <v>66</v>
      </c>
      <c r="G78" s="73" t="s">
        <v>76</v>
      </c>
      <c r="H78" s="73" t="s">
        <v>138</v>
      </c>
      <c r="I78" s="73" t="s">
        <v>132</v>
      </c>
      <c r="J78" s="73" t="s">
        <v>281</v>
      </c>
      <c r="K78" s="73" t="s">
        <v>434</v>
      </c>
      <c r="L78" s="77" t="s">
        <v>435</v>
      </c>
      <c r="M78" s="106" t="s">
        <v>345</v>
      </c>
      <c r="N78" s="92">
        <v>24154662</v>
      </c>
      <c r="O78" s="24"/>
      <c r="P78" s="73" t="s">
        <v>436</v>
      </c>
      <c r="Q78" s="73"/>
      <c r="R78" s="73"/>
      <c r="S78" s="76"/>
      <c r="T78" s="76"/>
      <c r="U78" s="76"/>
      <c r="V78" s="76"/>
      <c r="W78" s="76"/>
      <c r="X78" s="76"/>
      <c r="Y78" s="76"/>
      <c r="Z78" s="76"/>
      <c r="AA78" s="76"/>
      <c r="AB78" s="76"/>
      <c r="AC78" s="76"/>
      <c r="AD78" s="76"/>
      <c r="AE78" s="76"/>
      <c r="AF78" s="76"/>
      <c r="AG78" s="76"/>
      <c r="AH78" s="76"/>
      <c r="AI78" s="76"/>
      <c r="AJ78" s="76"/>
      <c r="AK78" s="76"/>
      <c r="AL78" s="76"/>
      <c r="AM78" s="76"/>
      <c r="AN78" s="76"/>
      <c r="AO78" s="76"/>
      <c r="AP78" s="76"/>
      <c r="AQ78" s="76"/>
      <c r="AR78" s="76"/>
      <c r="AS78" s="76"/>
      <c r="AT78" s="76"/>
      <c r="AU78" s="76"/>
      <c r="AV78" s="76"/>
      <c r="AW78" s="76"/>
      <c r="AX78" s="76"/>
      <c r="AY78" s="76"/>
      <c r="AZ78" s="76"/>
      <c r="BA78" s="76"/>
      <c r="BB78" s="76"/>
      <c r="BC78" s="76"/>
      <c r="BD78" s="76"/>
      <c r="BE78" s="76"/>
      <c r="BF78" s="76"/>
      <c r="BG78" s="76"/>
      <c r="BH78" s="76"/>
      <c r="BI78" s="76"/>
      <c r="BJ78" s="76"/>
      <c r="BK78" s="76"/>
      <c r="BL78" s="76"/>
      <c r="BM78" s="76"/>
      <c r="BN78" s="76"/>
      <c r="BO78" s="76"/>
      <c r="BP78" s="76"/>
      <c r="BQ78" s="76"/>
      <c r="BR78" s="76"/>
      <c r="BS78" s="76"/>
      <c r="BT78" s="76"/>
      <c r="BU78" s="76"/>
      <c r="BV78" s="76"/>
      <c r="BW78" s="76"/>
      <c r="BX78" s="76"/>
      <c r="BY78" s="76"/>
      <c r="BZ78" s="76"/>
      <c r="CA78" s="76"/>
      <c r="CB78" s="76"/>
      <c r="CC78" s="76"/>
      <c r="CD78" s="76"/>
      <c r="CE78" s="76"/>
      <c r="CF78" s="76"/>
      <c r="CG78" s="76"/>
    </row>
    <row r="79" spans="1:85" ht="45" x14ac:dyDescent="0.25">
      <c r="A79" s="73" t="s">
        <v>437</v>
      </c>
      <c r="B79" s="73" t="s">
        <v>178</v>
      </c>
      <c r="C79" s="73" t="s">
        <v>438</v>
      </c>
      <c r="D79" s="73">
        <v>405</v>
      </c>
      <c r="E79" s="106" t="s">
        <v>439</v>
      </c>
      <c r="F79" s="84" t="s">
        <v>66</v>
      </c>
      <c r="G79" s="73" t="s">
        <v>76</v>
      </c>
      <c r="H79" s="73" t="s">
        <v>77</v>
      </c>
      <c r="I79" s="73"/>
      <c r="J79" s="73" t="s">
        <v>401</v>
      </c>
      <c r="K79" s="73" t="s">
        <v>440</v>
      </c>
      <c r="L79" s="77" t="s">
        <v>742</v>
      </c>
      <c r="M79" s="73" t="s">
        <v>441</v>
      </c>
      <c r="N79" s="92">
        <v>26766544</v>
      </c>
      <c r="O79" s="106"/>
      <c r="P79" s="73" t="s">
        <v>442</v>
      </c>
      <c r="Q79" s="73"/>
      <c r="R79" s="73"/>
      <c r="S79" s="76"/>
      <c r="T79" s="76"/>
      <c r="U79" s="76"/>
      <c r="V79" s="76"/>
      <c r="W79" s="76"/>
      <c r="X79" s="76"/>
      <c r="Y79" s="76"/>
      <c r="Z79" s="76"/>
      <c r="AA79" s="76"/>
      <c r="AB79" s="76"/>
      <c r="AC79" s="76"/>
      <c r="AD79" s="76"/>
      <c r="AE79" s="76"/>
      <c r="AF79" s="76"/>
      <c r="AG79" s="76"/>
      <c r="AH79" s="76"/>
      <c r="AI79" s="76"/>
      <c r="AJ79" s="76"/>
      <c r="AK79" s="76"/>
      <c r="AL79" s="76"/>
      <c r="AM79" s="76"/>
      <c r="AN79" s="76"/>
      <c r="AO79" s="76"/>
      <c r="AP79" s="76"/>
      <c r="AQ79" s="76"/>
      <c r="AR79" s="76"/>
      <c r="AS79" s="76"/>
      <c r="AT79" s="76"/>
      <c r="AU79" s="76"/>
      <c r="AV79" s="76"/>
      <c r="AW79" s="76"/>
      <c r="AX79" s="76"/>
      <c r="AY79" s="76"/>
      <c r="AZ79" s="76"/>
      <c r="BA79" s="76"/>
      <c r="BB79" s="76"/>
      <c r="BC79" s="76"/>
      <c r="BD79" s="76"/>
      <c r="BE79" s="76"/>
      <c r="BF79" s="76"/>
      <c r="BG79" s="76"/>
      <c r="BH79" s="76"/>
      <c r="BI79" s="76"/>
      <c r="BJ79" s="76"/>
      <c r="BK79" s="76"/>
      <c r="BL79" s="76"/>
      <c r="BM79" s="76"/>
      <c r="BN79" s="76"/>
      <c r="BO79" s="76"/>
      <c r="BP79" s="76"/>
      <c r="BQ79" s="76"/>
      <c r="BR79" s="76"/>
      <c r="BS79" s="76"/>
      <c r="BT79" s="76"/>
      <c r="BU79" s="76"/>
      <c r="BV79" s="76"/>
      <c r="BW79" s="76"/>
      <c r="BX79" s="76"/>
      <c r="BY79" s="76"/>
      <c r="BZ79" s="76"/>
      <c r="CA79" s="76"/>
      <c r="CB79" s="76"/>
      <c r="CC79" s="76"/>
      <c r="CD79" s="76"/>
      <c r="CE79" s="76"/>
      <c r="CF79" s="76"/>
      <c r="CG79" s="76"/>
    </row>
    <row r="80" spans="1:85" ht="30" x14ac:dyDescent="0.25">
      <c r="A80" s="73" t="s">
        <v>443</v>
      </c>
      <c r="B80" s="73" t="s">
        <v>209</v>
      </c>
      <c r="C80" s="73" t="s">
        <v>444</v>
      </c>
      <c r="D80" s="73" t="s">
        <v>40</v>
      </c>
      <c r="E80" s="98" t="s">
        <v>41</v>
      </c>
      <c r="F80" s="84" t="s">
        <v>66</v>
      </c>
      <c r="G80" s="73" t="s">
        <v>67</v>
      </c>
      <c r="H80" s="73" t="s">
        <v>68</v>
      </c>
      <c r="I80" s="73" t="s">
        <v>40</v>
      </c>
      <c r="J80" s="73" t="s">
        <v>40</v>
      </c>
      <c r="K80" s="93" t="s">
        <v>40</v>
      </c>
      <c r="L80" s="77" t="s">
        <v>781</v>
      </c>
      <c r="M80" s="106" t="s">
        <v>345</v>
      </c>
      <c r="N80" s="92">
        <v>24154662</v>
      </c>
      <c r="O80" s="113" t="s">
        <v>445</v>
      </c>
      <c r="P80" s="73" t="s">
        <v>446</v>
      </c>
      <c r="Q80" s="73"/>
      <c r="R80" s="73"/>
      <c r="S80" s="76"/>
      <c r="T80" s="76"/>
      <c r="U80" s="76"/>
      <c r="V80" s="76"/>
      <c r="W80" s="76"/>
      <c r="X80" s="76"/>
      <c r="Y80" s="76"/>
      <c r="Z80" s="76"/>
      <c r="AA80" s="76"/>
      <c r="AB80" s="76"/>
      <c r="AC80" s="76"/>
      <c r="AD80" s="76"/>
      <c r="AE80" s="76"/>
      <c r="AF80" s="76"/>
      <c r="AG80" s="76"/>
      <c r="AH80" s="76"/>
      <c r="AI80" s="76"/>
      <c r="AJ80" s="76"/>
      <c r="AK80" s="76"/>
      <c r="AL80" s="76"/>
      <c r="AM80" s="76"/>
      <c r="AN80" s="76"/>
      <c r="AO80" s="76"/>
      <c r="AP80" s="76"/>
      <c r="AQ80" s="76"/>
      <c r="AR80" s="76"/>
      <c r="AS80" s="76"/>
      <c r="AT80" s="76"/>
      <c r="AU80" s="76"/>
      <c r="AV80" s="76"/>
      <c r="AW80" s="76"/>
      <c r="AX80" s="76"/>
      <c r="AY80" s="76"/>
      <c r="AZ80" s="76"/>
      <c r="BA80" s="76"/>
      <c r="BB80" s="76"/>
      <c r="BC80" s="76"/>
      <c r="BD80" s="76"/>
      <c r="BE80" s="76"/>
      <c r="BF80" s="76"/>
      <c r="BG80" s="76"/>
      <c r="BH80" s="76"/>
      <c r="BI80" s="76"/>
      <c r="BJ80" s="76"/>
      <c r="BK80" s="76"/>
      <c r="BL80" s="76"/>
      <c r="BM80" s="76"/>
      <c r="BN80" s="76"/>
      <c r="BO80" s="76"/>
      <c r="BP80" s="76"/>
      <c r="BQ80" s="76"/>
      <c r="BR80" s="76"/>
      <c r="BS80" s="76"/>
      <c r="BT80" s="76"/>
      <c r="BU80" s="76"/>
      <c r="BV80" s="76"/>
      <c r="BW80" s="76"/>
      <c r="BX80" s="76"/>
      <c r="BY80" s="76"/>
      <c r="BZ80" s="76"/>
      <c r="CA80" s="76"/>
      <c r="CB80" s="76"/>
      <c r="CC80" s="76"/>
      <c r="CD80" s="76"/>
      <c r="CE80" s="76"/>
      <c r="CF80" s="76"/>
      <c r="CG80" s="76"/>
    </row>
    <row r="81" spans="1:18" ht="30" x14ac:dyDescent="0.25">
      <c r="A81" s="73" t="s">
        <v>447</v>
      </c>
      <c r="B81" s="73" t="s">
        <v>82</v>
      </c>
      <c r="C81" s="73" t="s">
        <v>448</v>
      </c>
      <c r="D81" s="73">
        <v>131</v>
      </c>
      <c r="E81" s="106" t="s">
        <v>449</v>
      </c>
      <c r="F81" s="84" t="s">
        <v>66</v>
      </c>
      <c r="G81" s="73" t="s">
        <v>76</v>
      </c>
      <c r="H81" s="73" t="s">
        <v>450</v>
      </c>
      <c r="I81" s="73" t="s">
        <v>78</v>
      </c>
      <c r="J81" s="73" t="s">
        <v>40</v>
      </c>
      <c r="K81" s="93" t="s">
        <v>40</v>
      </c>
      <c r="L81" s="77" t="s">
        <v>779</v>
      </c>
      <c r="M81" s="106" t="s">
        <v>345</v>
      </c>
      <c r="N81" s="92">
        <v>24154662</v>
      </c>
      <c r="O81" s="24"/>
      <c r="P81" s="73"/>
      <c r="Q81" s="73"/>
      <c r="R81" s="73"/>
    </row>
    <row r="82" spans="1:18" ht="30" x14ac:dyDescent="0.25">
      <c r="A82" s="73" t="s">
        <v>451</v>
      </c>
      <c r="B82" s="73" t="s">
        <v>197</v>
      </c>
      <c r="C82" s="73" t="s">
        <v>452</v>
      </c>
      <c r="D82" s="78">
        <v>379</v>
      </c>
      <c r="E82" s="98" t="s">
        <v>453</v>
      </c>
      <c r="F82" s="84" t="s">
        <v>42</v>
      </c>
      <c r="G82" s="73" t="s">
        <v>86</v>
      </c>
      <c r="H82" s="73" t="s">
        <v>40</v>
      </c>
      <c r="I82" s="73" t="s">
        <v>454</v>
      </c>
      <c r="J82" s="73" t="s">
        <v>40</v>
      </c>
      <c r="K82" s="93" t="s">
        <v>40</v>
      </c>
      <c r="L82" s="77" t="s">
        <v>653</v>
      </c>
      <c r="M82" s="106" t="s">
        <v>455</v>
      </c>
      <c r="N82" s="92">
        <v>23877479</v>
      </c>
      <c r="O82" s="98" t="s">
        <v>456</v>
      </c>
      <c r="P82" s="73"/>
      <c r="Q82" s="73"/>
      <c r="R82" s="73"/>
    </row>
    <row r="83" spans="1:18" s="114" customFormat="1" ht="30" x14ac:dyDescent="0.25">
      <c r="A83" s="73" t="s">
        <v>457</v>
      </c>
      <c r="B83" s="73" t="s">
        <v>120</v>
      </c>
      <c r="C83" s="73" t="s">
        <v>458</v>
      </c>
      <c r="D83" s="101">
        <v>189</v>
      </c>
      <c r="E83" s="73" t="s">
        <v>459</v>
      </c>
      <c r="F83" s="84" t="s">
        <v>66</v>
      </c>
      <c r="G83" s="73" t="s">
        <v>76</v>
      </c>
      <c r="H83" s="73" t="s">
        <v>77</v>
      </c>
      <c r="I83" s="73" t="s">
        <v>132</v>
      </c>
      <c r="J83" s="73" t="s">
        <v>281</v>
      </c>
      <c r="K83" s="73" t="s">
        <v>343</v>
      </c>
      <c r="L83" s="77" t="s">
        <v>460</v>
      </c>
      <c r="M83" s="73" t="s">
        <v>461</v>
      </c>
      <c r="N83" s="24"/>
      <c r="O83" s="24"/>
      <c r="P83" s="73"/>
      <c r="Q83" s="73"/>
      <c r="R83" s="73"/>
    </row>
    <row r="84" spans="1:18" s="114" customFormat="1" ht="30" x14ac:dyDescent="0.25">
      <c r="A84" s="73" t="s">
        <v>462</v>
      </c>
      <c r="B84" s="73" t="s">
        <v>415</v>
      </c>
      <c r="C84" s="73" t="s">
        <v>463</v>
      </c>
      <c r="D84" s="73" t="s">
        <v>40</v>
      </c>
      <c r="E84" s="73" t="s">
        <v>464</v>
      </c>
      <c r="F84" s="84" t="s">
        <v>42</v>
      </c>
      <c r="G84" s="84" t="s">
        <v>86</v>
      </c>
      <c r="H84" s="73" t="s">
        <v>465</v>
      </c>
      <c r="I84" s="73" t="s">
        <v>94</v>
      </c>
      <c r="J84" s="73" t="s">
        <v>45</v>
      </c>
      <c r="K84" s="73" t="s">
        <v>466</v>
      </c>
      <c r="L84" s="77" t="s">
        <v>651</v>
      </c>
      <c r="M84" s="73" t="s">
        <v>461</v>
      </c>
      <c r="N84" s="17"/>
      <c r="O84" s="17"/>
      <c r="P84" s="73"/>
      <c r="Q84" s="73"/>
      <c r="R84" s="73"/>
    </row>
    <row r="85" spans="1:18" ht="45" x14ac:dyDescent="0.25">
      <c r="A85" s="73" t="s">
        <v>467</v>
      </c>
      <c r="B85" s="73" t="s">
        <v>148</v>
      </c>
      <c r="C85" s="73" t="s">
        <v>468</v>
      </c>
      <c r="D85" s="78" t="s">
        <v>40</v>
      </c>
      <c r="E85" s="106" t="s">
        <v>469</v>
      </c>
      <c r="F85" s="84" t="s">
        <v>470</v>
      </c>
      <c r="G85" s="73" t="s">
        <v>42</v>
      </c>
      <c r="H85" s="73" t="s">
        <v>40</v>
      </c>
      <c r="I85" s="73" t="s">
        <v>471</v>
      </c>
      <c r="J85" s="73" t="s">
        <v>40</v>
      </c>
      <c r="K85" s="104" t="s">
        <v>40</v>
      </c>
      <c r="L85" s="77" t="s">
        <v>762</v>
      </c>
      <c r="M85" s="73" t="s">
        <v>472</v>
      </c>
      <c r="N85" s="92">
        <v>26360874</v>
      </c>
      <c r="O85" s="24"/>
      <c r="P85" s="73" t="s">
        <v>473</v>
      </c>
      <c r="Q85" s="73"/>
      <c r="R85" s="73"/>
    </row>
    <row r="86" spans="1:18" s="84" customFormat="1" ht="30" x14ac:dyDescent="0.25">
      <c r="A86" s="73" t="s">
        <v>474</v>
      </c>
      <c r="B86" s="73" t="s">
        <v>135</v>
      </c>
      <c r="C86" s="73" t="s">
        <v>475</v>
      </c>
      <c r="D86" s="78">
        <v>285</v>
      </c>
      <c r="E86" s="73" t="s">
        <v>476</v>
      </c>
      <c r="F86" s="84" t="s">
        <v>66</v>
      </c>
      <c r="G86" s="73" t="s">
        <v>76</v>
      </c>
      <c r="H86" s="73" t="s">
        <v>138</v>
      </c>
      <c r="I86" s="73" t="s">
        <v>181</v>
      </c>
      <c r="J86" s="73" t="s">
        <v>281</v>
      </c>
      <c r="K86" s="104" t="s">
        <v>477</v>
      </c>
      <c r="L86" s="77" t="s">
        <v>478</v>
      </c>
      <c r="M86" s="106" t="s">
        <v>479</v>
      </c>
      <c r="N86" s="92">
        <v>28041643</v>
      </c>
      <c r="O86" s="73"/>
      <c r="P86" s="73" t="s">
        <v>480</v>
      </c>
      <c r="Q86" s="73"/>
      <c r="R86" s="73"/>
    </row>
    <row r="87" spans="1:18" s="84" customFormat="1" ht="45" x14ac:dyDescent="0.25">
      <c r="A87" s="73" t="s">
        <v>481</v>
      </c>
      <c r="B87" s="73" t="s">
        <v>148</v>
      </c>
      <c r="C87" s="73" t="s">
        <v>482</v>
      </c>
      <c r="D87" s="73">
        <v>330</v>
      </c>
      <c r="E87" s="73" t="s">
        <v>483</v>
      </c>
      <c r="F87" s="84" t="s">
        <v>66</v>
      </c>
      <c r="G87" s="73" t="s">
        <v>76</v>
      </c>
      <c r="H87" s="73" t="s">
        <v>77</v>
      </c>
      <c r="I87" s="73" t="s">
        <v>78</v>
      </c>
      <c r="J87" s="73" t="s">
        <v>401</v>
      </c>
      <c r="K87" s="104" t="s">
        <v>155</v>
      </c>
      <c r="L87" s="77" t="s">
        <v>484</v>
      </c>
      <c r="M87" s="106" t="s">
        <v>479</v>
      </c>
      <c r="N87" s="97">
        <v>28041643</v>
      </c>
      <c r="O87" s="73"/>
      <c r="P87" s="73"/>
      <c r="Q87" s="73"/>
      <c r="R87" s="73"/>
    </row>
    <row r="88" spans="1:18" s="116" customFormat="1" ht="30" x14ac:dyDescent="0.25">
      <c r="A88" s="73" t="s">
        <v>485</v>
      </c>
      <c r="B88" s="73" t="s">
        <v>258</v>
      </c>
      <c r="C88" s="73" t="s">
        <v>486</v>
      </c>
      <c r="D88" s="78" t="s">
        <v>40</v>
      </c>
      <c r="E88" s="92" t="s">
        <v>41</v>
      </c>
      <c r="F88" s="84" t="s">
        <v>66</v>
      </c>
      <c r="G88" s="73" t="s">
        <v>40</v>
      </c>
      <c r="H88" s="73" t="s">
        <v>78</v>
      </c>
      <c r="I88" s="73" t="s">
        <v>40</v>
      </c>
      <c r="J88" s="73" t="s">
        <v>40</v>
      </c>
      <c r="K88" s="73" t="s">
        <v>40</v>
      </c>
      <c r="L88" s="77" t="s">
        <v>760</v>
      </c>
      <c r="M88" s="106" t="s">
        <v>487</v>
      </c>
      <c r="N88" s="115">
        <v>172609</v>
      </c>
      <c r="O88" s="24"/>
      <c r="P88" s="73" t="s">
        <v>488</v>
      </c>
      <c r="Q88" s="73"/>
      <c r="R88" s="73"/>
    </row>
    <row r="89" spans="1:18" s="108" customFormat="1" ht="30" x14ac:dyDescent="0.25">
      <c r="A89" s="73" t="s">
        <v>489</v>
      </c>
      <c r="B89" s="75" t="s">
        <v>490</v>
      </c>
      <c r="C89" s="92" t="s">
        <v>491</v>
      </c>
      <c r="D89" s="78" t="s">
        <v>40</v>
      </c>
      <c r="E89" s="92" t="s">
        <v>41</v>
      </c>
      <c r="F89" s="84" t="s">
        <v>66</v>
      </c>
      <c r="G89" s="75" t="s">
        <v>174</v>
      </c>
      <c r="H89" s="75" t="s">
        <v>68</v>
      </c>
      <c r="I89" s="73" t="s">
        <v>40</v>
      </c>
      <c r="J89" s="75" t="s">
        <v>281</v>
      </c>
      <c r="K89" s="75" t="s">
        <v>492</v>
      </c>
      <c r="L89" s="77" t="s">
        <v>774</v>
      </c>
      <c r="M89" s="73" t="s">
        <v>493</v>
      </c>
      <c r="N89" s="92">
        <v>28542676</v>
      </c>
      <c r="O89" s="16"/>
      <c r="P89" s="73"/>
      <c r="Q89" s="73"/>
      <c r="R89" s="73"/>
    </row>
    <row r="90" spans="1:18" s="84" customFormat="1" ht="30" x14ac:dyDescent="0.25">
      <c r="A90" s="73" t="s">
        <v>494</v>
      </c>
      <c r="B90" s="73" t="s">
        <v>184</v>
      </c>
      <c r="C90" s="92" t="s">
        <v>495</v>
      </c>
      <c r="D90" s="78" t="s">
        <v>40</v>
      </c>
      <c r="E90" s="92" t="s">
        <v>41</v>
      </c>
      <c r="F90" s="84" t="s">
        <v>66</v>
      </c>
      <c r="G90" s="75" t="s">
        <v>174</v>
      </c>
      <c r="H90" s="75" t="s">
        <v>68</v>
      </c>
      <c r="I90" s="73" t="s">
        <v>40</v>
      </c>
      <c r="J90" s="92" t="s">
        <v>40</v>
      </c>
      <c r="K90" s="92" t="s">
        <v>40</v>
      </c>
      <c r="L90" s="77" t="s">
        <v>496</v>
      </c>
      <c r="M90" s="73" t="s">
        <v>493</v>
      </c>
      <c r="N90" s="92">
        <v>28542676</v>
      </c>
      <c r="O90" s="16"/>
      <c r="P90" s="73"/>
      <c r="Q90" s="73"/>
      <c r="R90" s="73"/>
    </row>
    <row r="91" spans="1:18" s="84" customFormat="1" x14ac:dyDescent="0.25">
      <c r="A91" s="73" t="s">
        <v>497</v>
      </c>
      <c r="B91" s="73" t="s">
        <v>142</v>
      </c>
      <c r="C91" s="92" t="s">
        <v>498</v>
      </c>
      <c r="D91" s="92">
        <v>306</v>
      </c>
      <c r="E91" s="92" t="s">
        <v>499</v>
      </c>
      <c r="F91" s="84" t="s">
        <v>66</v>
      </c>
      <c r="G91" s="92" t="s">
        <v>76</v>
      </c>
      <c r="H91" s="92" t="s">
        <v>500</v>
      </c>
      <c r="I91" s="92"/>
      <c r="J91" s="92" t="s">
        <v>40</v>
      </c>
      <c r="K91" s="92" t="s">
        <v>40</v>
      </c>
      <c r="L91" s="77" t="s">
        <v>501</v>
      </c>
      <c r="M91" s="73" t="s">
        <v>493</v>
      </c>
      <c r="N91" s="92">
        <v>28542676</v>
      </c>
      <c r="O91" s="16"/>
      <c r="P91" s="73"/>
      <c r="Q91" s="73"/>
      <c r="R91" s="73"/>
    </row>
    <row r="92" spans="1:18" ht="30" x14ac:dyDescent="0.25">
      <c r="A92" s="73" t="s">
        <v>502</v>
      </c>
      <c r="B92" s="73" t="s">
        <v>100</v>
      </c>
      <c r="C92" s="92" t="s">
        <v>503</v>
      </c>
      <c r="D92" s="101" t="s">
        <v>40</v>
      </c>
      <c r="E92" s="92" t="s">
        <v>41</v>
      </c>
      <c r="F92" s="84" t="s">
        <v>66</v>
      </c>
      <c r="G92" s="75" t="s">
        <v>174</v>
      </c>
      <c r="H92" s="75" t="s">
        <v>68</v>
      </c>
      <c r="I92" s="73" t="s">
        <v>40</v>
      </c>
      <c r="J92" s="92" t="s">
        <v>40</v>
      </c>
      <c r="K92" s="92" t="s">
        <v>40</v>
      </c>
      <c r="L92" s="77" t="s">
        <v>504</v>
      </c>
      <c r="M92" s="73" t="s">
        <v>493</v>
      </c>
      <c r="N92" s="92">
        <v>28542676</v>
      </c>
      <c r="O92" s="17"/>
      <c r="P92" s="73"/>
      <c r="Q92" s="73"/>
      <c r="R92" s="73"/>
    </row>
    <row r="93" spans="1:18" ht="30" x14ac:dyDescent="0.25">
      <c r="A93" s="73" t="s">
        <v>505</v>
      </c>
      <c r="B93" s="73" t="s">
        <v>299</v>
      </c>
      <c r="C93" s="73" t="s">
        <v>506</v>
      </c>
      <c r="D93" s="73">
        <v>61</v>
      </c>
      <c r="E93" s="73" t="s">
        <v>507</v>
      </c>
      <c r="F93" s="73" t="s">
        <v>42</v>
      </c>
      <c r="G93" s="73" t="s">
        <v>42</v>
      </c>
      <c r="H93" s="73" t="s">
        <v>40</v>
      </c>
      <c r="I93" s="73" t="s">
        <v>94</v>
      </c>
      <c r="J93" s="73" t="s">
        <v>40</v>
      </c>
      <c r="K93" s="73" t="s">
        <v>508</v>
      </c>
      <c r="L93" s="77" t="s">
        <v>509</v>
      </c>
      <c r="M93" s="80" t="s">
        <v>510</v>
      </c>
      <c r="N93" s="92">
        <v>30892110</v>
      </c>
      <c r="O93" s="84"/>
      <c r="P93" s="117"/>
      <c r="Q93" s="73"/>
      <c r="R93" s="73"/>
    </row>
    <row r="94" spans="1:18" s="82" customFormat="1" ht="60" x14ac:dyDescent="0.25">
      <c r="A94" s="73" t="s">
        <v>511</v>
      </c>
      <c r="B94" s="73" t="s">
        <v>312</v>
      </c>
      <c r="C94" s="73" t="s">
        <v>512</v>
      </c>
      <c r="D94" s="73" t="s">
        <v>40</v>
      </c>
      <c r="E94" s="73" t="s">
        <v>41</v>
      </c>
      <c r="F94" s="73" t="s">
        <v>66</v>
      </c>
      <c r="G94" s="73" t="s">
        <v>67</v>
      </c>
      <c r="H94" s="75" t="s">
        <v>68</v>
      </c>
      <c r="I94" s="73" t="s">
        <v>40</v>
      </c>
      <c r="J94" s="73" t="s">
        <v>40</v>
      </c>
      <c r="K94" s="73" t="s">
        <v>513</v>
      </c>
      <c r="L94" s="77" t="s">
        <v>514</v>
      </c>
      <c r="M94" s="80" t="s">
        <v>515</v>
      </c>
      <c r="N94" s="97">
        <v>30053402</v>
      </c>
      <c r="O94" s="118"/>
      <c r="P94" s="118" t="s">
        <v>516</v>
      </c>
      <c r="Q94" s="73"/>
      <c r="R94" s="73"/>
    </row>
    <row r="95" spans="1:18" ht="30" x14ac:dyDescent="0.25">
      <c r="A95" s="73" t="s">
        <v>517</v>
      </c>
      <c r="B95" s="73" t="s">
        <v>312</v>
      </c>
      <c r="C95" s="73" t="s">
        <v>518</v>
      </c>
      <c r="D95" s="73" t="s">
        <v>40</v>
      </c>
      <c r="E95" s="73" t="s">
        <v>41</v>
      </c>
      <c r="F95" s="73" t="s">
        <v>66</v>
      </c>
      <c r="G95" s="73" t="s">
        <v>40</v>
      </c>
      <c r="H95" s="73" t="s">
        <v>354</v>
      </c>
      <c r="I95" s="73" t="s">
        <v>40</v>
      </c>
      <c r="J95" s="73" t="s">
        <v>40</v>
      </c>
      <c r="K95" s="73" t="s">
        <v>40</v>
      </c>
      <c r="L95" s="77" t="s">
        <v>519</v>
      </c>
      <c r="M95" s="80" t="s">
        <v>520</v>
      </c>
      <c r="N95" s="97">
        <v>33507216</v>
      </c>
      <c r="O95" s="84"/>
      <c r="P95" s="117"/>
      <c r="Q95" s="73"/>
      <c r="R95" s="73"/>
    </row>
    <row r="96" spans="1:18" ht="45" x14ac:dyDescent="0.25">
      <c r="A96" s="73" t="s">
        <v>521</v>
      </c>
      <c r="B96" s="73" t="s">
        <v>82</v>
      </c>
      <c r="C96" s="73" t="s">
        <v>522</v>
      </c>
      <c r="D96" s="101">
        <v>148</v>
      </c>
      <c r="E96" s="73" t="s">
        <v>523</v>
      </c>
      <c r="F96" s="73" t="s">
        <v>42</v>
      </c>
      <c r="G96" s="73" t="s">
        <v>42</v>
      </c>
      <c r="H96" s="73" t="s">
        <v>40</v>
      </c>
      <c r="I96" s="73" t="s">
        <v>123</v>
      </c>
      <c r="J96" s="73" t="s">
        <v>281</v>
      </c>
      <c r="K96" s="73" t="s">
        <v>524</v>
      </c>
      <c r="L96" s="77" t="s">
        <v>525</v>
      </c>
      <c r="M96" s="80" t="s">
        <v>520</v>
      </c>
      <c r="N96" s="92">
        <v>33507216</v>
      </c>
      <c r="O96" s="84"/>
      <c r="P96" s="117"/>
      <c r="Q96" s="73"/>
      <c r="R96" s="73"/>
    </row>
    <row r="97" spans="1:18" ht="45" x14ac:dyDescent="0.25">
      <c r="A97" s="73" t="s">
        <v>526</v>
      </c>
      <c r="B97" s="73" t="s">
        <v>178</v>
      </c>
      <c r="C97" s="73" t="s">
        <v>527</v>
      </c>
      <c r="D97" s="73">
        <v>409</v>
      </c>
      <c r="E97" s="73" t="s">
        <v>528</v>
      </c>
      <c r="F97" s="73" t="s">
        <v>66</v>
      </c>
      <c r="G97" s="73" t="s">
        <v>76</v>
      </c>
      <c r="H97" s="73" t="s">
        <v>138</v>
      </c>
      <c r="I97" s="73" t="s">
        <v>529</v>
      </c>
      <c r="J97" s="73" t="s">
        <v>281</v>
      </c>
      <c r="K97" s="73" t="s">
        <v>530</v>
      </c>
      <c r="L97" s="77" t="s">
        <v>531</v>
      </c>
      <c r="M97" s="80" t="s">
        <v>520</v>
      </c>
      <c r="N97" s="92">
        <v>33507216</v>
      </c>
      <c r="O97" s="84"/>
      <c r="P97" s="117"/>
      <c r="Q97" s="73"/>
      <c r="R97" s="73"/>
    </row>
    <row r="98" spans="1:18" ht="30" x14ac:dyDescent="0.25">
      <c r="A98" s="73" t="s">
        <v>532</v>
      </c>
      <c r="B98" s="73" t="s">
        <v>142</v>
      </c>
      <c r="C98" s="73" t="s">
        <v>533</v>
      </c>
      <c r="D98" s="73">
        <v>313</v>
      </c>
      <c r="E98" s="73" t="s">
        <v>534</v>
      </c>
      <c r="F98" s="73" t="s">
        <v>66</v>
      </c>
      <c r="G98" s="73" t="s">
        <v>76</v>
      </c>
      <c r="H98" s="73" t="s">
        <v>77</v>
      </c>
      <c r="I98" s="73" t="s">
        <v>132</v>
      </c>
      <c r="J98" s="73" t="s">
        <v>281</v>
      </c>
      <c r="K98" s="73" t="s">
        <v>535</v>
      </c>
      <c r="L98" s="77" t="s">
        <v>536</v>
      </c>
      <c r="M98" s="80" t="s">
        <v>520</v>
      </c>
      <c r="N98" s="92">
        <v>33507216</v>
      </c>
      <c r="O98" s="84"/>
      <c r="P98" s="117"/>
      <c r="Q98" s="73"/>
      <c r="R98" s="73"/>
    </row>
    <row r="99" spans="1:18" ht="30" x14ac:dyDescent="0.25">
      <c r="A99" s="73" t="s">
        <v>537</v>
      </c>
      <c r="B99" s="73" t="s">
        <v>299</v>
      </c>
      <c r="C99" s="73" t="s">
        <v>538</v>
      </c>
      <c r="D99" s="73">
        <v>59</v>
      </c>
      <c r="E99" s="73" t="s">
        <v>539</v>
      </c>
      <c r="F99" s="73" t="s">
        <v>66</v>
      </c>
      <c r="G99" s="73" t="s">
        <v>76</v>
      </c>
      <c r="H99" s="73" t="s">
        <v>77</v>
      </c>
      <c r="I99" s="73" t="s">
        <v>132</v>
      </c>
      <c r="J99" s="73" t="s">
        <v>95</v>
      </c>
      <c r="K99" s="73" t="s">
        <v>540</v>
      </c>
      <c r="L99" s="77" t="s">
        <v>541</v>
      </c>
      <c r="M99" s="73" t="s">
        <v>542</v>
      </c>
      <c r="N99" s="17">
        <v>30446867</v>
      </c>
      <c r="O99" s="17"/>
      <c r="P99" s="73"/>
      <c r="Q99" s="73"/>
      <c r="R99" s="73"/>
    </row>
    <row r="100" spans="1:18" x14ac:dyDescent="0.25">
      <c r="A100" s="73" t="s">
        <v>543</v>
      </c>
      <c r="B100" s="73" t="s">
        <v>38</v>
      </c>
      <c r="C100" s="73" t="s">
        <v>544</v>
      </c>
      <c r="D100" s="101" t="s">
        <v>40</v>
      </c>
      <c r="E100" s="73" t="s">
        <v>41</v>
      </c>
      <c r="F100" s="73" t="s">
        <v>42</v>
      </c>
      <c r="G100" s="73" t="s">
        <v>42</v>
      </c>
      <c r="H100" s="73" t="s">
        <v>40</v>
      </c>
      <c r="I100" s="73" t="s">
        <v>40</v>
      </c>
      <c r="J100" s="73" t="s">
        <v>40</v>
      </c>
      <c r="K100" s="73" t="s">
        <v>40</v>
      </c>
      <c r="L100" s="77" t="s">
        <v>545</v>
      </c>
      <c r="M100" s="73" t="s">
        <v>546</v>
      </c>
      <c r="N100" s="17" t="s">
        <v>40</v>
      </c>
      <c r="O100" s="17"/>
      <c r="P100" s="73"/>
      <c r="Q100" s="73"/>
      <c r="R100" s="73"/>
    </row>
    <row r="101" spans="1:18" ht="45" x14ac:dyDescent="0.25">
      <c r="A101" s="73" t="s">
        <v>547</v>
      </c>
      <c r="B101" s="73" t="s">
        <v>148</v>
      </c>
      <c r="C101" s="73" t="s">
        <v>548</v>
      </c>
      <c r="D101" s="73">
        <v>335</v>
      </c>
      <c r="E101" s="73" t="s">
        <v>549</v>
      </c>
      <c r="F101" s="73" t="s">
        <v>66</v>
      </c>
      <c r="G101" s="73" t="s">
        <v>76</v>
      </c>
      <c r="H101" s="73" t="s">
        <v>77</v>
      </c>
      <c r="I101" s="73" t="s">
        <v>78</v>
      </c>
      <c r="J101" s="73" t="s">
        <v>281</v>
      </c>
      <c r="K101" s="73" t="s">
        <v>550</v>
      </c>
      <c r="L101" s="77" t="s">
        <v>744</v>
      </c>
      <c r="M101" s="73" t="s">
        <v>546</v>
      </c>
      <c r="N101" s="73" t="s">
        <v>40</v>
      </c>
      <c r="O101" s="73"/>
      <c r="P101" s="73" t="s">
        <v>551</v>
      </c>
      <c r="Q101" s="73"/>
      <c r="R101" s="73"/>
    </row>
    <row r="102" spans="1:18" ht="30" x14ac:dyDescent="0.25">
      <c r="A102" s="73" t="s">
        <v>552</v>
      </c>
      <c r="B102" s="73" t="s">
        <v>197</v>
      </c>
      <c r="C102" s="73" t="s">
        <v>553</v>
      </c>
      <c r="D102" s="73">
        <v>384</v>
      </c>
      <c r="E102" s="73" t="s">
        <v>554</v>
      </c>
      <c r="F102" s="73" t="s">
        <v>66</v>
      </c>
      <c r="G102" s="73" t="s">
        <v>76</v>
      </c>
      <c r="H102" s="73" t="s">
        <v>77</v>
      </c>
      <c r="I102" s="73" t="s">
        <v>78</v>
      </c>
      <c r="J102" s="73" t="s">
        <v>40</v>
      </c>
      <c r="K102" s="73" t="s">
        <v>555</v>
      </c>
      <c r="L102" s="77" t="s">
        <v>556</v>
      </c>
      <c r="M102" s="73" t="s">
        <v>557</v>
      </c>
      <c r="N102" s="101"/>
      <c r="O102" s="101"/>
      <c r="P102" s="73" t="s">
        <v>558</v>
      </c>
      <c r="Q102" s="73"/>
      <c r="R102" s="73"/>
    </row>
    <row r="103" spans="1:18" ht="30" x14ac:dyDescent="0.25">
      <c r="A103" s="73" t="s">
        <v>559</v>
      </c>
      <c r="B103" s="73" t="s">
        <v>106</v>
      </c>
      <c r="C103" s="73" t="s">
        <v>560</v>
      </c>
      <c r="D103" s="119">
        <v>161</v>
      </c>
      <c r="E103" s="120" t="s">
        <v>561</v>
      </c>
      <c r="F103" s="120" t="s">
        <v>66</v>
      </c>
      <c r="G103" s="73" t="s">
        <v>109</v>
      </c>
      <c r="H103" s="73" t="s">
        <v>40</v>
      </c>
      <c r="I103" s="73" t="s">
        <v>78</v>
      </c>
      <c r="J103" s="73" t="s">
        <v>281</v>
      </c>
      <c r="K103" s="73" t="s">
        <v>562</v>
      </c>
      <c r="L103" s="77" t="s">
        <v>563</v>
      </c>
      <c r="M103" s="73" t="s">
        <v>564</v>
      </c>
      <c r="N103" s="73" t="s">
        <v>40</v>
      </c>
      <c r="O103" s="17"/>
      <c r="P103" s="73"/>
      <c r="Q103" s="73"/>
      <c r="R103" s="73"/>
    </row>
    <row r="104" spans="1:18" ht="60" x14ac:dyDescent="0.25">
      <c r="A104" s="73" t="s">
        <v>565</v>
      </c>
      <c r="B104" s="73" t="s">
        <v>415</v>
      </c>
      <c r="C104" s="73" t="s">
        <v>566</v>
      </c>
      <c r="D104" s="97">
        <v>226</v>
      </c>
      <c r="E104" s="121" t="s">
        <v>567</v>
      </c>
      <c r="F104" s="92" t="s">
        <v>42</v>
      </c>
      <c r="G104" s="92" t="s">
        <v>86</v>
      </c>
      <c r="H104" s="73" t="s">
        <v>40</v>
      </c>
      <c r="I104" s="73" t="s">
        <v>568</v>
      </c>
      <c r="J104" s="73" t="s">
        <v>40</v>
      </c>
      <c r="K104" s="73" t="s">
        <v>40</v>
      </c>
      <c r="L104" s="77" t="s">
        <v>569</v>
      </c>
      <c r="M104" s="73" t="s">
        <v>564</v>
      </c>
      <c r="N104" s="73" t="s">
        <v>40</v>
      </c>
      <c r="O104" s="17"/>
      <c r="P104" s="73"/>
      <c r="Q104" s="73"/>
      <c r="R104" s="73"/>
    </row>
    <row r="105" spans="1:18" ht="30" x14ac:dyDescent="0.25">
      <c r="A105" s="73" t="s">
        <v>570</v>
      </c>
      <c r="B105" s="73" t="s">
        <v>312</v>
      </c>
      <c r="C105" s="73" t="s">
        <v>571</v>
      </c>
      <c r="D105" s="73" t="s">
        <v>40</v>
      </c>
      <c r="E105" s="73" t="s">
        <v>40</v>
      </c>
      <c r="F105" s="73" t="s">
        <v>66</v>
      </c>
      <c r="G105" s="73" t="s">
        <v>67</v>
      </c>
      <c r="H105" s="75" t="s">
        <v>68</v>
      </c>
      <c r="I105" s="75" t="s">
        <v>40</v>
      </c>
      <c r="J105" s="73" t="s">
        <v>159</v>
      </c>
      <c r="K105" s="73" t="s">
        <v>572</v>
      </c>
      <c r="L105" s="77" t="s">
        <v>573</v>
      </c>
      <c r="M105" s="73" t="s">
        <v>564</v>
      </c>
      <c r="N105" s="73" t="s">
        <v>40</v>
      </c>
      <c r="O105" s="73"/>
      <c r="P105" s="73" t="s">
        <v>574</v>
      </c>
      <c r="Q105" s="73"/>
      <c r="R105" s="73"/>
    </row>
    <row r="106" spans="1:18" x14ac:dyDescent="0.25">
      <c r="A106" s="73" t="s">
        <v>575</v>
      </c>
      <c r="B106" s="73" t="s">
        <v>576</v>
      </c>
      <c r="C106" s="73" t="s">
        <v>577</v>
      </c>
      <c r="D106" s="73" t="s">
        <v>40</v>
      </c>
      <c r="E106" s="73" t="s">
        <v>40</v>
      </c>
      <c r="F106" s="73" t="s">
        <v>42</v>
      </c>
      <c r="G106" s="73" t="s">
        <v>40</v>
      </c>
      <c r="H106" s="73" t="s">
        <v>40</v>
      </c>
      <c r="I106" s="73"/>
      <c r="J106" s="73" t="s">
        <v>40</v>
      </c>
      <c r="K106" s="73" t="s">
        <v>40</v>
      </c>
      <c r="L106" s="77" t="s">
        <v>40</v>
      </c>
      <c r="M106" s="73" t="s">
        <v>578</v>
      </c>
      <c r="N106" s="73" t="s">
        <v>40</v>
      </c>
      <c r="O106" s="73"/>
      <c r="P106" s="73"/>
      <c r="Q106" s="73"/>
      <c r="R106" s="73"/>
    </row>
    <row r="107" spans="1:18" s="108" customFormat="1" ht="30" x14ac:dyDescent="0.25">
      <c r="A107" s="73" t="s">
        <v>579</v>
      </c>
      <c r="B107" s="73" t="s">
        <v>580</v>
      </c>
      <c r="C107" s="73" t="s">
        <v>581</v>
      </c>
      <c r="D107" s="73">
        <v>353</v>
      </c>
      <c r="E107" s="73" t="s">
        <v>582</v>
      </c>
      <c r="F107" s="73" t="s">
        <v>66</v>
      </c>
      <c r="G107" s="73" t="s">
        <v>109</v>
      </c>
      <c r="H107" s="73" t="s">
        <v>40</v>
      </c>
      <c r="I107" s="73" t="s">
        <v>40</v>
      </c>
      <c r="J107" s="73" t="s">
        <v>159</v>
      </c>
      <c r="K107" s="73" t="s">
        <v>583</v>
      </c>
      <c r="L107" s="77" t="s">
        <v>740</v>
      </c>
      <c r="M107" s="73" t="s">
        <v>578</v>
      </c>
      <c r="N107" s="73" t="s">
        <v>40</v>
      </c>
      <c r="O107" s="73"/>
      <c r="P107" s="73" t="s">
        <v>584</v>
      </c>
      <c r="Q107" s="73"/>
      <c r="R107" s="73"/>
    </row>
    <row r="108" spans="1:18" ht="45" x14ac:dyDescent="0.25">
      <c r="A108" s="73" t="s">
        <v>585</v>
      </c>
      <c r="B108" s="73" t="s">
        <v>135</v>
      </c>
      <c r="C108" s="73" t="s">
        <v>586</v>
      </c>
      <c r="D108" s="73">
        <v>292</v>
      </c>
      <c r="E108" s="73" t="s">
        <v>587</v>
      </c>
      <c r="F108" s="73" t="s">
        <v>66</v>
      </c>
      <c r="G108" s="73" t="s">
        <v>76</v>
      </c>
      <c r="H108" s="73" t="s">
        <v>77</v>
      </c>
      <c r="I108" s="73" t="s">
        <v>223</v>
      </c>
      <c r="J108" s="73" t="s">
        <v>281</v>
      </c>
      <c r="K108" s="73" t="s">
        <v>588</v>
      </c>
      <c r="L108" s="77" t="s">
        <v>747</v>
      </c>
      <c r="M108" s="73" t="s">
        <v>589</v>
      </c>
      <c r="N108" s="73" t="s">
        <v>40</v>
      </c>
      <c r="O108" s="73"/>
      <c r="P108" s="73" t="s">
        <v>558</v>
      </c>
      <c r="Q108" s="73"/>
      <c r="R108" s="73"/>
    </row>
    <row r="109" spans="1:18" x14ac:dyDescent="0.25">
      <c r="A109" s="73" t="s">
        <v>590</v>
      </c>
      <c r="B109" s="73" t="s">
        <v>38</v>
      </c>
      <c r="C109" s="73" t="s">
        <v>591</v>
      </c>
      <c r="D109" s="73" t="s">
        <v>40</v>
      </c>
      <c r="E109" s="73" t="s">
        <v>41</v>
      </c>
      <c r="F109" s="73" t="s">
        <v>42</v>
      </c>
      <c r="G109" s="101" t="s">
        <v>40</v>
      </c>
      <c r="H109" s="73" t="s">
        <v>40</v>
      </c>
      <c r="I109" s="73" t="s">
        <v>40</v>
      </c>
      <c r="J109" s="73" t="s">
        <v>40</v>
      </c>
      <c r="K109" s="73" t="s">
        <v>40</v>
      </c>
      <c r="L109" s="77" t="s">
        <v>592</v>
      </c>
      <c r="M109" s="73" t="s">
        <v>593</v>
      </c>
      <c r="N109" s="92">
        <v>28559085</v>
      </c>
      <c r="O109" s="73" t="s">
        <v>594</v>
      </c>
      <c r="P109" s="73"/>
      <c r="Q109" s="73"/>
      <c r="R109" s="73"/>
    </row>
    <row r="110" spans="1:18" ht="30" x14ac:dyDescent="0.25">
      <c r="A110" s="73" t="s">
        <v>595</v>
      </c>
      <c r="B110" s="73" t="s">
        <v>73</v>
      </c>
      <c r="C110" s="73" t="s">
        <v>596</v>
      </c>
      <c r="D110" s="101">
        <v>102</v>
      </c>
      <c r="E110" s="73" t="s">
        <v>597</v>
      </c>
      <c r="F110" s="73" t="s">
        <v>42</v>
      </c>
      <c r="G110" s="73" t="s">
        <v>42</v>
      </c>
      <c r="H110" s="73" t="s">
        <v>40</v>
      </c>
      <c r="I110" s="73" t="s">
        <v>78</v>
      </c>
      <c r="J110" s="73" t="s">
        <v>40</v>
      </c>
      <c r="K110" s="73" t="s">
        <v>40</v>
      </c>
      <c r="L110" s="77" t="s">
        <v>652</v>
      </c>
      <c r="M110" s="73" t="s">
        <v>593</v>
      </c>
      <c r="N110" s="92">
        <v>28559085</v>
      </c>
      <c r="O110" s="73" t="s">
        <v>598</v>
      </c>
      <c r="P110" s="73"/>
      <c r="Q110" s="73"/>
      <c r="R110" s="73"/>
    </row>
    <row r="111" spans="1:18" ht="45" x14ac:dyDescent="0.25">
      <c r="A111" s="73" t="s">
        <v>599</v>
      </c>
      <c r="B111" s="73" t="s">
        <v>73</v>
      </c>
      <c r="C111" s="73" t="s">
        <v>600</v>
      </c>
      <c r="D111" s="101">
        <v>124</v>
      </c>
      <c r="E111" s="73" t="s">
        <v>601</v>
      </c>
      <c r="F111" s="73" t="s">
        <v>66</v>
      </c>
      <c r="G111" s="73" t="s">
        <v>602</v>
      </c>
      <c r="H111" s="73" t="s">
        <v>40</v>
      </c>
      <c r="I111" s="73" t="s">
        <v>603</v>
      </c>
      <c r="J111" s="73" t="s">
        <v>40</v>
      </c>
      <c r="K111" s="73" t="s">
        <v>40</v>
      </c>
      <c r="L111" s="77" t="s">
        <v>604</v>
      </c>
      <c r="M111" s="73" t="s">
        <v>605</v>
      </c>
      <c r="N111" s="73" t="s">
        <v>40</v>
      </c>
      <c r="O111" s="17"/>
      <c r="P111" s="118" t="s">
        <v>606</v>
      </c>
      <c r="Q111" s="73"/>
      <c r="R111" s="73"/>
    </row>
    <row r="112" spans="1:18" ht="45" x14ac:dyDescent="0.25">
      <c r="A112" s="73" t="s">
        <v>607</v>
      </c>
      <c r="B112" s="73" t="s">
        <v>178</v>
      </c>
      <c r="C112" s="73" t="s">
        <v>608</v>
      </c>
      <c r="D112" s="73">
        <v>419</v>
      </c>
      <c r="E112" s="73" t="s">
        <v>609</v>
      </c>
      <c r="F112" s="73" t="s">
        <v>66</v>
      </c>
      <c r="G112" s="73" t="s">
        <v>76</v>
      </c>
      <c r="H112" s="73" t="s">
        <v>77</v>
      </c>
      <c r="I112" s="73" t="s">
        <v>94</v>
      </c>
      <c r="J112" s="73" t="s">
        <v>401</v>
      </c>
      <c r="K112" s="73" t="s">
        <v>40</v>
      </c>
      <c r="L112" s="77" t="s">
        <v>649</v>
      </c>
      <c r="M112" s="73" t="s">
        <v>610</v>
      </c>
      <c r="N112" s="73" t="s">
        <v>611</v>
      </c>
      <c r="O112" s="73"/>
      <c r="P112" s="73"/>
      <c r="Q112" s="73"/>
      <c r="R112" s="73"/>
    </row>
    <row r="113" spans="1:18" x14ac:dyDescent="0.25">
      <c r="A113" s="73" t="s">
        <v>612</v>
      </c>
      <c r="B113" s="73" t="s">
        <v>178</v>
      </c>
      <c r="C113" s="73" t="s">
        <v>613</v>
      </c>
      <c r="D113" s="73">
        <v>425</v>
      </c>
      <c r="E113" s="73" t="s">
        <v>614</v>
      </c>
      <c r="F113" s="73" t="s">
        <v>42</v>
      </c>
      <c r="G113" s="73" t="s">
        <v>86</v>
      </c>
      <c r="H113" s="73" t="s">
        <v>40</v>
      </c>
      <c r="I113" s="73" t="s">
        <v>181</v>
      </c>
      <c r="J113" s="84" t="s">
        <v>40</v>
      </c>
      <c r="K113" s="84" t="s">
        <v>40</v>
      </c>
      <c r="L113" s="77" t="s">
        <v>615</v>
      </c>
      <c r="M113" s="73" t="s">
        <v>616</v>
      </c>
      <c r="N113" s="73">
        <v>37074398</v>
      </c>
      <c r="O113" s="16"/>
      <c r="P113" s="73"/>
      <c r="Q113" s="73"/>
      <c r="R113" s="73"/>
    </row>
    <row r="114" spans="1:18" ht="38.1" customHeight="1" x14ac:dyDescent="0.25">
      <c r="A114" s="73" t="s">
        <v>617</v>
      </c>
      <c r="B114" s="73" t="s">
        <v>618</v>
      </c>
      <c r="C114" s="73" t="s">
        <v>619</v>
      </c>
      <c r="D114" s="73" t="s">
        <v>40</v>
      </c>
      <c r="E114" s="73" t="s">
        <v>41</v>
      </c>
      <c r="F114" s="73" t="s">
        <v>42</v>
      </c>
      <c r="G114" s="73" t="s">
        <v>40</v>
      </c>
      <c r="H114" s="73" t="s">
        <v>40</v>
      </c>
      <c r="I114" s="73" t="s">
        <v>40</v>
      </c>
      <c r="J114" s="84" t="s">
        <v>40</v>
      </c>
      <c r="K114" s="84" t="s">
        <v>40</v>
      </c>
      <c r="L114" s="77" t="s">
        <v>800</v>
      </c>
      <c r="M114" s="73" t="s">
        <v>620</v>
      </c>
      <c r="N114" s="73">
        <v>36811936</v>
      </c>
      <c r="O114" s="16" t="s">
        <v>797</v>
      </c>
      <c r="P114" s="73"/>
      <c r="Q114" s="73"/>
      <c r="R114" s="73"/>
    </row>
    <row r="115" spans="1:18" ht="30" x14ac:dyDescent="0.25">
      <c r="A115" s="73" t="s">
        <v>621</v>
      </c>
      <c r="B115" s="73" t="s">
        <v>148</v>
      </c>
      <c r="C115" s="73" t="s">
        <v>622</v>
      </c>
      <c r="D115" s="73">
        <v>390</v>
      </c>
      <c r="E115" s="73" t="s">
        <v>623</v>
      </c>
      <c r="F115" s="73" t="s">
        <v>66</v>
      </c>
      <c r="G115" s="73" t="s">
        <v>76</v>
      </c>
      <c r="H115" s="73" t="s">
        <v>77</v>
      </c>
      <c r="I115" s="73" t="s">
        <v>78</v>
      </c>
      <c r="J115" s="84" t="s">
        <v>281</v>
      </c>
      <c r="K115" s="73" t="s">
        <v>624</v>
      </c>
      <c r="L115" s="77" t="s">
        <v>625</v>
      </c>
      <c r="M115" s="73" t="s">
        <v>620</v>
      </c>
      <c r="N115" s="73">
        <v>36811936</v>
      </c>
      <c r="O115" s="17"/>
      <c r="P115" s="73" t="s">
        <v>626</v>
      </c>
      <c r="Q115" s="73"/>
      <c r="R115" s="73"/>
    </row>
    <row r="116" spans="1:18" x14ac:dyDescent="0.25">
      <c r="A116" s="73" t="s">
        <v>627</v>
      </c>
      <c r="B116" s="73" t="s">
        <v>148</v>
      </c>
      <c r="C116" s="73" t="s">
        <v>628</v>
      </c>
      <c r="D116" s="73">
        <v>321</v>
      </c>
      <c r="E116" s="73" t="s">
        <v>629</v>
      </c>
      <c r="F116" s="73" t="s">
        <v>630</v>
      </c>
      <c r="G116" s="73" t="s">
        <v>109</v>
      </c>
      <c r="H116" s="73" t="s">
        <v>40</v>
      </c>
      <c r="I116" s="73" t="s">
        <v>40</v>
      </c>
      <c r="J116" s="73" t="s">
        <v>40</v>
      </c>
      <c r="K116" s="73" t="s">
        <v>40</v>
      </c>
      <c r="L116" s="77" t="s">
        <v>631</v>
      </c>
      <c r="M116" s="73" t="s">
        <v>632</v>
      </c>
      <c r="N116" s="73">
        <v>31741823</v>
      </c>
      <c r="O116" s="16"/>
      <c r="P116" s="73"/>
      <c r="Q116" s="73"/>
      <c r="R116" s="73"/>
    </row>
    <row r="117" spans="1:18" ht="30" x14ac:dyDescent="0.25">
      <c r="A117" s="73" t="s">
        <v>277</v>
      </c>
      <c r="B117" s="73" t="s">
        <v>197</v>
      </c>
      <c r="C117" s="73" t="s">
        <v>633</v>
      </c>
      <c r="D117" s="73">
        <v>392</v>
      </c>
      <c r="E117" s="73" t="s">
        <v>634</v>
      </c>
      <c r="F117" s="73" t="s">
        <v>42</v>
      </c>
      <c r="G117" s="73" t="s">
        <v>86</v>
      </c>
      <c r="H117" s="73" t="s">
        <v>40</v>
      </c>
      <c r="I117" s="73" t="s">
        <v>40</v>
      </c>
      <c r="J117" s="73" t="s">
        <v>40</v>
      </c>
      <c r="K117" s="84"/>
      <c r="L117" s="77" t="s">
        <v>635</v>
      </c>
      <c r="M117" s="73" t="s">
        <v>636</v>
      </c>
      <c r="N117" s="17">
        <v>26075876</v>
      </c>
      <c r="O117" s="73" t="s">
        <v>637</v>
      </c>
      <c r="P117" s="73" t="s">
        <v>638</v>
      </c>
      <c r="Q117" s="73" t="s">
        <v>639</v>
      </c>
      <c r="R117" s="73"/>
    </row>
    <row r="118" spans="1:18" ht="30" x14ac:dyDescent="0.25">
      <c r="A118" s="73" t="s">
        <v>277</v>
      </c>
      <c r="B118" s="73" t="s">
        <v>278</v>
      </c>
      <c r="C118" s="73" t="s">
        <v>279</v>
      </c>
      <c r="D118" s="73">
        <v>89</v>
      </c>
      <c r="E118" s="73" t="s">
        <v>280</v>
      </c>
      <c r="F118" s="73" t="s">
        <v>66</v>
      </c>
      <c r="G118" s="73" t="s">
        <v>76</v>
      </c>
      <c r="H118" s="73" t="s">
        <v>77</v>
      </c>
      <c r="I118" s="73" t="s">
        <v>132</v>
      </c>
      <c r="J118" s="73" t="s">
        <v>281</v>
      </c>
      <c r="K118" s="73" t="s">
        <v>282</v>
      </c>
      <c r="L118" s="77" t="s">
        <v>283</v>
      </c>
      <c r="M118" s="75" t="s">
        <v>284</v>
      </c>
      <c r="N118" s="92" t="s">
        <v>285</v>
      </c>
      <c r="O118" s="75"/>
      <c r="P118" s="75"/>
      <c r="Q118" s="73"/>
      <c r="R118" s="73"/>
    </row>
    <row r="119" spans="1:18" s="73" customFormat="1" x14ac:dyDescent="0.25">
      <c r="J119" s="84"/>
      <c r="K119" s="84"/>
      <c r="O119" s="16"/>
    </row>
    <row r="120" spans="1:18" x14ac:dyDescent="0.25">
      <c r="O120" s="84"/>
      <c r="R120" s="73"/>
    </row>
    <row r="121" spans="1:18" x14ac:dyDescent="0.25">
      <c r="C121" s="84" t="s">
        <v>785</v>
      </c>
      <c r="D121" s="81" t="s">
        <v>786</v>
      </c>
      <c r="E121" s="80" t="s">
        <v>787</v>
      </c>
      <c r="F121" s="81" t="s">
        <v>794</v>
      </c>
      <c r="G121" s="81" t="s">
        <v>795</v>
      </c>
      <c r="O121" s="84"/>
      <c r="R121" s="73"/>
    </row>
    <row r="122" spans="1:18" x14ac:dyDescent="0.25">
      <c r="O122" s="84"/>
      <c r="R122" s="73"/>
    </row>
    <row r="123" spans="1:18" ht="30" x14ac:dyDescent="0.25">
      <c r="C123" s="84" t="s">
        <v>788</v>
      </c>
      <c r="D123" s="73" t="s">
        <v>789</v>
      </c>
      <c r="E123" s="73" t="s">
        <v>790</v>
      </c>
      <c r="F123" s="73" t="s">
        <v>791</v>
      </c>
      <c r="G123" s="81" t="s">
        <v>796</v>
      </c>
      <c r="O123" s="84"/>
      <c r="R123" s="73"/>
    </row>
    <row r="124" spans="1:18" ht="30" x14ac:dyDescent="0.25">
      <c r="A124" s="73"/>
      <c r="B124" s="73"/>
      <c r="C124" s="73" t="s">
        <v>654</v>
      </c>
      <c r="D124" s="73" t="s">
        <v>792</v>
      </c>
      <c r="E124" s="73" t="s">
        <v>793</v>
      </c>
      <c r="F124" s="84" t="s">
        <v>791</v>
      </c>
      <c r="G124" s="81" t="s">
        <v>796</v>
      </c>
      <c r="H124" s="84"/>
      <c r="I124" s="84"/>
      <c r="J124" s="84"/>
      <c r="K124" s="84"/>
      <c r="L124" s="73"/>
      <c r="M124" s="73"/>
      <c r="N124" s="16"/>
      <c r="O124" s="16"/>
      <c r="P124" s="73"/>
      <c r="Q124" s="73"/>
      <c r="R124" s="73"/>
    </row>
    <row r="125" spans="1:18" x14ac:dyDescent="0.25">
      <c r="A125" s="73"/>
      <c r="B125" s="73"/>
      <c r="C125" s="73"/>
      <c r="D125" s="73"/>
      <c r="E125" s="84"/>
      <c r="F125" s="84"/>
      <c r="G125" s="84"/>
      <c r="H125" s="84"/>
      <c r="I125" s="84"/>
      <c r="J125" s="84"/>
      <c r="K125" s="84"/>
      <c r="L125" s="73"/>
      <c r="M125" s="73"/>
      <c r="N125" s="17"/>
      <c r="O125" s="16"/>
      <c r="P125" s="73"/>
      <c r="Q125" s="73"/>
      <c r="R125" s="73"/>
    </row>
    <row r="126" spans="1:18" x14ac:dyDescent="0.25">
      <c r="C126" s="73"/>
      <c r="D126" s="73"/>
      <c r="E126" s="73"/>
      <c r="F126" s="73"/>
      <c r="G126" s="73"/>
      <c r="H126" s="73"/>
      <c r="I126" s="73"/>
      <c r="J126" s="73"/>
      <c r="K126" s="73"/>
      <c r="L126" s="73"/>
      <c r="M126" s="73"/>
      <c r="N126" s="73"/>
      <c r="O126" s="73"/>
      <c r="P126" s="73"/>
      <c r="Q126" s="73"/>
      <c r="R126" s="73"/>
    </row>
    <row r="127" spans="1:18" x14ac:dyDescent="0.25">
      <c r="C127" s="73"/>
      <c r="D127" s="73"/>
      <c r="E127" s="73"/>
      <c r="F127" s="73"/>
      <c r="G127" s="73"/>
      <c r="H127" s="73"/>
      <c r="I127" s="73"/>
      <c r="J127" s="73"/>
      <c r="K127" s="73"/>
      <c r="L127" s="73"/>
      <c r="M127" s="73"/>
      <c r="N127" s="73"/>
      <c r="O127" s="122"/>
      <c r="P127" s="73"/>
      <c r="Q127" s="73"/>
      <c r="R127" s="73"/>
    </row>
    <row r="128" spans="1:18" x14ac:dyDescent="0.25">
      <c r="C128" s="73"/>
      <c r="D128" s="73"/>
      <c r="E128" s="73"/>
      <c r="F128" s="73"/>
      <c r="G128" s="73"/>
      <c r="H128" s="73"/>
      <c r="I128" s="73"/>
      <c r="J128" s="73"/>
      <c r="K128" s="73"/>
      <c r="L128" s="73"/>
      <c r="M128" s="73"/>
      <c r="N128" s="73"/>
      <c r="O128" s="122"/>
      <c r="P128" s="73"/>
      <c r="Q128" s="73"/>
      <c r="R128" s="73"/>
    </row>
    <row r="129" spans="1:18" x14ac:dyDescent="0.25">
      <c r="C129" s="73"/>
      <c r="D129" s="80"/>
      <c r="E129" s="84"/>
      <c r="F129" s="84"/>
      <c r="G129" s="84"/>
      <c r="H129" s="84"/>
      <c r="I129" s="84"/>
      <c r="J129" s="84"/>
      <c r="K129" s="84"/>
      <c r="L129" s="73"/>
      <c r="M129" s="73"/>
      <c r="N129" s="17"/>
      <c r="O129" s="17"/>
      <c r="P129" s="73"/>
      <c r="Q129" s="73"/>
      <c r="R129" s="73"/>
    </row>
    <row r="130" spans="1:18" x14ac:dyDescent="0.25">
      <c r="C130" s="73"/>
      <c r="R130" s="73"/>
    </row>
    <row r="131" spans="1:18" x14ac:dyDescent="0.25">
      <c r="A131" s="73" t="s">
        <v>640</v>
      </c>
      <c r="B131" s="73"/>
      <c r="C131" s="73"/>
      <c r="D131" s="123"/>
      <c r="E131" s="103"/>
      <c r="F131" s="103"/>
      <c r="G131" s="103"/>
      <c r="H131" s="103"/>
      <c r="I131" s="103"/>
      <c r="J131" s="103"/>
      <c r="K131" s="103"/>
      <c r="L131" s="73"/>
      <c r="M131" s="73"/>
      <c r="N131" s="73"/>
      <c r="O131" s="73"/>
      <c r="P131" s="73"/>
      <c r="Q131" s="73"/>
      <c r="R131" s="73"/>
    </row>
    <row r="132" spans="1:18" x14ac:dyDescent="0.25">
      <c r="A132" s="88" t="s">
        <v>641</v>
      </c>
      <c r="B132" s="88"/>
      <c r="C132" s="92"/>
      <c r="D132" s="88"/>
      <c r="E132" s="86"/>
      <c r="F132" s="88"/>
      <c r="G132" s="88"/>
      <c r="H132" s="88"/>
      <c r="I132" s="88"/>
      <c r="J132" s="88"/>
      <c r="K132" s="88"/>
      <c r="L132" s="88"/>
      <c r="M132" s="88"/>
      <c r="N132" s="88"/>
      <c r="O132" s="88"/>
    </row>
    <row r="133" spans="1:18" x14ac:dyDescent="0.25">
      <c r="A133" s="88" t="s">
        <v>642</v>
      </c>
      <c r="B133" s="88"/>
      <c r="C133" s="92"/>
      <c r="D133" s="88"/>
      <c r="E133" s="86"/>
      <c r="F133" s="88"/>
      <c r="G133" s="88"/>
      <c r="H133" s="88"/>
      <c r="I133" s="88"/>
      <c r="J133" s="88"/>
      <c r="K133" s="88"/>
      <c r="L133" s="88"/>
      <c r="M133" s="88"/>
      <c r="N133" s="88"/>
      <c r="O133" s="88"/>
    </row>
    <row r="134" spans="1:18" x14ac:dyDescent="0.25">
      <c r="A134" s="88" t="s">
        <v>643</v>
      </c>
      <c r="B134" s="88"/>
      <c r="C134" s="92"/>
      <c r="D134" s="88"/>
      <c r="E134" s="86"/>
      <c r="F134" s="88"/>
      <c r="G134" s="88"/>
      <c r="H134" s="88"/>
      <c r="I134" s="124"/>
      <c r="J134" s="88"/>
      <c r="K134" s="88"/>
      <c r="L134" s="88"/>
      <c r="M134" s="88"/>
      <c r="N134" s="88"/>
      <c r="O134" s="88"/>
    </row>
    <row r="135" spans="1:18" x14ac:dyDescent="0.25">
      <c r="A135" s="88" t="s">
        <v>644</v>
      </c>
      <c r="B135" s="88"/>
      <c r="C135" s="92"/>
      <c r="D135" s="88"/>
      <c r="E135" s="86"/>
      <c r="F135" s="88"/>
      <c r="G135" s="88"/>
      <c r="H135" s="88"/>
      <c r="I135" s="88"/>
      <c r="J135" s="88"/>
      <c r="K135" s="88"/>
      <c r="L135" s="88"/>
      <c r="M135" s="88"/>
      <c r="N135" s="88"/>
      <c r="O135" s="88"/>
    </row>
    <row r="136" spans="1:18" x14ac:dyDescent="0.25">
      <c r="A136" s="88" t="s">
        <v>645</v>
      </c>
      <c r="B136" s="88"/>
      <c r="C136" s="92"/>
      <c r="D136" s="88"/>
      <c r="E136" s="86"/>
      <c r="F136" s="88"/>
      <c r="G136" s="88"/>
      <c r="H136" s="88"/>
      <c r="I136" s="88"/>
      <c r="J136" s="88"/>
      <c r="K136" s="88"/>
      <c r="L136" s="88"/>
      <c r="M136" s="88"/>
      <c r="N136" s="88"/>
      <c r="O136" s="88"/>
    </row>
    <row r="137" spans="1:18" x14ac:dyDescent="0.25">
      <c r="A137" s="88" t="s">
        <v>646</v>
      </c>
      <c r="B137" s="88"/>
      <c r="C137" s="92"/>
      <c r="D137" s="88"/>
      <c r="E137" s="86"/>
      <c r="F137" s="88"/>
      <c r="G137" s="88"/>
      <c r="H137" s="88"/>
      <c r="I137" s="88"/>
      <c r="J137" s="88"/>
      <c r="K137" s="88"/>
      <c r="L137" s="88"/>
      <c r="M137" s="88"/>
      <c r="N137" s="88"/>
      <c r="O137" s="88"/>
    </row>
    <row r="138" spans="1:18" x14ac:dyDescent="0.25">
      <c r="A138" s="81" t="s">
        <v>647</v>
      </c>
    </row>
    <row r="139" spans="1:18" x14ac:dyDescent="0.25">
      <c r="A139" s="88"/>
      <c r="B139" s="88"/>
      <c r="C139" s="92"/>
      <c r="D139" s="88"/>
      <c r="E139" s="86"/>
      <c r="F139" s="88"/>
      <c r="G139" s="88"/>
      <c r="H139" s="88"/>
      <c r="I139" s="88"/>
      <c r="J139" s="88"/>
      <c r="K139" s="88"/>
      <c r="L139" s="88"/>
      <c r="M139" s="88"/>
      <c r="N139" s="88"/>
      <c r="O139" s="88"/>
    </row>
    <row r="140" spans="1:18" x14ac:dyDescent="0.25">
      <c r="A140" s="88"/>
      <c r="B140" s="88"/>
      <c r="C140" s="92"/>
      <c r="D140" s="88"/>
      <c r="E140" s="86"/>
      <c r="F140" s="88"/>
      <c r="G140" s="88"/>
      <c r="H140" s="88"/>
      <c r="I140" s="88"/>
      <c r="J140" s="88"/>
      <c r="K140" s="88"/>
      <c r="L140" s="88"/>
      <c r="M140" s="88"/>
      <c r="N140" s="88"/>
      <c r="O140" s="88"/>
    </row>
    <row r="141" spans="1:18" x14ac:dyDescent="0.25">
      <c r="A141" s="88"/>
      <c r="B141" s="88"/>
      <c r="C141" s="92"/>
      <c r="D141" s="88"/>
      <c r="E141" s="86"/>
      <c r="F141" s="88"/>
      <c r="G141" s="88"/>
      <c r="H141" s="88"/>
      <c r="I141" s="88"/>
      <c r="J141" s="88"/>
      <c r="K141" s="88"/>
      <c r="L141" s="88"/>
      <c r="M141" s="88"/>
      <c r="N141" s="88"/>
      <c r="O141" s="88"/>
    </row>
    <row r="142" spans="1:18" x14ac:dyDescent="0.25">
      <c r="A142" s="88"/>
      <c r="B142" s="88"/>
      <c r="C142" s="92"/>
      <c r="D142" s="88"/>
      <c r="E142" s="86"/>
      <c r="F142" s="88"/>
      <c r="G142" s="88"/>
      <c r="H142" s="88"/>
      <c r="I142" s="88"/>
      <c r="J142" s="88"/>
      <c r="K142" s="88"/>
      <c r="L142" s="88"/>
      <c r="M142" s="88"/>
      <c r="N142" s="88"/>
      <c r="O142" s="88"/>
    </row>
    <row r="143" spans="1:18" x14ac:dyDescent="0.25">
      <c r="A143" s="125"/>
      <c r="B143" s="125"/>
      <c r="C143" s="92"/>
      <c r="D143" s="125"/>
      <c r="E143" s="125"/>
      <c r="F143" s="125"/>
      <c r="G143" s="125"/>
      <c r="H143" s="125"/>
      <c r="I143" s="125"/>
      <c r="J143" s="125"/>
      <c r="K143" s="125"/>
      <c r="L143" s="125"/>
      <c r="M143" s="125"/>
      <c r="N143" s="125"/>
      <c r="O143" s="125"/>
      <c r="Q143" s="126"/>
    </row>
    <row r="144" spans="1:18" ht="15.75" x14ac:dyDescent="0.25">
      <c r="A144" s="88"/>
      <c r="B144" s="88"/>
      <c r="C144" s="92"/>
      <c r="D144" s="76"/>
      <c r="E144" s="86"/>
      <c r="F144" s="88"/>
      <c r="G144" s="88"/>
      <c r="H144" s="88"/>
      <c r="I144" s="88"/>
      <c r="J144" s="88"/>
      <c r="K144" s="88"/>
      <c r="L144" s="88"/>
      <c r="M144" s="88"/>
      <c r="N144" s="88"/>
      <c r="O144" s="88"/>
    </row>
    <row r="145" spans="1:15" x14ac:dyDescent="0.25">
      <c r="A145" s="88"/>
      <c r="B145" s="88"/>
      <c r="C145" s="92"/>
      <c r="D145" s="88"/>
      <c r="E145" s="86"/>
      <c r="F145" s="88"/>
      <c r="G145" s="88"/>
      <c r="H145" s="88"/>
      <c r="I145" s="88"/>
      <c r="J145" s="88"/>
      <c r="K145" s="88"/>
      <c r="L145" s="88"/>
      <c r="M145" s="88"/>
      <c r="N145" s="88"/>
      <c r="O145" s="88"/>
    </row>
    <row r="146" spans="1:15" x14ac:dyDescent="0.25">
      <c r="A146" s="88"/>
      <c r="B146" s="88"/>
      <c r="C146" s="92"/>
      <c r="D146" s="88"/>
      <c r="E146" s="86"/>
      <c r="F146" s="88"/>
      <c r="G146" s="88"/>
      <c r="H146" s="88"/>
      <c r="I146" s="88"/>
      <c r="J146" s="88"/>
      <c r="K146" s="88"/>
      <c r="L146" s="88"/>
      <c r="M146" s="88"/>
      <c r="N146" s="88"/>
      <c r="O146" s="88"/>
    </row>
    <row r="147" spans="1:15" x14ac:dyDescent="0.25">
      <c r="A147" s="88"/>
      <c r="B147" s="88"/>
      <c r="C147" s="92"/>
      <c r="D147" s="88"/>
      <c r="E147" s="86"/>
      <c r="F147" s="88"/>
      <c r="G147" s="88"/>
      <c r="H147" s="88"/>
      <c r="I147" s="88"/>
      <c r="J147" s="88"/>
      <c r="K147" s="88"/>
      <c r="L147" s="88"/>
      <c r="M147" s="88"/>
      <c r="N147" s="88"/>
      <c r="O147" s="88"/>
    </row>
    <row r="148" spans="1:15" x14ac:dyDescent="0.25">
      <c r="A148" s="88"/>
      <c r="B148" s="88"/>
      <c r="C148" s="92"/>
      <c r="D148" s="88"/>
      <c r="E148" s="86"/>
      <c r="F148" s="88"/>
      <c r="G148" s="88"/>
      <c r="H148" s="88"/>
      <c r="I148" s="88"/>
      <c r="J148" s="88"/>
      <c r="K148" s="88"/>
      <c r="L148" s="88"/>
      <c r="M148" s="88"/>
      <c r="N148" s="88"/>
      <c r="O148" s="88"/>
    </row>
    <row r="149" spans="1:15" x14ac:dyDescent="0.25">
      <c r="A149" s="88"/>
      <c r="B149" s="88"/>
      <c r="C149" s="92"/>
      <c r="D149" s="88"/>
      <c r="E149" s="86"/>
      <c r="F149" s="88"/>
      <c r="G149" s="88"/>
      <c r="H149" s="88"/>
      <c r="I149" s="88"/>
      <c r="J149" s="88"/>
      <c r="K149" s="88"/>
      <c r="L149" s="88"/>
      <c r="M149" s="88"/>
      <c r="N149" s="88"/>
      <c r="O149" s="88"/>
    </row>
    <row r="150" spans="1:15" x14ac:dyDescent="0.25">
      <c r="A150" s="88"/>
      <c r="B150" s="88"/>
      <c r="C150" s="92"/>
      <c r="D150" s="88"/>
      <c r="E150" s="86"/>
      <c r="F150" s="88"/>
      <c r="G150" s="88"/>
      <c r="H150" s="88"/>
      <c r="I150" s="88"/>
      <c r="J150" s="88"/>
      <c r="K150" s="88"/>
      <c r="L150" s="88"/>
      <c r="M150" s="88"/>
      <c r="N150" s="88"/>
      <c r="O150" s="88"/>
    </row>
    <row r="151" spans="1:15" x14ac:dyDescent="0.25">
      <c r="A151" s="88"/>
      <c r="B151" s="88"/>
      <c r="C151" s="92"/>
      <c r="D151" s="88"/>
      <c r="E151" s="86"/>
      <c r="F151" s="88"/>
      <c r="G151" s="88"/>
      <c r="H151" s="88"/>
      <c r="I151" s="88"/>
      <c r="J151" s="88"/>
      <c r="K151" s="88"/>
      <c r="L151" s="88"/>
      <c r="M151" s="88"/>
      <c r="N151" s="88"/>
      <c r="O151" s="88"/>
    </row>
  </sheetData>
  <phoneticPr fontId="12" type="noConversion"/>
  <conditionalFormatting sqref="M119 B119:C119 C1:C36 C124:F124 D123:F123 C132:C1048576 C38:C41 C44:C51 O119:XFD119 C114:C116 C53:C79 E119:F119 C81:C112">
    <cfRule type="duplicateValues" dxfId="8" priority="10"/>
  </conditionalFormatting>
  <conditionalFormatting sqref="K122">
    <cfRule type="duplicateValues" dxfId="7" priority="11"/>
  </conditionalFormatting>
  <hyperlinks>
    <hyperlink ref="K15" r:id="rId1" display="https://www.ncbi.nlm.nih.gov/snp/rs386833728" xr:uid="{0E1A198D-78EA-ED45-A1B4-096353588C9E}"/>
    <hyperlink ref="B2" r:id="rId2" display="http://www.ncbi.nlm.nih.gov/gene/1201" xr:uid="{11647572-7C1C-4240-92E4-82F6BF322CB2}"/>
    <hyperlink ref="B4" r:id="rId3" xr:uid="{4F8B6D38-7293-F54B-B728-898E62A6EC81}"/>
    <hyperlink ref="D5" r:id="rId4" xr:uid="{DCBE2F30-998C-FA41-AD93-B45FF89ABF43}"/>
    <hyperlink ref="K115" r:id="rId5" display="https://www.ncbi.nlm.nih.gov/snp/rs777383109" xr:uid="{B3208941-BD87-4795-9C27-3C729F6334ED}"/>
    <hyperlink ref="B5" r:id="rId6" xr:uid="{1BAAAAC7-0769-EB4E-A1DF-9E9B485A473A}"/>
  </hyperlinks>
  <pageMargins left="0.7" right="0.7" top="0.75" bottom="0.75" header="0.3" footer="0.3"/>
  <pageSetup paperSize="9" orientation="portrait" r:id="rId7"/>
  <tableParts count="1">
    <tablePart r:id="rId8"/>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119CE4-457A-A642-B311-5C7817D4C54B}">
  <sheetPr>
    <pageSetUpPr fitToPage="1"/>
  </sheetPr>
  <dimension ref="A1:Z154"/>
  <sheetViews>
    <sheetView tabSelected="1" workbookViewId="0"/>
    <sheetView tabSelected="1" workbookViewId="1"/>
    <sheetView workbookViewId="2"/>
    <sheetView tabSelected="1" workbookViewId="3"/>
    <sheetView workbookViewId="4">
      <selection activeCell="J23" sqref="J23"/>
    </sheetView>
  </sheetViews>
  <sheetFormatPr defaultColWidth="11" defaultRowHeight="15.75" x14ac:dyDescent="0.25"/>
  <cols>
    <col min="1" max="1" width="24.375" bestFit="1" customWidth="1"/>
    <col min="2" max="4" width="13.375" customWidth="1"/>
    <col min="12" max="12" width="13.375" customWidth="1"/>
    <col min="22" max="22" width="35.625" style="18" customWidth="1"/>
  </cols>
  <sheetData>
    <row r="1" spans="1:26" x14ac:dyDescent="0.25">
      <c r="A1" s="3" t="s">
        <v>655</v>
      </c>
      <c r="B1" s="4">
        <f>COUNTA('mutation data '!A12:A125)</f>
        <v>107</v>
      </c>
      <c r="V1"/>
    </row>
    <row r="2" spans="1:26" x14ac:dyDescent="0.25">
      <c r="V2"/>
    </row>
    <row r="3" spans="1:26" x14ac:dyDescent="0.25">
      <c r="A3" s="5" t="s">
        <v>656</v>
      </c>
      <c r="B3" s="6" t="s">
        <v>66</v>
      </c>
      <c r="C3" s="6" t="s">
        <v>42</v>
      </c>
      <c r="D3" s="6" t="s">
        <v>85</v>
      </c>
      <c r="E3" s="7" t="s">
        <v>40</v>
      </c>
      <c r="V3"/>
    </row>
    <row r="4" spans="1:26" x14ac:dyDescent="0.25">
      <c r="A4" s="8">
        <f>SUM(B4:E4)</f>
        <v>107</v>
      </c>
      <c r="B4" s="9">
        <f>COUNTIF('mutation data '!$F12:F130,"subs*")</f>
        <v>75</v>
      </c>
      <c r="C4" s="9">
        <f>COUNTIF('mutation data '!$F12:$F130,"dele*")</f>
        <v>26</v>
      </c>
      <c r="D4" s="9">
        <f>COUNTIF('mutation data '!$F12:$F130,"dupl*")</f>
        <v>6</v>
      </c>
      <c r="E4" s="10">
        <f>COUNTIF('mutation data '!$F12:$F130,"NA")</f>
        <v>0</v>
      </c>
      <c r="V4"/>
    </row>
    <row r="5" spans="1:26" ht="16.5" thickBot="1" x14ac:dyDescent="0.3">
      <c r="B5" s="15">
        <f>B4/$A$4</f>
        <v>0.7009345794392523</v>
      </c>
      <c r="C5" s="15">
        <f t="shared" ref="C5:E5" si="0">C4/$A$4</f>
        <v>0.24299065420560748</v>
      </c>
      <c r="D5" s="15">
        <f t="shared" si="0"/>
        <v>5.6074766355140186E-2</v>
      </c>
      <c r="E5" s="15">
        <f t="shared" si="0"/>
        <v>0</v>
      </c>
      <c r="V5"/>
    </row>
    <row r="6" spans="1:26" s="34" customFormat="1" ht="51.75" customHeight="1" x14ac:dyDescent="0.25">
      <c r="A6" s="31" t="s">
        <v>657</v>
      </c>
      <c r="B6" s="32" t="s">
        <v>302</v>
      </c>
      <c r="C6" s="32" t="s">
        <v>658</v>
      </c>
      <c r="D6" s="32" t="s">
        <v>86</v>
      </c>
      <c r="E6" s="32" t="s">
        <v>42</v>
      </c>
      <c r="F6" s="32" t="s">
        <v>659</v>
      </c>
      <c r="G6" s="32" t="s">
        <v>660</v>
      </c>
      <c r="H6" s="32" t="s">
        <v>43</v>
      </c>
      <c r="I6" s="32" t="s">
        <v>54</v>
      </c>
      <c r="J6" s="32" t="s">
        <v>661</v>
      </c>
      <c r="K6" s="32" t="s">
        <v>662</v>
      </c>
      <c r="L6" s="32" t="s">
        <v>663</v>
      </c>
      <c r="M6" s="32" t="s">
        <v>40</v>
      </c>
      <c r="N6" s="32" t="s">
        <v>59</v>
      </c>
      <c r="O6" s="40" t="s">
        <v>602</v>
      </c>
      <c r="V6"/>
    </row>
    <row r="7" spans="1:26" ht="16.5" thickBot="1" x14ac:dyDescent="0.3">
      <c r="A7" s="8">
        <f>SUM(B7:O7)</f>
        <v>107</v>
      </c>
      <c r="B7" s="9">
        <f>COUNTIF('mutation data '!$G12:$G130,"nons*")</f>
        <v>18</v>
      </c>
      <c r="C7" s="9">
        <f>COUNTIF('mutation data '!$G12:$G130,"miss*")</f>
        <v>33</v>
      </c>
      <c r="D7" s="9">
        <f>COUNTIF('mutation data '!$G12:$G130,"fram*")</f>
        <v>18</v>
      </c>
      <c r="E7" s="9">
        <f>COUNTIF('mutation data '!$G12:$G130,"dele*")</f>
        <v>6</v>
      </c>
      <c r="F7" s="9">
        <f>COUNTIF('mutation data '!$G12:$G130,"*donor*")</f>
        <v>11</v>
      </c>
      <c r="G7" s="9">
        <f>COUNTIF('mutation data '!$G12:$G130,"*acceptor*")</f>
        <v>8</v>
      </c>
      <c r="H7" s="9">
        <f>COUNTIF('mutation data '!$G2:$G130,"complex")</f>
        <v>1</v>
      </c>
      <c r="I7" s="9">
        <f>COUNTIF('mutation data '!$G2:$G130,"uncertain")</f>
        <v>2</v>
      </c>
      <c r="J7" s="9">
        <f>COUNTIF('mutation data '!$G2:$G130,"star*")</f>
        <v>1</v>
      </c>
      <c r="K7" s="9">
        <f>COUNTIF('mutation data '!$G2:$G130,"alte*")</f>
        <v>0</v>
      </c>
      <c r="L7" s="9">
        <f>COUNTIF('mutation data '!$G2:$G130,"no sig*")</f>
        <v>0</v>
      </c>
      <c r="M7" s="9">
        <f>COUNTIF('mutation data '!$G2:$G130,"NA")</f>
        <v>8</v>
      </c>
      <c r="N7" s="9">
        <f>COUNTIF('mutation data '!$G2:$G130,"?")</f>
        <v>0</v>
      </c>
      <c r="O7" s="10">
        <f>COUNTIF('mutation data '!$G2:$G130,"Synonymous")</f>
        <v>1</v>
      </c>
      <c r="V7"/>
    </row>
    <row r="8" spans="1:26" ht="16.5" thickBot="1" x14ac:dyDescent="0.3">
      <c r="B8" s="15">
        <f>B7/$A$7</f>
        <v>0.16822429906542055</v>
      </c>
      <c r="C8" s="15">
        <f t="shared" ref="C8:N8" si="1">C7/$A$7</f>
        <v>0.30841121495327101</v>
      </c>
      <c r="D8" s="15">
        <f t="shared" si="1"/>
        <v>0.16822429906542055</v>
      </c>
      <c r="E8" s="15">
        <f t="shared" si="1"/>
        <v>5.6074766355140186E-2</v>
      </c>
      <c r="F8" s="15">
        <f t="shared" si="1"/>
        <v>0.10280373831775701</v>
      </c>
      <c r="G8" s="15">
        <f t="shared" si="1"/>
        <v>7.476635514018691E-2</v>
      </c>
      <c r="H8" s="15">
        <f t="shared" si="1"/>
        <v>9.3457943925233638E-3</v>
      </c>
      <c r="I8" s="15">
        <f t="shared" si="1"/>
        <v>1.8691588785046728E-2</v>
      </c>
      <c r="J8" s="15">
        <f t="shared" si="1"/>
        <v>9.3457943925233638E-3</v>
      </c>
      <c r="K8" s="15">
        <f t="shared" si="1"/>
        <v>0</v>
      </c>
      <c r="L8" s="15">
        <f t="shared" si="1"/>
        <v>0</v>
      </c>
      <c r="M8" s="15">
        <f t="shared" si="1"/>
        <v>7.476635514018691E-2</v>
      </c>
      <c r="N8" s="15">
        <f t="shared" si="1"/>
        <v>0</v>
      </c>
      <c r="V8"/>
    </row>
    <row r="9" spans="1:26" s="36" customFormat="1" ht="31.5" x14ac:dyDescent="0.25">
      <c r="A9" s="69" t="s">
        <v>664</v>
      </c>
      <c r="B9" s="35" t="s">
        <v>95</v>
      </c>
      <c r="C9" s="32" t="s">
        <v>665</v>
      </c>
      <c r="D9" s="32" t="s">
        <v>666</v>
      </c>
      <c r="E9" s="32" t="s">
        <v>54</v>
      </c>
      <c r="F9" s="32" t="s">
        <v>69</v>
      </c>
      <c r="G9" s="32" t="s">
        <v>667</v>
      </c>
      <c r="H9" s="32" t="s">
        <v>395</v>
      </c>
      <c r="I9" s="32" t="s">
        <v>668</v>
      </c>
      <c r="J9" s="33" t="s">
        <v>669</v>
      </c>
      <c r="L9"/>
      <c r="M9"/>
      <c r="N9"/>
      <c r="O9"/>
      <c r="P9"/>
      <c r="Q9"/>
      <c r="R9"/>
      <c r="S9"/>
      <c r="T9"/>
      <c r="U9"/>
      <c r="V9"/>
      <c r="W9"/>
      <c r="X9"/>
      <c r="Y9"/>
      <c r="Z9"/>
    </row>
    <row r="10" spans="1:26" x14ac:dyDescent="0.25">
      <c r="A10" s="8">
        <f>SUM(B10:J10)</f>
        <v>107</v>
      </c>
      <c r="B10" s="13">
        <f>COUNTIF('mutation data '!$J12:$J130,"pathogenic")</f>
        <v>16</v>
      </c>
      <c r="C10" s="13">
        <f>COUNTIF('mutation data '!$J12:$J130,"pathogenic / likely*")</f>
        <v>10</v>
      </c>
      <c r="D10" s="13">
        <f>COUNTIF('mutation data '!$J12:$J130,"NA")</f>
        <v>27</v>
      </c>
      <c r="E10" s="13">
        <f>COUNTIF('mutation data '!$J12:$J130,"uncertain*")</f>
        <v>16</v>
      </c>
      <c r="F10" s="13">
        <f>COUNTIF('mutation data '!$J12:$J130,"likely path*")</f>
        <v>32</v>
      </c>
      <c r="G10" s="13">
        <f>COUNTIF('mutation data '!$J12:$J130,"probable path*")</f>
        <v>1</v>
      </c>
      <c r="H10" s="13">
        <f>COUNTIF('mutation data '!$J12:$J130,"likely ben*")</f>
        <v>1</v>
      </c>
      <c r="I10" s="13">
        <f>COUNTIF('mutation data '!$J12:$J130,"conflic*")</f>
        <v>4</v>
      </c>
      <c r="J10" s="14">
        <f>COUNTIF('mutation data '!$J12:$J130,"ND")</f>
        <v>0</v>
      </c>
      <c r="K10" s="12"/>
      <c r="V10"/>
    </row>
    <row r="11" spans="1:26" ht="16.5" thickBot="1" x14ac:dyDescent="0.3">
      <c r="B11" s="15">
        <f>B10/$A$10</f>
        <v>0.14953271028037382</v>
      </c>
      <c r="C11" s="15">
        <f t="shared" ref="C11:J11" si="2">C10/$A$10</f>
        <v>9.3457943925233641E-2</v>
      </c>
      <c r="D11" s="15">
        <f t="shared" si="2"/>
        <v>0.25233644859813081</v>
      </c>
      <c r="E11" s="15">
        <f t="shared" si="2"/>
        <v>0.14953271028037382</v>
      </c>
      <c r="F11" s="15">
        <f t="shared" si="2"/>
        <v>0.29906542056074764</v>
      </c>
      <c r="G11" s="15">
        <f t="shared" si="2"/>
        <v>9.3457943925233638E-3</v>
      </c>
      <c r="H11" s="15">
        <f t="shared" si="2"/>
        <v>9.3457943925233638E-3</v>
      </c>
      <c r="I11" s="15">
        <f t="shared" si="2"/>
        <v>3.7383177570093455E-2</v>
      </c>
      <c r="J11" s="15">
        <f t="shared" si="2"/>
        <v>0</v>
      </c>
      <c r="V11"/>
    </row>
    <row r="12" spans="1:26" x14ac:dyDescent="0.25">
      <c r="A12" s="70" t="s">
        <v>670</v>
      </c>
      <c r="B12" s="6" t="s">
        <v>671</v>
      </c>
      <c r="C12" s="6" t="s">
        <v>672</v>
      </c>
      <c r="D12" s="6" t="s">
        <v>235</v>
      </c>
      <c r="E12" s="6" t="s">
        <v>673</v>
      </c>
      <c r="F12" s="6" t="s">
        <v>299</v>
      </c>
      <c r="G12" s="6" t="s">
        <v>278</v>
      </c>
      <c r="H12" s="6" t="s">
        <v>73</v>
      </c>
      <c r="I12" s="6" t="s">
        <v>82</v>
      </c>
      <c r="J12" s="6" t="s">
        <v>106</v>
      </c>
      <c r="K12" s="6" t="s">
        <v>120</v>
      </c>
      <c r="L12" s="6" t="s">
        <v>415</v>
      </c>
      <c r="M12" s="6" t="s">
        <v>648</v>
      </c>
      <c r="N12" s="6" t="s">
        <v>135</v>
      </c>
      <c r="O12" s="6" t="s">
        <v>142</v>
      </c>
      <c r="P12" s="6" t="s">
        <v>148</v>
      </c>
      <c r="Q12" s="6" t="s">
        <v>197</v>
      </c>
      <c r="R12" s="41" t="s">
        <v>178</v>
      </c>
      <c r="V12"/>
    </row>
    <row r="13" spans="1:26" x14ac:dyDescent="0.25">
      <c r="A13" s="11">
        <f>SUM(B13:R13)</f>
        <v>76</v>
      </c>
      <c r="B13" s="12">
        <f>COUNTIF('mutation data '!$B$12:$B$125,"promoter")</f>
        <v>0</v>
      </c>
      <c r="C13" s="12">
        <f>COUNTIF('mutation data '!$B12:$B125,"Exon 01")</f>
        <v>0</v>
      </c>
      <c r="D13" s="12">
        <f>COUNTIF('mutation data '!$B12:$B125,"Exon 02")</f>
        <v>3</v>
      </c>
      <c r="E13" s="12">
        <f>COUNTIF('mutation data '!$B12:$B125,"Exon 03")</f>
        <v>0</v>
      </c>
      <c r="F13" s="12">
        <f>COUNTIF('mutation data '!$B12:$B125,"Exon 04")</f>
        <v>3</v>
      </c>
      <c r="G13" s="12">
        <f>COUNTIF('mutation data '!$B12:$B125,"Exon 05")</f>
        <v>3</v>
      </c>
      <c r="H13" s="12">
        <f>COUNTIF('mutation data '!$B12:$B125,"Exon 06")</f>
        <v>5</v>
      </c>
      <c r="I13" s="12">
        <f>COUNTIF('mutation data '!$B12:$B125,"Exon 07")</f>
        <v>7</v>
      </c>
      <c r="J13" s="12">
        <f>COUNTIF('mutation data '!$B12:$B125,"Exon 08")</f>
        <v>6</v>
      </c>
      <c r="K13" s="12">
        <f>COUNTIF('mutation data '!$B12:$B125,"Exon 09")</f>
        <v>11</v>
      </c>
      <c r="L13" s="12">
        <f>COUNTIF('mutation data '!$B12:$B125,"Exon 10")</f>
        <v>3</v>
      </c>
      <c r="M13" s="12">
        <f>COUNTIF('mutation data '!$B12:$B125,"Exon 11")</f>
        <v>0</v>
      </c>
      <c r="N13" s="12">
        <f>COUNTIF('mutation data '!$B12:$B125,"Exon 12")</f>
        <v>6</v>
      </c>
      <c r="O13" s="12">
        <f>COUNTIF('mutation data '!$B12:$B125,"Exon 13")</f>
        <v>3</v>
      </c>
      <c r="P13" s="12">
        <f>COUNTIF('mutation data '!$B12:$B125,"Exon 14")</f>
        <v>13</v>
      </c>
      <c r="Q13" s="12">
        <f>COUNTIF('mutation data '!$B12:$B125,"Exon 15")</f>
        <v>6</v>
      </c>
      <c r="R13" s="42">
        <f>COUNTIF('mutation data '!$B12:$B125,"Exon 16")</f>
        <v>7</v>
      </c>
      <c r="V13"/>
    </row>
    <row r="14" spans="1:26" x14ac:dyDescent="0.25">
      <c r="A14" s="11"/>
      <c r="B14" s="12"/>
      <c r="C14" s="12"/>
      <c r="D14" s="12"/>
      <c r="E14" s="12"/>
      <c r="F14" s="12"/>
      <c r="G14" s="12"/>
      <c r="H14" s="12"/>
      <c r="I14" s="12"/>
      <c r="J14" s="12"/>
      <c r="K14" s="12"/>
      <c r="L14" s="12"/>
      <c r="M14" s="12"/>
      <c r="N14" s="12"/>
      <c r="O14" s="12"/>
      <c r="P14" s="12"/>
      <c r="Q14" s="12"/>
      <c r="R14" s="42"/>
      <c r="V14"/>
    </row>
    <row r="15" spans="1:26" s="38" customFormat="1" x14ac:dyDescent="0.25">
      <c r="A15" s="37"/>
      <c r="B15" s="2" t="s">
        <v>674</v>
      </c>
      <c r="C15" s="2" t="s">
        <v>209</v>
      </c>
      <c r="D15" s="2" t="s">
        <v>306</v>
      </c>
      <c r="E15" s="2" t="s">
        <v>675</v>
      </c>
      <c r="F15" s="2" t="s">
        <v>100</v>
      </c>
      <c r="G15" s="2" t="s">
        <v>184</v>
      </c>
      <c r="H15" s="2" t="s">
        <v>64</v>
      </c>
      <c r="I15" s="2" t="s">
        <v>676</v>
      </c>
      <c r="J15" s="2" t="s">
        <v>399</v>
      </c>
      <c r="K15" s="2" t="s">
        <v>490</v>
      </c>
      <c r="L15" s="38" t="s">
        <v>312</v>
      </c>
      <c r="M15" s="2" t="s">
        <v>361</v>
      </c>
      <c r="N15" s="2" t="s">
        <v>258</v>
      </c>
      <c r="O15" s="38" t="s">
        <v>172</v>
      </c>
      <c r="P15" s="2"/>
      <c r="Q15" s="2"/>
      <c r="R15" s="43"/>
      <c r="V15"/>
    </row>
    <row r="16" spans="1:26" x14ac:dyDescent="0.25">
      <c r="A16" s="11">
        <f>SUM(B16:Q16)</f>
        <v>22</v>
      </c>
      <c r="B16" s="12">
        <f>COUNTIF('mutation data '!$B$12:$B$125,"intron 02")</f>
        <v>0</v>
      </c>
      <c r="C16" s="12">
        <f>COUNTIF('mutation data '!$B$12:$B$125,"intron 03")</f>
        <v>3</v>
      </c>
      <c r="D16" s="12">
        <f>COUNTIF('mutation data '!$B$12:$B$125,"intron 04")</f>
        <v>1</v>
      </c>
      <c r="E16" s="12">
        <f>COUNTIF('mutation data '!$B$12:$B$125,"intron 05")</f>
        <v>0</v>
      </c>
      <c r="F16" s="12">
        <f>COUNTIF('mutation data '!$B$12:$B$125,"intron 06")</f>
        <v>2</v>
      </c>
      <c r="G16" s="12">
        <f>COUNTIF('mutation data '!$B$12:$B$125,"intron 07")</f>
        <v>3</v>
      </c>
      <c r="H16" s="12">
        <f>COUNTIF('mutation data '!$B$12:$B$125,"intron 08")</f>
        <v>2</v>
      </c>
      <c r="I16" s="12">
        <f>COUNTIF('mutation data '!$B$12:$B$125,"intron 09")</f>
        <v>0</v>
      </c>
      <c r="J16" s="12">
        <f>COUNTIF('mutation data '!$B$12:$B$125,"intron 10")</f>
        <v>1</v>
      </c>
      <c r="K16" s="12">
        <f>COUNTIF('mutation data '!$B$12:$B$125,"intron 11")</f>
        <v>1</v>
      </c>
      <c r="L16" s="12">
        <f>COUNTIF('mutation data '!$B$12:$B$125,"intron 12")</f>
        <v>4</v>
      </c>
      <c r="M16" s="12">
        <f>COUNTIF('mutation data '!$B$12:$B$125,"intron 13")</f>
        <v>1</v>
      </c>
      <c r="N16" s="12">
        <f>COUNTIF('mutation data '!$B$12:$B$125,"intron 14")</f>
        <v>2</v>
      </c>
      <c r="O16" s="12">
        <f>COUNTIF('mutation data '!$B$12:$B$125,"intron 15")</f>
        <v>2</v>
      </c>
      <c r="P16" s="12"/>
      <c r="Q16" s="12"/>
      <c r="R16" s="42"/>
      <c r="V16"/>
    </row>
    <row r="17" spans="1:22" x14ac:dyDescent="0.25">
      <c r="A17" s="11"/>
      <c r="B17" s="12"/>
      <c r="C17" s="2"/>
      <c r="D17" s="2"/>
      <c r="E17" s="2"/>
      <c r="F17" s="2"/>
      <c r="G17" s="2"/>
      <c r="H17" s="2"/>
      <c r="I17" s="12"/>
      <c r="J17" s="12"/>
      <c r="K17" s="12"/>
      <c r="L17" s="12"/>
      <c r="M17" s="12"/>
      <c r="N17" s="12"/>
      <c r="O17" s="12"/>
      <c r="P17" s="12"/>
      <c r="Q17" s="12"/>
      <c r="R17" s="42"/>
      <c r="V17" s="23"/>
    </row>
    <row r="18" spans="1:22" ht="31.5" x14ac:dyDescent="0.25">
      <c r="A18" s="11"/>
      <c r="B18" s="2" t="s">
        <v>54</v>
      </c>
      <c r="C18" s="2" t="s">
        <v>801</v>
      </c>
      <c r="D18" s="2" t="s">
        <v>576</v>
      </c>
      <c r="E18" s="2" t="s">
        <v>38</v>
      </c>
      <c r="F18" s="2" t="s">
        <v>618</v>
      </c>
      <c r="G18" s="2" t="s">
        <v>51</v>
      </c>
      <c r="H18" s="2" t="s">
        <v>769</v>
      </c>
      <c r="I18" s="2" t="s">
        <v>40</v>
      </c>
      <c r="L18" s="12"/>
      <c r="M18" s="12"/>
      <c r="N18" s="12"/>
      <c r="O18" s="12"/>
      <c r="P18" s="12"/>
      <c r="Q18" s="12"/>
      <c r="R18" s="42"/>
      <c r="S18" s="42"/>
      <c r="V18"/>
    </row>
    <row r="19" spans="1:22" x14ac:dyDescent="0.25">
      <c r="A19" s="11">
        <f>SUM(B19:R19)</f>
        <v>9</v>
      </c>
      <c r="B19" s="12">
        <f>COUNTIF('mutation data '!$B$12:$B$125,"?")</f>
        <v>0</v>
      </c>
      <c r="C19" s="12">
        <f>COUNTIF('mutation data '!$B$12:$B$125,"Exon 07 - 16")</f>
        <v>1</v>
      </c>
      <c r="D19" s="12">
        <f>COUNTIF('mutation data '!$B$12:$B$125,"Exon 11 - 17")</f>
        <v>1</v>
      </c>
      <c r="E19" s="12">
        <f>COUNTIF('mutation data '!$B$12:$B$125,"Intron 07 - 09")</f>
        <v>3</v>
      </c>
      <c r="F19" s="12">
        <f>COUNTIF('mutation data '!$B$12:$B$125,"Intron 09 - 10")</f>
        <v>1</v>
      </c>
      <c r="G19" s="12">
        <f>COUNTIF('mutation data '!$B$12:$B$125,"Intron 10 - 14")</f>
        <v>1</v>
      </c>
      <c r="H19" s="12">
        <f>COUNTIF('mutation data '!$B$12:$B$125,"Intron 10 - 16")</f>
        <v>1</v>
      </c>
      <c r="I19" s="12">
        <f>COUNTIF('mutation data '!$B$12:$B$125,"NA")</f>
        <v>1</v>
      </c>
      <c r="J19" s="12"/>
      <c r="K19" s="12"/>
      <c r="L19" s="12"/>
      <c r="M19" s="12"/>
      <c r="N19" s="12"/>
      <c r="O19" s="12"/>
      <c r="P19" s="12"/>
      <c r="Q19" s="12"/>
      <c r="R19" s="42"/>
      <c r="S19" s="42"/>
      <c r="V19"/>
    </row>
    <row r="20" spans="1:22" ht="16.5" thickBot="1" x14ac:dyDescent="0.3">
      <c r="A20" s="8">
        <f>SUM(A13:A19)</f>
        <v>107</v>
      </c>
      <c r="B20" s="9"/>
      <c r="C20" s="9"/>
      <c r="D20" s="9"/>
      <c r="E20" s="9"/>
      <c r="F20" s="9"/>
      <c r="G20" s="9"/>
      <c r="H20" s="9"/>
      <c r="I20" s="9"/>
      <c r="J20" s="9"/>
      <c r="K20" s="9"/>
      <c r="L20" s="9"/>
      <c r="M20" s="9"/>
      <c r="N20" s="9"/>
      <c r="O20" s="9"/>
      <c r="P20" s="9"/>
      <c r="Q20" s="9"/>
      <c r="R20" s="10"/>
      <c r="V20"/>
    </row>
    <row r="21" spans="1:22" x14ac:dyDescent="0.25">
      <c r="V21"/>
    </row>
    <row r="22" spans="1:22" x14ac:dyDescent="0.25">
      <c r="V22"/>
    </row>
    <row r="23" spans="1:22" x14ac:dyDescent="0.25">
      <c r="A23" t="s">
        <v>678</v>
      </c>
      <c r="G23" s="1"/>
      <c r="H23" s="1"/>
      <c r="I23" s="1"/>
      <c r="J23" s="2"/>
      <c r="K23" s="1"/>
      <c r="L23" s="1"/>
      <c r="V23"/>
    </row>
    <row r="24" spans="1:22" x14ac:dyDescent="0.25">
      <c r="A24" t="s">
        <v>679</v>
      </c>
      <c r="B24" t="s">
        <v>680</v>
      </c>
      <c r="V24"/>
    </row>
    <row r="25" spans="1:22" x14ac:dyDescent="0.25">
      <c r="A25" t="s">
        <v>657</v>
      </c>
      <c r="B25" t="s">
        <v>681</v>
      </c>
      <c r="V25"/>
    </row>
    <row r="26" spans="1:22" x14ac:dyDescent="0.25">
      <c r="A26" t="s">
        <v>664</v>
      </c>
      <c r="B26" t="s">
        <v>682</v>
      </c>
      <c r="V26"/>
    </row>
    <row r="27" spans="1:22" x14ac:dyDescent="0.25">
      <c r="V27"/>
    </row>
    <row r="28" spans="1:22" ht="34.5" customHeight="1" x14ac:dyDescent="0.25">
      <c r="A28" s="72" t="s">
        <v>683</v>
      </c>
      <c r="B28" s="72"/>
      <c r="C28" s="72"/>
      <c r="D28" s="72"/>
      <c r="E28" s="72"/>
      <c r="F28" s="72"/>
      <c r="V28"/>
    </row>
    <row r="29" spans="1:22" ht="34.5" customHeight="1" x14ac:dyDescent="0.25">
      <c r="A29" s="72"/>
      <c r="B29" s="72"/>
      <c r="C29" s="72"/>
      <c r="D29" s="72"/>
      <c r="E29" s="72"/>
      <c r="F29" s="72"/>
      <c r="V29"/>
    </row>
    <row r="30" spans="1:22" x14ac:dyDescent="0.25">
      <c r="A30" t="s">
        <v>684</v>
      </c>
      <c r="V30"/>
    </row>
    <row r="31" spans="1:22" x14ac:dyDescent="0.25">
      <c r="V31"/>
    </row>
    <row r="32" spans="1:22" x14ac:dyDescent="0.25">
      <c r="V32"/>
    </row>
    <row r="33" spans="22:22" x14ac:dyDescent="0.25">
      <c r="V33"/>
    </row>
    <row r="34" spans="22:22" x14ac:dyDescent="0.25">
      <c r="V34"/>
    </row>
    <row r="35" spans="22:22" x14ac:dyDescent="0.25">
      <c r="V35"/>
    </row>
    <row r="36" spans="22:22" x14ac:dyDescent="0.25">
      <c r="V36"/>
    </row>
    <row r="37" spans="22:22" x14ac:dyDescent="0.25">
      <c r="V37"/>
    </row>
    <row r="38" spans="22:22" x14ac:dyDescent="0.25">
      <c r="V38"/>
    </row>
    <row r="39" spans="22:22" x14ac:dyDescent="0.25">
      <c r="V39"/>
    </row>
    <row r="40" spans="22:22" x14ac:dyDescent="0.25">
      <c r="V40"/>
    </row>
    <row r="41" spans="22:22" x14ac:dyDescent="0.25">
      <c r="V41"/>
    </row>
    <row r="42" spans="22:22" x14ac:dyDescent="0.25">
      <c r="V42"/>
    </row>
    <row r="43" spans="22:22" x14ac:dyDescent="0.25">
      <c r="V43"/>
    </row>
    <row r="44" spans="22:22" x14ac:dyDescent="0.25">
      <c r="V44"/>
    </row>
    <row r="45" spans="22:22" x14ac:dyDescent="0.25">
      <c r="V45"/>
    </row>
    <row r="46" spans="22:22" x14ac:dyDescent="0.25">
      <c r="V46"/>
    </row>
    <row r="47" spans="22:22" x14ac:dyDescent="0.25">
      <c r="V47"/>
    </row>
    <row r="48" spans="22:22" x14ac:dyDescent="0.25">
      <c r="V48"/>
    </row>
    <row r="49" spans="22:22" x14ac:dyDescent="0.25">
      <c r="V49"/>
    </row>
    <row r="50" spans="22:22" x14ac:dyDescent="0.25">
      <c r="V50"/>
    </row>
    <row r="51" spans="22:22" x14ac:dyDescent="0.25">
      <c r="V51"/>
    </row>
    <row r="52" spans="22:22" x14ac:dyDescent="0.25">
      <c r="V52"/>
    </row>
    <row r="53" spans="22:22" x14ac:dyDescent="0.25">
      <c r="V53"/>
    </row>
    <row r="54" spans="22:22" x14ac:dyDescent="0.25">
      <c r="V54"/>
    </row>
    <row r="55" spans="22:22" x14ac:dyDescent="0.25">
      <c r="V55"/>
    </row>
    <row r="56" spans="22:22" x14ac:dyDescent="0.25">
      <c r="V56"/>
    </row>
    <row r="57" spans="22:22" x14ac:dyDescent="0.25">
      <c r="V57"/>
    </row>
    <row r="58" spans="22:22" x14ac:dyDescent="0.25">
      <c r="V58"/>
    </row>
    <row r="59" spans="22:22" x14ac:dyDescent="0.25">
      <c r="V59"/>
    </row>
    <row r="60" spans="22:22" x14ac:dyDescent="0.25">
      <c r="V60"/>
    </row>
    <row r="61" spans="22:22" x14ac:dyDescent="0.25">
      <c r="V61"/>
    </row>
    <row r="62" spans="22:22" x14ac:dyDescent="0.25">
      <c r="V62"/>
    </row>
    <row r="63" spans="22:22" x14ac:dyDescent="0.25">
      <c r="V63"/>
    </row>
    <row r="64" spans="22:22" x14ac:dyDescent="0.25">
      <c r="V64"/>
    </row>
    <row r="65" spans="22:22" x14ac:dyDescent="0.25">
      <c r="V65"/>
    </row>
    <row r="66" spans="22:22" x14ac:dyDescent="0.25">
      <c r="V66"/>
    </row>
    <row r="67" spans="22:22" x14ac:dyDescent="0.25">
      <c r="V67"/>
    </row>
    <row r="68" spans="22:22" x14ac:dyDescent="0.25">
      <c r="V68"/>
    </row>
    <row r="69" spans="22:22" x14ac:dyDescent="0.25">
      <c r="V69"/>
    </row>
    <row r="70" spans="22:22" x14ac:dyDescent="0.25">
      <c r="V70"/>
    </row>
    <row r="71" spans="22:22" x14ac:dyDescent="0.25">
      <c r="V71"/>
    </row>
    <row r="72" spans="22:22" x14ac:dyDescent="0.25">
      <c r="V72"/>
    </row>
    <row r="73" spans="22:22" x14ac:dyDescent="0.25">
      <c r="V73"/>
    </row>
    <row r="74" spans="22:22" x14ac:dyDescent="0.25">
      <c r="V74"/>
    </row>
    <row r="75" spans="22:22" x14ac:dyDescent="0.25">
      <c r="V75"/>
    </row>
    <row r="76" spans="22:22" x14ac:dyDescent="0.25">
      <c r="V76"/>
    </row>
    <row r="77" spans="22:22" x14ac:dyDescent="0.25">
      <c r="V77"/>
    </row>
    <row r="78" spans="22:22" x14ac:dyDescent="0.25">
      <c r="V78"/>
    </row>
    <row r="79" spans="22:22" x14ac:dyDescent="0.25">
      <c r="V79"/>
    </row>
    <row r="80" spans="22:22" x14ac:dyDescent="0.25">
      <c r="V80"/>
    </row>
    <row r="81" spans="22:22" x14ac:dyDescent="0.25">
      <c r="V81"/>
    </row>
    <row r="82" spans="22:22" x14ac:dyDescent="0.25">
      <c r="V82"/>
    </row>
    <row r="83" spans="22:22" x14ac:dyDescent="0.25">
      <c r="V83"/>
    </row>
    <row r="84" spans="22:22" x14ac:dyDescent="0.25">
      <c r="V84"/>
    </row>
    <row r="85" spans="22:22" x14ac:dyDescent="0.25">
      <c r="V85"/>
    </row>
    <row r="86" spans="22:22" x14ac:dyDescent="0.25">
      <c r="V86"/>
    </row>
    <row r="87" spans="22:22" x14ac:dyDescent="0.25">
      <c r="V87"/>
    </row>
    <row r="88" spans="22:22" x14ac:dyDescent="0.25">
      <c r="V88"/>
    </row>
    <row r="89" spans="22:22" x14ac:dyDescent="0.25">
      <c r="V89"/>
    </row>
    <row r="90" spans="22:22" x14ac:dyDescent="0.25">
      <c r="V90"/>
    </row>
    <row r="91" spans="22:22" x14ac:dyDescent="0.25">
      <c r="V91"/>
    </row>
    <row r="92" spans="22:22" x14ac:dyDescent="0.25">
      <c r="V92"/>
    </row>
    <row r="93" spans="22:22" x14ac:dyDescent="0.25">
      <c r="V93"/>
    </row>
    <row r="94" spans="22:22" x14ac:dyDescent="0.25">
      <c r="V94"/>
    </row>
    <row r="95" spans="22:22" x14ac:dyDescent="0.25">
      <c r="V95"/>
    </row>
    <row r="96" spans="22:22" x14ac:dyDescent="0.25">
      <c r="V96"/>
    </row>
    <row r="97" spans="22:22" x14ac:dyDescent="0.25">
      <c r="V97"/>
    </row>
    <row r="98" spans="22:22" x14ac:dyDescent="0.25">
      <c r="V98"/>
    </row>
    <row r="99" spans="22:22" x14ac:dyDescent="0.25">
      <c r="V99"/>
    </row>
    <row r="100" spans="22:22" x14ac:dyDescent="0.25">
      <c r="V100"/>
    </row>
    <row r="101" spans="22:22" x14ac:dyDescent="0.25">
      <c r="V101"/>
    </row>
    <row r="102" spans="22:22" x14ac:dyDescent="0.25">
      <c r="V102"/>
    </row>
    <row r="103" spans="22:22" x14ac:dyDescent="0.25">
      <c r="V103"/>
    </row>
    <row r="104" spans="22:22" x14ac:dyDescent="0.25">
      <c r="V104"/>
    </row>
    <row r="105" spans="22:22" x14ac:dyDescent="0.25">
      <c r="V105"/>
    </row>
    <row r="106" spans="22:22" x14ac:dyDescent="0.25">
      <c r="V106"/>
    </row>
    <row r="107" spans="22:22" x14ac:dyDescent="0.25">
      <c r="V107"/>
    </row>
    <row r="108" spans="22:22" x14ac:dyDescent="0.25">
      <c r="V108"/>
    </row>
    <row r="109" spans="22:22" x14ac:dyDescent="0.25">
      <c r="V109"/>
    </row>
    <row r="110" spans="22:22" x14ac:dyDescent="0.25">
      <c r="V110"/>
    </row>
    <row r="111" spans="22:22" x14ac:dyDescent="0.25">
      <c r="V111"/>
    </row>
    <row r="112" spans="22:22" x14ac:dyDescent="0.25">
      <c r="V112"/>
    </row>
    <row r="113" spans="22:22" x14ac:dyDescent="0.25">
      <c r="V113"/>
    </row>
    <row r="114" spans="22:22" x14ac:dyDescent="0.25">
      <c r="V114"/>
    </row>
    <row r="115" spans="22:22" x14ac:dyDescent="0.25">
      <c r="V115"/>
    </row>
    <row r="116" spans="22:22" x14ac:dyDescent="0.25">
      <c r="V116"/>
    </row>
    <row r="117" spans="22:22" x14ac:dyDescent="0.25">
      <c r="V117"/>
    </row>
    <row r="118" spans="22:22" x14ac:dyDescent="0.25">
      <c r="V118"/>
    </row>
    <row r="119" spans="22:22" x14ac:dyDescent="0.25">
      <c r="V119"/>
    </row>
    <row r="120" spans="22:22" x14ac:dyDescent="0.25">
      <c r="V120"/>
    </row>
    <row r="121" spans="22:22" x14ac:dyDescent="0.25">
      <c r="V121"/>
    </row>
    <row r="122" spans="22:22" x14ac:dyDescent="0.25">
      <c r="V122"/>
    </row>
    <row r="123" spans="22:22" x14ac:dyDescent="0.25">
      <c r="V123"/>
    </row>
    <row r="124" spans="22:22" x14ac:dyDescent="0.25">
      <c r="V124"/>
    </row>
    <row r="125" spans="22:22" x14ac:dyDescent="0.25">
      <c r="V125"/>
    </row>
    <row r="126" spans="22:22" x14ac:dyDescent="0.25">
      <c r="V126"/>
    </row>
    <row r="127" spans="22:22" x14ac:dyDescent="0.25">
      <c r="V127"/>
    </row>
    <row r="128" spans="22:22" x14ac:dyDescent="0.25">
      <c r="V128"/>
    </row>
    <row r="129" spans="22:22" x14ac:dyDescent="0.25">
      <c r="V129"/>
    </row>
    <row r="130" spans="22:22" x14ac:dyDescent="0.25">
      <c r="V130"/>
    </row>
    <row r="131" spans="22:22" x14ac:dyDescent="0.25">
      <c r="V131"/>
    </row>
    <row r="132" spans="22:22" x14ac:dyDescent="0.25">
      <c r="V132"/>
    </row>
    <row r="133" spans="22:22" x14ac:dyDescent="0.25">
      <c r="V133"/>
    </row>
    <row r="134" spans="22:22" x14ac:dyDescent="0.25">
      <c r="V134"/>
    </row>
    <row r="135" spans="22:22" x14ac:dyDescent="0.25">
      <c r="V135"/>
    </row>
    <row r="136" spans="22:22" x14ac:dyDescent="0.25">
      <c r="V136"/>
    </row>
    <row r="137" spans="22:22" x14ac:dyDescent="0.25">
      <c r="V137"/>
    </row>
    <row r="138" spans="22:22" x14ac:dyDescent="0.25">
      <c r="V138"/>
    </row>
    <row r="139" spans="22:22" x14ac:dyDescent="0.25">
      <c r="V139"/>
    </row>
    <row r="140" spans="22:22" x14ac:dyDescent="0.25">
      <c r="V140"/>
    </row>
    <row r="141" spans="22:22" x14ac:dyDescent="0.25">
      <c r="V141"/>
    </row>
    <row r="142" spans="22:22" x14ac:dyDescent="0.25">
      <c r="V142"/>
    </row>
    <row r="143" spans="22:22" x14ac:dyDescent="0.25">
      <c r="V143"/>
    </row>
    <row r="144" spans="22:22" x14ac:dyDescent="0.25">
      <c r="V144"/>
    </row>
    <row r="145" spans="22:22" x14ac:dyDescent="0.25">
      <c r="V145"/>
    </row>
    <row r="146" spans="22:22" x14ac:dyDescent="0.25">
      <c r="V146"/>
    </row>
    <row r="147" spans="22:22" x14ac:dyDescent="0.25">
      <c r="V147"/>
    </row>
    <row r="148" spans="22:22" x14ac:dyDescent="0.25">
      <c r="V148"/>
    </row>
    <row r="149" spans="22:22" x14ac:dyDescent="0.25">
      <c r="V149"/>
    </row>
    <row r="150" spans="22:22" x14ac:dyDescent="0.25">
      <c r="V150"/>
    </row>
    <row r="151" spans="22:22" x14ac:dyDescent="0.25">
      <c r="V151"/>
    </row>
    <row r="152" spans="22:22" x14ac:dyDescent="0.25">
      <c r="V152"/>
    </row>
    <row r="153" spans="22:22" x14ac:dyDescent="0.25">
      <c r="V153"/>
    </row>
    <row r="154" spans="22:22" x14ac:dyDescent="0.25">
      <c r="V154"/>
    </row>
  </sheetData>
  <sortState xmlns:xlrd2="http://schemas.microsoft.com/office/spreadsheetml/2017/richdata2" ref="V2:V1048576">
    <sortCondition ref="V2:V1048576"/>
  </sortState>
  <mergeCells count="1">
    <mergeCell ref="A28:F29"/>
  </mergeCells>
  <pageMargins left="0.7" right="0.7" top="0.75" bottom="0.75" header="0.3" footer="0.3"/>
  <pageSetup paperSize="9" orientation="landscape" horizontalDpi="0" verticalDpi="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BC8D35-D6D6-5046-AF82-AFB51053ED7F}">
  <dimension ref="A2:S13"/>
  <sheetViews>
    <sheetView workbookViewId="0">
      <selection activeCell="C15" sqref="C15"/>
    </sheetView>
    <sheetView workbookViewId="1"/>
    <sheetView workbookViewId="2"/>
    <sheetView workbookViewId="3"/>
    <sheetView workbookViewId="4">
      <selection activeCell="A5" sqref="A5:XFD5"/>
    </sheetView>
  </sheetViews>
  <sheetFormatPr defaultColWidth="11" defaultRowHeight="15.75" x14ac:dyDescent="0.25"/>
  <cols>
    <col min="3" max="3" width="18" customWidth="1"/>
    <col min="4" max="5" width="14.125" customWidth="1"/>
    <col min="6" max="6" width="17.125" customWidth="1"/>
    <col min="7" max="7" width="15.5" customWidth="1"/>
    <col min="8" max="8" width="17.125" customWidth="1"/>
    <col min="9" max="9" width="24.5" customWidth="1"/>
    <col min="10" max="10" width="15.125" customWidth="1"/>
    <col min="11" max="11" width="11.375" customWidth="1"/>
    <col min="13" max="13" width="11.5" customWidth="1"/>
    <col min="15" max="15" width="18.625" customWidth="1"/>
    <col min="16" max="16" width="51.875" customWidth="1"/>
    <col min="17" max="17" width="30.875" customWidth="1"/>
    <col min="18" max="18" width="16" customWidth="1"/>
  </cols>
  <sheetData>
    <row r="2" spans="1:19" x14ac:dyDescent="0.25">
      <c r="A2" t="s">
        <v>685</v>
      </c>
    </row>
    <row r="4" spans="1:19" s="1" customFormat="1" ht="30.75" thickBot="1" x14ac:dyDescent="0.3">
      <c r="A4" s="46" t="s">
        <v>20</v>
      </c>
      <c r="B4" s="47" t="s">
        <v>21</v>
      </c>
      <c r="C4" s="47" t="s">
        <v>22</v>
      </c>
      <c r="D4" s="47" t="s">
        <v>23</v>
      </c>
      <c r="E4" s="47" t="s">
        <v>24</v>
      </c>
      <c r="F4" s="47" t="s">
        <v>25</v>
      </c>
      <c r="G4" s="47" t="s">
        <v>26</v>
      </c>
      <c r="H4" s="47" t="s">
        <v>27</v>
      </c>
      <c r="I4" s="47" t="s">
        <v>686</v>
      </c>
      <c r="J4" s="47" t="s">
        <v>29</v>
      </c>
      <c r="K4" s="47" t="s">
        <v>30</v>
      </c>
      <c r="L4" s="48" t="s">
        <v>31</v>
      </c>
      <c r="M4" s="47" t="s">
        <v>32</v>
      </c>
      <c r="N4" s="48" t="s">
        <v>33</v>
      </c>
      <c r="O4" s="47" t="s">
        <v>34</v>
      </c>
      <c r="P4" s="47" t="s">
        <v>35</v>
      </c>
      <c r="Q4" s="65" t="s">
        <v>687</v>
      </c>
      <c r="R4" s="65" t="s">
        <v>688</v>
      </c>
    </row>
    <row r="5" spans="1:19" s="58" customFormat="1" ht="75" x14ac:dyDescent="0.25">
      <c r="A5" s="49" t="s">
        <v>689</v>
      </c>
      <c r="B5" s="49" t="s">
        <v>51</v>
      </c>
      <c r="C5" s="49" t="s">
        <v>690</v>
      </c>
      <c r="D5" s="49" t="s">
        <v>40</v>
      </c>
      <c r="E5" s="50" t="s">
        <v>41</v>
      </c>
      <c r="F5" s="49" t="s">
        <v>42</v>
      </c>
      <c r="G5" s="50" t="s">
        <v>40</v>
      </c>
      <c r="H5" s="49" t="s">
        <v>40</v>
      </c>
      <c r="I5" s="49"/>
      <c r="J5" s="49" t="s">
        <v>40</v>
      </c>
      <c r="K5" s="51" t="s">
        <v>40</v>
      </c>
      <c r="L5" s="52" t="s">
        <v>691</v>
      </c>
      <c r="M5" s="53" t="s">
        <v>692</v>
      </c>
      <c r="N5" s="54">
        <v>9932957</v>
      </c>
      <c r="O5" s="55" t="s">
        <v>53</v>
      </c>
      <c r="P5" s="56" t="s">
        <v>693</v>
      </c>
      <c r="Q5" s="49" t="s">
        <v>694</v>
      </c>
      <c r="R5" s="49" t="s">
        <v>695</v>
      </c>
      <c r="S5" s="57"/>
    </row>
    <row r="6" spans="1:19" s="58" customFormat="1" ht="75" x14ac:dyDescent="0.25">
      <c r="A6" s="49" t="s">
        <v>696</v>
      </c>
      <c r="B6" s="49" t="s">
        <v>306</v>
      </c>
      <c r="C6" s="49" t="s">
        <v>697</v>
      </c>
      <c r="D6" s="49" t="s">
        <v>40</v>
      </c>
      <c r="E6" s="59" t="s">
        <v>41</v>
      </c>
      <c r="F6" s="50" t="s">
        <v>66</v>
      </c>
      <c r="G6" s="49" t="s">
        <v>59</v>
      </c>
      <c r="H6" s="60"/>
      <c r="I6" s="60"/>
      <c r="J6" s="49" t="s">
        <v>40</v>
      </c>
      <c r="K6" s="49" t="s">
        <v>40</v>
      </c>
      <c r="L6" s="49" t="s">
        <v>698</v>
      </c>
      <c r="M6" s="61" t="s">
        <v>699</v>
      </c>
      <c r="N6" s="39">
        <v>11589012</v>
      </c>
      <c r="O6" s="56" t="s">
        <v>700</v>
      </c>
      <c r="P6" s="56" t="s">
        <v>701</v>
      </c>
      <c r="Q6" s="49" t="s">
        <v>702</v>
      </c>
      <c r="R6" s="49" t="s">
        <v>703</v>
      </c>
    </row>
    <row r="7" spans="1:19" s="58" customFormat="1" ht="75" x14ac:dyDescent="0.25">
      <c r="A7" s="49" t="s">
        <v>704</v>
      </c>
      <c r="B7" s="49" t="s">
        <v>306</v>
      </c>
      <c r="C7" s="49" t="s">
        <v>705</v>
      </c>
      <c r="D7" s="49" t="s">
        <v>40</v>
      </c>
      <c r="E7" s="59" t="s">
        <v>41</v>
      </c>
      <c r="F7" s="50" t="s">
        <v>66</v>
      </c>
      <c r="G7" s="49" t="s">
        <v>59</v>
      </c>
      <c r="H7" s="60"/>
      <c r="I7" s="60"/>
      <c r="J7" s="49" t="s">
        <v>40</v>
      </c>
      <c r="K7" s="49" t="s">
        <v>40</v>
      </c>
      <c r="L7" s="49" t="s">
        <v>706</v>
      </c>
      <c r="M7" s="61" t="s">
        <v>699</v>
      </c>
      <c r="N7" s="39">
        <v>11589012</v>
      </c>
      <c r="O7" s="56" t="s">
        <v>707</v>
      </c>
      <c r="P7" s="56" t="s">
        <v>708</v>
      </c>
      <c r="Q7" s="49" t="s">
        <v>702</v>
      </c>
      <c r="R7" s="49" t="s">
        <v>709</v>
      </c>
    </row>
    <row r="8" spans="1:19" s="18" customFormat="1" ht="75" x14ac:dyDescent="0.25">
      <c r="A8" s="27" t="s">
        <v>268</v>
      </c>
      <c r="B8" s="62" t="s">
        <v>710</v>
      </c>
      <c r="C8" s="62" t="s">
        <v>711</v>
      </c>
      <c r="D8" s="63" t="s">
        <v>40</v>
      </c>
      <c r="E8" s="62" t="s">
        <v>59</v>
      </c>
      <c r="F8" s="62" t="s">
        <v>42</v>
      </c>
      <c r="G8" s="62" t="s">
        <v>86</v>
      </c>
      <c r="H8" s="62" t="s">
        <v>40</v>
      </c>
      <c r="I8" s="62"/>
      <c r="J8" s="62" t="s">
        <v>40</v>
      </c>
      <c r="K8" s="62" t="s">
        <v>40</v>
      </c>
      <c r="L8" s="62" t="s">
        <v>40</v>
      </c>
      <c r="M8" s="62" t="s">
        <v>712</v>
      </c>
      <c r="N8" s="63" t="s">
        <v>40</v>
      </c>
      <c r="O8" s="62" t="s">
        <v>713</v>
      </c>
      <c r="P8" s="62" t="s">
        <v>714</v>
      </c>
      <c r="Q8" s="62" t="s">
        <v>715</v>
      </c>
      <c r="R8" s="45" t="s">
        <v>716</v>
      </c>
    </row>
    <row r="9" spans="1:19" s="25" customFormat="1" ht="45" x14ac:dyDescent="0.25">
      <c r="A9" s="27" t="s">
        <v>717</v>
      </c>
      <c r="B9" s="27" t="s">
        <v>671</v>
      </c>
      <c r="C9" s="27" t="s">
        <v>718</v>
      </c>
      <c r="D9" s="27" t="s">
        <v>40</v>
      </c>
      <c r="E9" s="27" t="s">
        <v>719</v>
      </c>
      <c r="F9" s="28" t="s">
        <v>66</v>
      </c>
      <c r="G9" s="28" t="s">
        <v>40</v>
      </c>
      <c r="H9" s="27" t="s">
        <v>720</v>
      </c>
      <c r="I9" s="27"/>
      <c r="J9" s="27" t="s">
        <v>40</v>
      </c>
      <c r="K9" s="27" t="s">
        <v>40</v>
      </c>
      <c r="L9" s="27" t="s">
        <v>721</v>
      </c>
      <c r="M9" s="27" t="s">
        <v>188</v>
      </c>
      <c r="N9" s="30">
        <v>21990111</v>
      </c>
      <c r="O9" s="64" t="s">
        <v>722</v>
      </c>
      <c r="P9" s="29" t="s">
        <v>723</v>
      </c>
      <c r="Q9" s="27" t="s">
        <v>724</v>
      </c>
      <c r="R9" s="27" t="s">
        <v>725</v>
      </c>
    </row>
    <row r="10" spans="1:19" s="25" customFormat="1" ht="45" x14ac:dyDescent="0.25">
      <c r="A10" s="27" t="s">
        <v>726</v>
      </c>
      <c r="B10" s="27" t="s">
        <v>671</v>
      </c>
      <c r="C10" s="27" t="s">
        <v>727</v>
      </c>
      <c r="D10" s="27" t="s">
        <v>40</v>
      </c>
      <c r="E10" s="27" t="s">
        <v>41</v>
      </c>
      <c r="F10" s="28" t="s">
        <v>42</v>
      </c>
      <c r="G10" s="28" t="s">
        <v>40</v>
      </c>
      <c r="H10" s="27" t="s">
        <v>720</v>
      </c>
      <c r="I10" s="27"/>
      <c r="J10" s="27" t="s">
        <v>40</v>
      </c>
      <c r="K10" s="27" t="s">
        <v>40</v>
      </c>
      <c r="L10" s="27" t="s">
        <v>728</v>
      </c>
      <c r="M10" s="27" t="s">
        <v>188</v>
      </c>
      <c r="N10" s="30">
        <v>21990111</v>
      </c>
      <c r="O10" s="27" t="s">
        <v>729</v>
      </c>
      <c r="P10" s="29"/>
      <c r="Q10" s="27" t="s">
        <v>724</v>
      </c>
      <c r="R10" s="27" t="s">
        <v>725</v>
      </c>
    </row>
    <row r="11" spans="1:19" s="25" customFormat="1" ht="45" x14ac:dyDescent="0.25">
      <c r="A11" s="27" t="s">
        <v>730</v>
      </c>
      <c r="B11" s="27" t="s">
        <v>677</v>
      </c>
      <c r="C11" s="27" t="s">
        <v>731</v>
      </c>
      <c r="D11" s="27" t="s">
        <v>40</v>
      </c>
      <c r="E11" s="27" t="s">
        <v>41</v>
      </c>
      <c r="F11" s="27" t="s">
        <v>42</v>
      </c>
      <c r="G11" s="27" t="s">
        <v>40</v>
      </c>
      <c r="H11" s="27" t="s">
        <v>40</v>
      </c>
      <c r="I11" s="27"/>
      <c r="J11" s="27" t="s">
        <v>40</v>
      </c>
      <c r="K11" s="27" t="s">
        <v>40</v>
      </c>
      <c r="L11" s="27" t="s">
        <v>732</v>
      </c>
      <c r="M11" s="27" t="s">
        <v>733</v>
      </c>
      <c r="N11" s="27" t="s">
        <v>40</v>
      </c>
      <c r="O11" s="27" t="s">
        <v>734</v>
      </c>
      <c r="P11" s="27"/>
      <c r="Q11" s="27"/>
      <c r="R11" s="18"/>
    </row>
    <row r="13" spans="1:19" s="18" customFormat="1" ht="15" x14ac:dyDescent="0.25">
      <c r="A13" s="27"/>
      <c r="B13" s="27"/>
      <c r="C13" s="27"/>
      <c r="D13" s="27"/>
      <c r="E13" s="27"/>
      <c r="F13" s="27"/>
      <c r="G13" s="27"/>
      <c r="H13" s="27"/>
      <c r="I13" s="27"/>
      <c r="J13" s="27"/>
      <c r="K13" s="27"/>
      <c r="L13" s="27"/>
      <c r="M13" s="27"/>
      <c r="N13" s="27"/>
      <c r="O13" s="27"/>
      <c r="P13" s="27"/>
      <c r="Q13" s="27"/>
    </row>
  </sheetData>
  <conditionalFormatting sqref="C4">
    <cfRule type="duplicateValues" dxfId="6" priority="7"/>
  </conditionalFormatting>
  <conditionalFormatting sqref="C5">
    <cfRule type="duplicateValues" dxfId="5" priority="6"/>
  </conditionalFormatting>
  <conditionalFormatting sqref="C6:C7">
    <cfRule type="duplicateValues" dxfId="4" priority="5"/>
  </conditionalFormatting>
  <conditionalFormatting sqref="C8">
    <cfRule type="duplicateValues" dxfId="3" priority="4"/>
  </conditionalFormatting>
  <conditionalFormatting sqref="C9:C10">
    <cfRule type="duplicateValues" dxfId="2" priority="8"/>
  </conditionalFormatting>
  <conditionalFormatting sqref="C11">
    <cfRule type="duplicateValues" dxfId="1" priority="1"/>
  </conditionalFormatting>
  <conditionalFormatting sqref="C13">
    <cfRule type="duplicateValues" dxfId="0" priority="2"/>
  </conditionalFormatting>
  <pageMargins left="0.7" right="0.7" top="0.75" bottom="0.75" header="0.3" footer="0.3"/>
  <legacy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mutation data </vt:lpstr>
      <vt:lpstr>Summary statistics</vt:lpstr>
      <vt:lpstr>status uncertain</vt:lpstr>
      <vt:lpstr>'Summary statistics'!Print_Area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Gardner, Emily</cp:lastModifiedBy>
  <cp:revision/>
  <dcterms:created xsi:type="dcterms:W3CDTF">2021-09-21T12:20:57Z</dcterms:created>
  <dcterms:modified xsi:type="dcterms:W3CDTF">2024-03-20T16:38:06Z</dcterms:modified>
  <cp:category/>
  <cp:contentStatus/>
</cp:coreProperties>
</file>