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xml"/>
  <Override PartName="/xl/comments3.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xml"/>
  <Override PartName="/xl/comments4.xml" ContentType="application/vnd.openxmlformats-officedocument.spreadsheetml.comments+xml"/>
  <Override PartName="/xl/charts/chart3.xml" ContentType="application/vnd.openxmlformats-officedocument.drawingml.chart+xml"/>
  <Override PartName="/xl/drawings/drawing5.xml" ContentType="application/vnd.openxmlformats-officedocument.drawing+xml"/>
  <Override PartName="/xl/comments5.xml" ContentType="application/vnd.openxmlformats-officedocument.spreadsheetml.comments+xml"/>
  <Override PartName="/xl/charts/chart4.xml" ContentType="application/vnd.openxmlformats-officedocument.drawingml.chart+xml"/>
  <Override PartName="/xl/drawings/drawing6.xml" ContentType="application/vnd.openxmlformats-officedocument.drawing+xml"/>
  <Override PartName="/xl/comments6.xml" ContentType="application/vnd.openxmlformats-officedocument.spreadsheetml.comments+xml"/>
  <Override PartName="/xl/charts/chart5.xml" ContentType="application/vnd.openxmlformats-officedocument.drawingml.chart+xml"/>
  <Override PartName="/xl/drawings/drawing7.xml" ContentType="application/vnd.openxmlformats-officedocument.drawing+xml"/>
  <Override PartName="/xl/comments7.xml" ContentType="application/vnd.openxmlformats-officedocument.spreadsheetml.comments+xml"/>
  <Override PartName="/xl/charts/chart6.xml" ContentType="application/vnd.openxmlformats-officedocument.drawingml.chart+xml"/>
  <Override PartName="/xl/drawings/drawing8.xml" ContentType="application/vnd.openxmlformats-officedocument.drawing+xml"/>
  <Override PartName="/xl/comments8.xml" ContentType="application/vnd.openxmlformats-officedocument.spreadsheetml.comments+xml"/>
  <Override PartName="/xl/charts/chart7.xml" ContentType="application/vnd.openxmlformats-officedocument.drawingml.chart+xml"/>
  <Override PartName="/xl/drawings/drawing9.xml" ContentType="application/vnd.openxmlformats-officedocument.drawing+xml"/>
  <Override PartName="/xl/comments9.xml" ContentType="application/vnd.openxmlformats-officedocument.spreadsheetml.comments+xml"/>
  <Override PartName="/xl/charts/chart8.xml" ContentType="application/vnd.openxmlformats-officedocument.drawingml.chart+xml"/>
  <Override PartName="/xl/drawings/drawing10.xml" ContentType="application/vnd.openxmlformats-officedocument.drawing+xml"/>
  <Override PartName="/xl/comments10.xml" ContentType="application/vnd.openxmlformats-officedocument.spreadsheetml.comments+xml"/>
  <Override PartName="/xl/charts/chart9.xml" ContentType="application/vnd.openxmlformats-officedocument.drawingml.chart+xml"/>
  <Override PartName="/xl/drawings/drawing11.xml" ContentType="application/vnd.openxmlformats-officedocument.drawing+xml"/>
  <Override PartName="/xl/comments11.xml" ContentType="application/vnd.openxmlformats-officedocument.spreadsheetml.comments+xml"/>
  <Override PartName="/xl/charts/chart10.xml" ContentType="application/vnd.openxmlformats-officedocument.drawingml.chart+xml"/>
  <Override PartName="/xl/drawings/drawing12.xml" ContentType="application/vnd.openxmlformats-officedocument.drawing+xml"/>
  <Override PartName="/xl/comments12.xml" ContentType="application/vnd.openxmlformats-officedocument.spreadsheetml.comments+xml"/>
  <Override PartName="/xl/charts/chart11.xml" ContentType="application/vnd.openxmlformats-officedocument.drawingml.chart+xml"/>
  <Override PartName="/xl/drawings/drawing13.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4.xml" ContentType="application/vnd.openxmlformats-officedocument.drawing+xml"/>
  <Override PartName="/xl/drawings/drawing15.xml" ContentType="application/vnd.openxmlformats-officedocument.drawing+xml"/>
  <Override PartName="/xl/comments13.xml" ContentType="application/vnd.openxmlformats-officedocument.spreadsheetml.comments+xml"/>
  <Override PartName="/xl/charts/chart15.xml" ContentType="application/vnd.openxmlformats-officedocument.drawingml.chart+xml"/>
  <Override PartName="/xl/drawings/drawing16.xml" ContentType="application/vnd.openxmlformats-officedocument.drawing+xml"/>
  <Override PartName="/xl/comments14.xml" ContentType="application/vnd.openxmlformats-officedocument.spreadsheetml.comments+xml"/>
  <Override PartName="/xl/drawings/drawing17.xml" ContentType="application/vnd.openxmlformats-officedocument.drawing+xml"/>
  <Override PartName="/xl/comments15.xml" ContentType="application/vnd.openxmlformats-officedocument.spreadsheetml.comments+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18.xml" ContentType="application/vnd.openxmlformats-officedocument.drawing+xml"/>
  <Override PartName="/xl/drawings/drawing19.xml" ContentType="application/vnd.openxmlformats-officedocument.drawing+xml"/>
  <Override PartName="/xl/comments16.xml" ContentType="application/vnd.openxmlformats-officedocument.spreadsheetml.comments+xml"/>
  <Override PartName="/xl/comments1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showInkAnnotation="0" codeName="ThisWorkbook"/>
  <mc:AlternateContent xmlns:mc="http://schemas.openxmlformats.org/markup-compatibility/2006">
    <mc:Choice Requires="x15">
      <x15ac:absPath xmlns:x15ac="http://schemas.microsoft.com/office/spreadsheetml/2010/11/ac" url="https://liveuclac-my.sharepoint.com/personal/uczbjeb_ucl_ac_uk/Documents/Downloads/"/>
    </mc:Choice>
  </mc:AlternateContent>
  <xr:revisionPtr revIDLastSave="0" documentId="8_{06CC1034-1A16-49C6-8D93-82EC55FC8EBF}" xr6:coauthVersionLast="47" xr6:coauthVersionMax="47" xr10:uidLastSave="{00000000-0000-0000-0000-000000000000}"/>
  <bookViews>
    <workbookView xWindow="-120" yWindow="-120" windowWidth="29040" windowHeight="15840" tabRatio="823" activeTab="1" xr2:uid="{00000000-000D-0000-FFFF-FFFF00000000}"/>
  </bookViews>
  <sheets>
    <sheet name="Home" sheetId="21" r:id="rId1"/>
    <sheet name="Step1" sheetId="23" r:id="rId2"/>
    <sheet name="SimpleStep2" sheetId="12" r:id="rId3"/>
    <sheet name="SimpleBA" sheetId="29" r:id="rId4"/>
    <sheet name="SimpleBB" sheetId="44" r:id="rId5"/>
    <sheet name="SimpleBC" sheetId="45" r:id="rId6"/>
    <sheet name="SimpleF" sheetId="19" r:id="rId7"/>
    <sheet name="SimpleV" sheetId="28" r:id="rId8"/>
    <sheet name="SimpleH" sheetId="25" r:id="rId9"/>
    <sheet name="SimpleH2" sheetId="48" state="hidden" r:id="rId10"/>
    <sheet name="SimpleC" sheetId="26" r:id="rId11"/>
    <sheet name="SimpleL" sheetId="27" r:id="rId12"/>
    <sheet name="SimpleStep3" sheetId="30" r:id="rId13"/>
    <sheet name="SimpleOutputs" sheetId="42" r:id="rId14"/>
    <sheet name="ComplexAt2Step2" sheetId="41" r:id="rId15"/>
    <sheet name="ComplexAt3Step2" sheetId="35" r:id="rId16"/>
    <sheet name="ComplexStep3" sheetId="40" r:id="rId17"/>
    <sheet name="ComplexOutputs" sheetId="43" r:id="rId18"/>
    <sheet name="Data" sheetId="24" r:id="rId19"/>
    <sheet name="Buildings" sheetId="16" r:id="rId20"/>
    <sheet name="BE" sheetId="38" state="hidden" r:id="rId21"/>
    <sheet name="BN" sheetId="37" state="hidden" r:id="rId22"/>
  </sheets>
  <definedNames>
    <definedName name="_xlnm._FilterDatabase" localSheetId="19" hidden="1">Buildings!$A$1:$AD$167</definedName>
    <definedName name="_xlnm.Print_Area" localSheetId="19">Buildings!$A$1:$AH$153</definedName>
    <definedName name="_xlnm.Print_Area" localSheetId="15">ComplexAt3Step2!$A$1:$U$53</definedName>
    <definedName name="_xlnm.Print_Area" localSheetId="16">ComplexStep3!$A$1:$U$67</definedName>
    <definedName name="_xlnm.Print_Area" localSheetId="0">Home!$A$1:$Y$52</definedName>
    <definedName name="_xlnm.Print_Area" localSheetId="3">SimpleBA!$A$1:$X$54</definedName>
    <definedName name="_xlnm.Print_Area" localSheetId="4">SimpleBB!$A$1:$X$54</definedName>
    <definedName name="_xlnm.Print_Area" localSheetId="5">SimpleBC!$A$1:$X$54</definedName>
    <definedName name="_xlnm.Print_Area" localSheetId="10">SimpleC!$A$1:$AD$54</definedName>
    <definedName name="_xlnm.Print_Area" localSheetId="6">SimpleF!$A$1:$AD$54</definedName>
    <definedName name="_xlnm.Print_Area" localSheetId="8">SimpleH!$A$1:$AD$55</definedName>
    <definedName name="_xlnm.Print_Area" localSheetId="9">SimpleH2!$A$1:$AK$307</definedName>
    <definedName name="_xlnm.Print_Area" localSheetId="11">SimpleL!$A$1:$AD$56</definedName>
    <definedName name="_xlnm.Print_Area" localSheetId="2">SimpleStep2!$A$1:$U$59</definedName>
    <definedName name="_xlnm.Print_Area" localSheetId="12">SimpleStep3!$A$1:$U$66</definedName>
    <definedName name="_xlnm.Print_Area" localSheetId="7">SimpleV!$A$1:$AD$54</definedName>
    <definedName name="_xlnm.Print_Area" localSheetId="1">Step1!$A$1:$Y$52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6" i="16" l="1"/>
  <c r="K146" i="16" s="1"/>
  <c r="L146" i="16" s="1"/>
  <c r="J28" i="16"/>
  <c r="K28" i="16" s="1"/>
  <c r="L28" i="16" s="1"/>
  <c r="J7" i="16"/>
  <c r="K7" i="16" s="1"/>
  <c r="L7" i="16" s="1"/>
  <c r="J130" i="16"/>
  <c r="K130" i="16" s="1"/>
  <c r="L130" i="16" s="1"/>
  <c r="J27" i="16"/>
  <c r="K27" i="16" s="1"/>
  <c r="L27" i="16" s="1"/>
  <c r="J165" i="16"/>
  <c r="K165" i="16" s="1"/>
  <c r="L165" i="16" s="1"/>
  <c r="J131" i="16"/>
  <c r="K131" i="16" s="1"/>
  <c r="J45" i="16"/>
  <c r="K45" i="16" s="1"/>
  <c r="L45" i="16" s="1"/>
  <c r="J2" i="16"/>
  <c r="K2" i="16" s="1"/>
  <c r="J148" i="16"/>
  <c r="K148" i="16" s="1"/>
  <c r="J72" i="16"/>
  <c r="K72" i="16" s="1"/>
  <c r="L72" i="16" s="1"/>
  <c r="J19" i="16"/>
  <c r="K19" i="16" s="1"/>
  <c r="L19" i="16" s="1"/>
  <c r="J55" i="16"/>
  <c r="K55" i="16" s="1"/>
  <c r="L55" i="16" s="1"/>
  <c r="J151" i="16"/>
  <c r="K151" i="16" s="1"/>
  <c r="L131" i="16" l="1"/>
  <c r="L2" i="16"/>
  <c r="L151" i="16"/>
  <c r="L148" i="16"/>
  <c r="J104" i="16" l="1"/>
  <c r="P19" i="19"/>
  <c r="P18" i="19"/>
  <c r="J19" i="19"/>
  <c r="J18" i="19"/>
  <c r="K104" i="16" l="1"/>
  <c r="J4" i="16" l="1"/>
  <c r="J3" i="16"/>
  <c r="K24" i="23" l="1"/>
  <c r="K22" i="23" s="1"/>
  <c r="Q10" i="23"/>
  <c r="K33" i="23"/>
  <c r="K32" i="23"/>
  <c r="K31" i="23"/>
  <c r="K30" i="23"/>
  <c r="K29" i="23"/>
  <c r="K28" i="23"/>
  <c r="K27" i="23"/>
  <c r="K26" i="23"/>
  <c r="K20" i="23" l="1"/>
  <c r="K21" i="23"/>
  <c r="K3" i="16"/>
  <c r="J34" i="16"/>
  <c r="J35" i="16"/>
  <c r="J36" i="16"/>
  <c r="J37" i="16"/>
  <c r="J38" i="16"/>
  <c r="J39" i="16"/>
  <c r="J40" i="16"/>
  <c r="J41" i="16"/>
  <c r="J42" i="16"/>
  <c r="J43" i="16"/>
  <c r="J44" i="16"/>
  <c r="J46" i="16"/>
  <c r="J47" i="16"/>
  <c r="J48" i="16"/>
  <c r="J49" i="16"/>
  <c r="J50" i="16"/>
  <c r="J51" i="16"/>
  <c r="J52" i="16"/>
  <c r="J53" i="16"/>
  <c r="J54" i="16"/>
  <c r="J56" i="16"/>
  <c r="J57" i="16"/>
  <c r="J58" i="16"/>
  <c r="J59" i="16"/>
  <c r="J60" i="16"/>
  <c r="J61" i="16"/>
  <c r="J62" i="16"/>
  <c r="J63" i="16"/>
  <c r="J64" i="16"/>
  <c r="J65" i="16"/>
  <c r="J66" i="16"/>
  <c r="J67" i="16"/>
  <c r="J68" i="16"/>
  <c r="J69" i="16"/>
  <c r="J70" i="16"/>
  <c r="J71" i="16"/>
  <c r="J73" i="16"/>
  <c r="J74" i="16"/>
  <c r="J75" i="16"/>
  <c r="J76" i="16"/>
  <c r="J77" i="16"/>
  <c r="J78" i="16"/>
  <c r="J79" i="16"/>
  <c r="J80" i="16"/>
  <c r="J81" i="16"/>
  <c r="J82" i="16"/>
  <c r="J83" i="16"/>
  <c r="J84" i="16"/>
  <c r="J85" i="16"/>
  <c r="J86" i="16"/>
  <c r="J87" i="16"/>
  <c r="J88" i="16"/>
  <c r="J89" i="16"/>
  <c r="J90" i="16"/>
  <c r="J91" i="16"/>
  <c r="J92" i="16"/>
  <c r="J94" i="16"/>
  <c r="J95" i="16"/>
  <c r="J96" i="16"/>
  <c r="J97" i="16"/>
  <c r="J98" i="16"/>
  <c r="J99" i="16"/>
  <c r="J100" i="16"/>
  <c r="J101" i="16"/>
  <c r="J102" i="16"/>
  <c r="J103" i="16"/>
  <c r="J105" i="16"/>
  <c r="J106" i="16"/>
  <c r="J107" i="16"/>
  <c r="J108" i="16"/>
  <c r="J109" i="16"/>
  <c r="J110" i="16"/>
  <c r="J111" i="16"/>
  <c r="J112" i="16"/>
  <c r="J113" i="16"/>
  <c r="J114" i="16"/>
  <c r="J115" i="16"/>
  <c r="J116" i="16"/>
  <c r="J117" i="16"/>
  <c r="J118" i="16"/>
  <c r="J119" i="16"/>
  <c r="J120" i="16"/>
  <c r="J121" i="16"/>
  <c r="J122" i="16"/>
  <c r="J123" i="16"/>
  <c r="J124" i="16"/>
  <c r="J125" i="16"/>
  <c r="J126" i="16"/>
  <c r="J127" i="16"/>
  <c r="J128" i="16"/>
  <c r="J129" i="16"/>
  <c r="J132" i="16"/>
  <c r="J133" i="16"/>
  <c r="J134" i="16"/>
  <c r="J135" i="16"/>
  <c r="J136" i="16"/>
  <c r="J137" i="16"/>
  <c r="J138" i="16"/>
  <c r="J139" i="16"/>
  <c r="J140" i="16"/>
  <c r="J141" i="16"/>
  <c r="J142" i="16"/>
  <c r="J143" i="16"/>
  <c r="J144" i="16"/>
  <c r="J145" i="16"/>
  <c r="J147" i="16"/>
  <c r="J149" i="16"/>
  <c r="J150" i="16"/>
  <c r="J152" i="16"/>
  <c r="J153" i="16"/>
  <c r="J154" i="16"/>
  <c r="J155" i="16"/>
  <c r="J156" i="16"/>
  <c r="J157" i="16"/>
  <c r="J158" i="16"/>
  <c r="J159" i="16"/>
  <c r="J160" i="16"/>
  <c r="J161" i="16"/>
  <c r="J162" i="16"/>
  <c r="J163" i="16"/>
  <c r="J164" i="16"/>
  <c r="J166" i="16"/>
  <c r="J5" i="16"/>
  <c r="J6" i="16"/>
  <c r="J8" i="16"/>
  <c r="J9" i="16"/>
  <c r="J10" i="16"/>
  <c r="J11" i="16"/>
  <c r="J12" i="16"/>
  <c r="J13" i="16"/>
  <c r="J14" i="16"/>
  <c r="J15" i="16"/>
  <c r="J16" i="16"/>
  <c r="J17" i="16"/>
  <c r="J18" i="16"/>
  <c r="J22" i="16"/>
  <c r="J23" i="16"/>
  <c r="J24" i="16"/>
  <c r="J25" i="16"/>
  <c r="J29" i="16"/>
  <c r="J30" i="16"/>
  <c r="J31" i="16"/>
  <c r="J32" i="16"/>
  <c r="J33" i="16"/>
  <c r="K64" i="23" l="1"/>
  <c r="O66" i="23"/>
  <c r="K4" i="16" l="1"/>
  <c r="K5" i="16"/>
  <c r="L5" i="16" s="1"/>
  <c r="K6" i="16"/>
  <c r="L6" i="16" s="1"/>
  <c r="K8" i="16"/>
  <c r="L8" i="16" s="1"/>
  <c r="K9" i="16"/>
  <c r="L9" i="16" s="1"/>
  <c r="K10" i="16"/>
  <c r="L10" i="16" s="1"/>
  <c r="K11" i="16"/>
  <c r="L11" i="16" s="1"/>
  <c r="K12" i="16"/>
  <c r="L12" i="16" s="1"/>
  <c r="K13" i="16"/>
  <c r="L13" i="16" s="1"/>
  <c r="K14" i="16"/>
  <c r="L14" i="16" s="1"/>
  <c r="K15" i="16"/>
  <c r="L15" i="16" s="1"/>
  <c r="K16" i="16"/>
  <c r="L16" i="16" s="1"/>
  <c r="K17" i="16"/>
  <c r="L17" i="16" s="1"/>
  <c r="K18" i="16"/>
  <c r="L18" i="16" s="1"/>
  <c r="K22" i="16"/>
  <c r="L22" i="16" s="1"/>
  <c r="K23" i="16"/>
  <c r="L23" i="16" s="1"/>
  <c r="K24" i="16"/>
  <c r="L24" i="16" s="1"/>
  <c r="K25" i="16"/>
  <c r="L25" i="16" s="1"/>
  <c r="K29" i="16"/>
  <c r="L29" i="16" s="1"/>
  <c r="K30" i="16"/>
  <c r="L30" i="16" s="1"/>
  <c r="K31" i="16"/>
  <c r="L31" i="16" s="1"/>
  <c r="K32" i="16"/>
  <c r="L32" i="16" s="1"/>
  <c r="K33" i="16"/>
  <c r="L33" i="16" s="1"/>
  <c r="K34" i="16"/>
  <c r="L34" i="16" s="1"/>
  <c r="K35" i="16"/>
  <c r="L35" i="16" s="1"/>
  <c r="K36" i="16"/>
  <c r="L36" i="16" s="1"/>
  <c r="K37" i="16"/>
  <c r="L37" i="16" s="1"/>
  <c r="K38" i="16"/>
  <c r="L38" i="16" s="1"/>
  <c r="K39" i="16"/>
  <c r="L39" i="16" s="1"/>
  <c r="K40" i="16"/>
  <c r="L40" i="16" s="1"/>
  <c r="K41" i="16"/>
  <c r="L41" i="16" s="1"/>
  <c r="K42" i="16"/>
  <c r="L42" i="16" s="1"/>
  <c r="K43" i="16"/>
  <c r="L43" i="16" s="1"/>
  <c r="K44" i="16"/>
  <c r="L44" i="16" s="1"/>
  <c r="K46" i="16"/>
  <c r="L46" i="16" s="1"/>
  <c r="K47" i="16"/>
  <c r="L47" i="16" s="1"/>
  <c r="K48" i="16"/>
  <c r="L48" i="16" s="1"/>
  <c r="K49" i="16"/>
  <c r="L49" i="16" s="1"/>
  <c r="K50" i="16"/>
  <c r="L50" i="16" s="1"/>
  <c r="K51" i="16"/>
  <c r="L51" i="16" s="1"/>
  <c r="K52" i="16"/>
  <c r="L52" i="16" s="1"/>
  <c r="K53" i="16"/>
  <c r="L53" i="16" s="1"/>
  <c r="K54" i="16"/>
  <c r="L54" i="16" s="1"/>
  <c r="K56" i="16"/>
  <c r="L56" i="16" s="1"/>
  <c r="K57" i="16"/>
  <c r="L57" i="16" s="1"/>
  <c r="K58" i="16"/>
  <c r="L58" i="16" s="1"/>
  <c r="K59" i="16"/>
  <c r="L59" i="16" s="1"/>
  <c r="K60" i="16"/>
  <c r="L60" i="16" s="1"/>
  <c r="K61" i="16"/>
  <c r="L61" i="16" s="1"/>
  <c r="K62" i="16"/>
  <c r="L62" i="16" s="1"/>
  <c r="K63" i="16"/>
  <c r="L63" i="16" s="1"/>
  <c r="K64" i="16"/>
  <c r="L64" i="16" s="1"/>
  <c r="K65" i="16"/>
  <c r="L65" i="16" s="1"/>
  <c r="K66" i="16"/>
  <c r="L66" i="16" s="1"/>
  <c r="K67" i="16"/>
  <c r="L67" i="16" s="1"/>
  <c r="K68" i="16"/>
  <c r="L68" i="16" s="1"/>
  <c r="K69" i="16"/>
  <c r="L69" i="16" s="1"/>
  <c r="K70" i="16"/>
  <c r="L70" i="16" s="1"/>
  <c r="K71" i="16"/>
  <c r="L71" i="16" s="1"/>
  <c r="K73" i="16"/>
  <c r="L73" i="16" s="1"/>
  <c r="K74" i="16"/>
  <c r="L74" i="16" s="1"/>
  <c r="K75" i="16"/>
  <c r="L75" i="16" s="1"/>
  <c r="K76" i="16"/>
  <c r="L76" i="16" s="1"/>
  <c r="K77" i="16"/>
  <c r="L77" i="16" s="1"/>
  <c r="K78" i="16"/>
  <c r="L78" i="16" s="1"/>
  <c r="K79" i="16"/>
  <c r="L79" i="16" s="1"/>
  <c r="K80" i="16"/>
  <c r="L80" i="16" s="1"/>
  <c r="K81" i="16"/>
  <c r="L81" i="16" s="1"/>
  <c r="K82" i="16"/>
  <c r="L82" i="16" s="1"/>
  <c r="K83" i="16"/>
  <c r="L83" i="16" s="1"/>
  <c r="K84" i="16"/>
  <c r="L84" i="16" s="1"/>
  <c r="K85" i="16"/>
  <c r="L85" i="16" s="1"/>
  <c r="K86" i="16"/>
  <c r="L86" i="16" s="1"/>
  <c r="K87" i="16"/>
  <c r="L87" i="16" s="1"/>
  <c r="K88" i="16"/>
  <c r="L88" i="16" s="1"/>
  <c r="K89" i="16"/>
  <c r="L89" i="16" s="1"/>
  <c r="K90" i="16"/>
  <c r="L90" i="16" s="1"/>
  <c r="K91" i="16"/>
  <c r="L91" i="16" s="1"/>
  <c r="K92" i="16"/>
  <c r="L92" i="16" s="1"/>
  <c r="K93" i="16"/>
  <c r="L93" i="16" s="1"/>
  <c r="K94" i="16"/>
  <c r="L94" i="16" s="1"/>
  <c r="K95" i="16"/>
  <c r="L95" i="16" s="1"/>
  <c r="K96" i="16"/>
  <c r="L96" i="16" s="1"/>
  <c r="K97" i="16"/>
  <c r="L97" i="16" s="1"/>
  <c r="K98" i="16"/>
  <c r="L98" i="16" s="1"/>
  <c r="K99" i="16"/>
  <c r="L99" i="16" s="1"/>
  <c r="K100" i="16"/>
  <c r="L100" i="16" s="1"/>
  <c r="K101" i="16"/>
  <c r="L101" i="16" s="1"/>
  <c r="K102" i="16"/>
  <c r="L102" i="16" s="1"/>
  <c r="K103" i="16"/>
  <c r="L103" i="16" s="1"/>
  <c r="L104" i="16"/>
  <c r="K105" i="16"/>
  <c r="L105" i="16" s="1"/>
  <c r="K106" i="16"/>
  <c r="L106" i="16" s="1"/>
  <c r="K107" i="16"/>
  <c r="L107" i="16" s="1"/>
  <c r="K108" i="16"/>
  <c r="L108" i="16" s="1"/>
  <c r="K109" i="16"/>
  <c r="L109" i="16" s="1"/>
  <c r="K110" i="16"/>
  <c r="L110" i="16" s="1"/>
  <c r="K111" i="16"/>
  <c r="K112" i="16"/>
  <c r="L112" i="16" s="1"/>
  <c r="K113" i="16"/>
  <c r="L113" i="16" s="1"/>
  <c r="K114" i="16"/>
  <c r="L114" i="16" s="1"/>
  <c r="K115" i="16"/>
  <c r="L115" i="16" s="1"/>
  <c r="K116" i="16"/>
  <c r="L116" i="16" s="1"/>
  <c r="K117" i="16"/>
  <c r="L117" i="16" s="1"/>
  <c r="K118" i="16"/>
  <c r="L118" i="16" s="1"/>
  <c r="K119" i="16"/>
  <c r="L119" i="16" s="1"/>
  <c r="K120" i="16"/>
  <c r="L120" i="16" s="1"/>
  <c r="K121" i="16"/>
  <c r="L121" i="16" s="1"/>
  <c r="K122" i="16"/>
  <c r="L122" i="16" s="1"/>
  <c r="K123" i="16"/>
  <c r="L123" i="16" s="1"/>
  <c r="K124" i="16"/>
  <c r="L124" i="16" s="1"/>
  <c r="K125" i="16"/>
  <c r="L125" i="16" s="1"/>
  <c r="K126" i="16"/>
  <c r="L126" i="16" s="1"/>
  <c r="K127" i="16"/>
  <c r="L127" i="16" s="1"/>
  <c r="K128" i="16"/>
  <c r="L128" i="16" s="1"/>
  <c r="K129" i="16"/>
  <c r="L129" i="16" s="1"/>
  <c r="K132" i="16"/>
  <c r="L132" i="16" s="1"/>
  <c r="K133" i="16"/>
  <c r="L133" i="16" s="1"/>
  <c r="K134" i="16"/>
  <c r="L134" i="16" s="1"/>
  <c r="K135" i="16"/>
  <c r="L135" i="16" s="1"/>
  <c r="K136" i="16"/>
  <c r="L136" i="16" s="1"/>
  <c r="K137" i="16"/>
  <c r="L137" i="16" s="1"/>
  <c r="K138" i="16"/>
  <c r="L138" i="16" s="1"/>
  <c r="K139" i="16"/>
  <c r="L139" i="16" s="1"/>
  <c r="K140" i="16"/>
  <c r="L140" i="16" s="1"/>
  <c r="K141" i="16"/>
  <c r="L141" i="16" s="1"/>
  <c r="K142" i="16"/>
  <c r="L142" i="16" s="1"/>
  <c r="K143" i="16"/>
  <c r="L143" i="16" s="1"/>
  <c r="K144" i="16"/>
  <c r="L144" i="16" s="1"/>
  <c r="K145" i="16"/>
  <c r="L145" i="16" s="1"/>
  <c r="K147" i="16"/>
  <c r="L147" i="16" s="1"/>
  <c r="K149" i="16"/>
  <c r="L149" i="16" s="1"/>
  <c r="K150" i="16"/>
  <c r="L150" i="16" s="1"/>
  <c r="K152" i="16"/>
  <c r="L152" i="16" s="1"/>
  <c r="K153" i="16"/>
  <c r="L153" i="16" s="1"/>
  <c r="K154" i="16"/>
  <c r="L154" i="16" s="1"/>
  <c r="K155" i="16"/>
  <c r="L155" i="16" s="1"/>
  <c r="K156" i="16"/>
  <c r="L156" i="16" s="1"/>
  <c r="K157" i="16"/>
  <c r="L157" i="16" s="1"/>
  <c r="K158" i="16"/>
  <c r="L158" i="16" s="1"/>
  <c r="K159" i="16"/>
  <c r="L159" i="16" s="1"/>
  <c r="K160" i="16"/>
  <c r="L160" i="16" s="1"/>
  <c r="K161" i="16"/>
  <c r="L161" i="16" s="1"/>
  <c r="K162" i="16"/>
  <c r="L162" i="16" s="1"/>
  <c r="K163" i="16"/>
  <c r="L163" i="16" s="1"/>
  <c r="K164" i="16"/>
  <c r="L164" i="16" s="1"/>
  <c r="K166" i="16"/>
  <c r="L166" i="16" s="1"/>
  <c r="L3" i="16"/>
  <c r="L4" i="16" l="1"/>
  <c r="K40" i="23" s="1"/>
  <c r="K39" i="23"/>
  <c r="L111" i="16"/>
  <c r="P180" i="24" s="1"/>
  <c r="P173" i="24"/>
  <c r="O65" i="23"/>
  <c r="K88" i="28" l="1"/>
  <c r="L88" i="28" s="1"/>
  <c r="L87" i="28"/>
  <c r="K85" i="28"/>
  <c r="K287" i="28" s="1"/>
  <c r="K83" i="28"/>
  <c r="L83" i="28" s="1"/>
  <c r="M83" i="28" s="1"/>
  <c r="N83" i="28" s="1"/>
  <c r="O83" i="28" s="1"/>
  <c r="P83" i="28" s="1"/>
  <c r="Q83" i="28" s="1"/>
  <c r="R83" i="28" s="1"/>
  <c r="S83" i="28" s="1"/>
  <c r="T83" i="28" s="1"/>
  <c r="U83" i="28" s="1"/>
  <c r="V83" i="28" s="1"/>
  <c r="W83" i="28" s="1"/>
  <c r="X83" i="28" s="1"/>
  <c r="Y83" i="28" s="1"/>
  <c r="Z83" i="28" s="1"/>
  <c r="AA83" i="28" s="1"/>
  <c r="AB83" i="28" s="1"/>
  <c r="AC83" i="28" s="1"/>
  <c r="AD83" i="28" s="1"/>
  <c r="AE83" i="28" s="1"/>
  <c r="AF83" i="28" s="1"/>
  <c r="AG83" i="28" s="1"/>
  <c r="AH83" i="28" s="1"/>
  <c r="AI83" i="28" s="1"/>
  <c r="AJ83" i="28" s="1"/>
  <c r="K82" i="28"/>
  <c r="L82" i="28" s="1"/>
  <c r="M82" i="28" s="1"/>
  <c r="N82" i="28" s="1"/>
  <c r="O82" i="28" s="1"/>
  <c r="P82" i="28" s="1"/>
  <c r="Q82" i="28" s="1"/>
  <c r="R82" i="28" s="1"/>
  <c r="S82" i="28" s="1"/>
  <c r="T82" i="28" s="1"/>
  <c r="U82" i="28" s="1"/>
  <c r="V82" i="28" s="1"/>
  <c r="W82" i="28" s="1"/>
  <c r="X82" i="28" s="1"/>
  <c r="Y82" i="28" s="1"/>
  <c r="Z82" i="28" s="1"/>
  <c r="AA82" i="28" s="1"/>
  <c r="AB82" i="28" s="1"/>
  <c r="AC82" i="28" s="1"/>
  <c r="AD82" i="28" s="1"/>
  <c r="AE82" i="28" s="1"/>
  <c r="AF82" i="28" s="1"/>
  <c r="AG82" i="28" s="1"/>
  <c r="AH82" i="28" s="1"/>
  <c r="AI82" i="28" s="1"/>
  <c r="AJ82" i="28" s="1"/>
  <c r="K81" i="28"/>
  <c r="L81" i="28" s="1"/>
  <c r="M81" i="28" s="1"/>
  <c r="N81" i="28" s="1"/>
  <c r="O81" i="28" s="1"/>
  <c r="P81" i="28" s="1"/>
  <c r="Q81" i="28" s="1"/>
  <c r="R81" i="28" s="1"/>
  <c r="S81" i="28" s="1"/>
  <c r="T81" i="28" s="1"/>
  <c r="U81" i="28" s="1"/>
  <c r="V81" i="28" s="1"/>
  <c r="W81" i="28" s="1"/>
  <c r="X81" i="28" s="1"/>
  <c r="Y81" i="28" s="1"/>
  <c r="Z81" i="28" s="1"/>
  <c r="AA81" i="28" s="1"/>
  <c r="AB81" i="28" s="1"/>
  <c r="AC81" i="28" s="1"/>
  <c r="AD81" i="28" s="1"/>
  <c r="AE81" i="28" s="1"/>
  <c r="AF81" i="28" s="1"/>
  <c r="AG81" i="28" s="1"/>
  <c r="AH81" i="28" s="1"/>
  <c r="AI81" i="28" s="1"/>
  <c r="AJ81" i="28" s="1"/>
  <c r="K79" i="28"/>
  <c r="L79" i="28" s="1"/>
  <c r="L140" i="28" s="1"/>
  <c r="K77" i="28"/>
  <c r="L77" i="28" s="1"/>
  <c r="M77" i="28" s="1"/>
  <c r="N77" i="28" s="1"/>
  <c r="O77" i="28" s="1"/>
  <c r="P77" i="28" s="1"/>
  <c r="Q77" i="28" s="1"/>
  <c r="R77" i="28" s="1"/>
  <c r="S77" i="28" s="1"/>
  <c r="T77" i="28" s="1"/>
  <c r="U77" i="28" s="1"/>
  <c r="V77" i="28" s="1"/>
  <c r="W77" i="28" s="1"/>
  <c r="X77" i="28" s="1"/>
  <c r="Y77" i="28" s="1"/>
  <c r="Z77" i="28" s="1"/>
  <c r="AA77" i="28" s="1"/>
  <c r="AB77" i="28" s="1"/>
  <c r="AC77" i="28" s="1"/>
  <c r="AD77" i="28" s="1"/>
  <c r="AE77" i="28" s="1"/>
  <c r="AF77" i="28" s="1"/>
  <c r="AG77" i="28" s="1"/>
  <c r="AH77" i="28" s="1"/>
  <c r="AI77" i="28" s="1"/>
  <c r="AJ77" i="28" s="1"/>
  <c r="K76" i="28"/>
  <c r="L76" i="28" s="1"/>
  <c r="M76" i="28" s="1"/>
  <c r="N76" i="28" s="1"/>
  <c r="O76" i="28" s="1"/>
  <c r="P76" i="28" s="1"/>
  <c r="Q76" i="28" s="1"/>
  <c r="R76" i="28" s="1"/>
  <c r="S76" i="28" s="1"/>
  <c r="T76" i="28" s="1"/>
  <c r="U76" i="28" s="1"/>
  <c r="V76" i="28" s="1"/>
  <c r="W76" i="28" s="1"/>
  <c r="X76" i="28" s="1"/>
  <c r="Y76" i="28" s="1"/>
  <c r="Z76" i="28" s="1"/>
  <c r="AA76" i="28" s="1"/>
  <c r="AB76" i="28" s="1"/>
  <c r="AC76" i="28" s="1"/>
  <c r="AD76" i="28" s="1"/>
  <c r="AE76" i="28" s="1"/>
  <c r="AF76" i="28" s="1"/>
  <c r="AG76" i="28" s="1"/>
  <c r="AH76" i="28" s="1"/>
  <c r="AI76" i="28" s="1"/>
  <c r="AJ76" i="28" s="1"/>
  <c r="K75" i="28"/>
  <c r="L75" i="28" s="1"/>
  <c r="M75" i="28" s="1"/>
  <c r="N75" i="28" s="1"/>
  <c r="O75" i="28" s="1"/>
  <c r="P75" i="28" s="1"/>
  <c r="Q75" i="28" s="1"/>
  <c r="R75" i="28" s="1"/>
  <c r="S75" i="28" s="1"/>
  <c r="T75" i="28" s="1"/>
  <c r="U75" i="28" s="1"/>
  <c r="V75" i="28" s="1"/>
  <c r="W75" i="28" s="1"/>
  <c r="X75" i="28" s="1"/>
  <c r="Y75" i="28" s="1"/>
  <c r="Z75" i="28" s="1"/>
  <c r="AA75" i="28" s="1"/>
  <c r="AB75" i="28" s="1"/>
  <c r="AC75" i="28" s="1"/>
  <c r="AD75" i="28" s="1"/>
  <c r="AE75" i="28" s="1"/>
  <c r="AF75" i="28" s="1"/>
  <c r="AG75" i="28" s="1"/>
  <c r="AH75" i="28" s="1"/>
  <c r="AI75" i="28" s="1"/>
  <c r="AJ75" i="28" s="1"/>
  <c r="K116" i="28" l="1"/>
  <c r="K238" i="28"/>
  <c r="K286" i="28"/>
  <c r="K92" i="28"/>
  <c r="K140" i="28"/>
  <c r="K262" i="28"/>
  <c r="L85" i="28"/>
  <c r="L287" i="28" s="1"/>
  <c r="K93" i="28"/>
  <c r="K141" i="28"/>
  <c r="K263" i="28"/>
  <c r="K117" i="28"/>
  <c r="K239" i="28"/>
  <c r="M87" i="28"/>
  <c r="L92" i="28"/>
  <c r="M79" i="28"/>
  <c r="L286" i="28"/>
  <c r="L238" i="28"/>
  <c r="L262" i="28"/>
  <c r="M88" i="28"/>
  <c r="N88" i="28" s="1"/>
  <c r="O88" i="28" s="1"/>
  <c r="L116" i="28"/>
  <c r="L239" i="28" l="1"/>
  <c r="L141" i="28"/>
  <c r="M85" i="28"/>
  <c r="N85" i="28" s="1"/>
  <c r="L93" i="28"/>
  <c r="L117" i="28"/>
  <c r="L263" i="28"/>
  <c r="N87" i="28"/>
  <c r="P88" i="28"/>
  <c r="Q88" i="28" s="1"/>
  <c r="R88" i="28" s="1"/>
  <c r="N79" i="28"/>
  <c r="M262" i="28"/>
  <c r="M238" i="28"/>
  <c r="M286" i="28"/>
  <c r="M140" i="28"/>
  <c r="M92" i="28"/>
  <c r="M116" i="28"/>
  <c r="M141" i="28" l="1"/>
  <c r="M287" i="28"/>
  <c r="M117" i="28"/>
  <c r="M239" i="28"/>
  <c r="M93" i="28"/>
  <c r="M263" i="28"/>
  <c r="O87" i="28"/>
  <c r="O79" i="28"/>
  <c r="N286" i="28"/>
  <c r="N238" i="28"/>
  <c r="N140" i="28"/>
  <c r="N262" i="28"/>
  <c r="N116" i="28"/>
  <c r="N92" i="28"/>
  <c r="S88" i="28"/>
  <c r="O85" i="28"/>
  <c r="N287" i="28"/>
  <c r="N263" i="28"/>
  <c r="N239" i="28"/>
  <c r="N141" i="28"/>
  <c r="N117" i="28"/>
  <c r="N93" i="28"/>
  <c r="N31" i="43"/>
  <c r="N21" i="43"/>
  <c r="N13" i="43"/>
  <c r="N20" i="42"/>
  <c r="N11" i="42"/>
  <c r="P87" i="28" l="1"/>
  <c r="P85" i="28"/>
  <c r="O263" i="28"/>
  <c r="O239" i="28"/>
  <c r="O287" i="28"/>
  <c r="O141" i="28"/>
  <c r="O93" i="28"/>
  <c r="O117" i="28"/>
  <c r="T88" i="28"/>
  <c r="P79" i="28"/>
  <c r="O262" i="28"/>
  <c r="O286" i="28"/>
  <c r="O238" i="28"/>
  <c r="O116" i="28"/>
  <c r="O140" i="28"/>
  <c r="O92" i="28"/>
  <c r="AC26" i="27"/>
  <c r="AC27" i="27"/>
  <c r="AC28" i="27"/>
  <c r="AC29" i="27"/>
  <c r="AC30" i="27"/>
  <c r="AC25" i="27"/>
  <c r="L71" i="28"/>
  <c r="M71" i="28" s="1"/>
  <c r="N71" i="28" s="1"/>
  <c r="O71" i="28" s="1"/>
  <c r="Q87" i="28" l="1"/>
  <c r="Q85" i="28"/>
  <c r="P287" i="28"/>
  <c r="P263" i="28"/>
  <c r="P239" i="28"/>
  <c r="P117" i="28"/>
  <c r="P93" i="28"/>
  <c r="P141" i="28"/>
  <c r="U88" i="28"/>
  <c r="Q79" i="28"/>
  <c r="P286" i="28"/>
  <c r="P262" i="28"/>
  <c r="P238" i="28"/>
  <c r="P116" i="28"/>
  <c r="P92" i="28"/>
  <c r="P140" i="28"/>
  <c r="P71" i="28"/>
  <c r="R87" i="28" l="1"/>
  <c r="V88" i="28"/>
  <c r="R85" i="28"/>
  <c r="Q287" i="28"/>
  <c r="Q239" i="28"/>
  <c r="Q263" i="28"/>
  <c r="Q117" i="28"/>
  <c r="Q141" i="28"/>
  <c r="Q93" i="28"/>
  <c r="R79" i="28"/>
  <c r="Q262" i="28"/>
  <c r="Q238" i="28"/>
  <c r="Q286" i="28"/>
  <c r="Q92" i="28"/>
  <c r="Q140" i="28"/>
  <c r="Q116" i="28"/>
  <c r="Q71" i="28"/>
  <c r="S87" i="28" l="1"/>
  <c r="S79" i="28"/>
  <c r="R286" i="28"/>
  <c r="R238" i="28"/>
  <c r="R262" i="28"/>
  <c r="R140" i="28"/>
  <c r="R116" i="28"/>
  <c r="R92" i="28"/>
  <c r="S85" i="28"/>
  <c r="R287" i="28"/>
  <c r="R239" i="28"/>
  <c r="R141" i="28"/>
  <c r="R93" i="28"/>
  <c r="R117" i="28"/>
  <c r="R263" i="28"/>
  <c r="W88" i="28"/>
  <c r="R71" i="28"/>
  <c r="T87" i="28" l="1"/>
  <c r="T85" i="28"/>
  <c r="S263" i="28"/>
  <c r="S239" i="28"/>
  <c r="S287" i="28"/>
  <c r="S141" i="28"/>
  <c r="S93" i="28"/>
  <c r="S117" i="28"/>
  <c r="X88" i="28"/>
  <c r="Y88" i="28" s="1"/>
  <c r="T79" i="28"/>
  <c r="S238" i="28"/>
  <c r="S286" i="28"/>
  <c r="S262" i="28"/>
  <c r="S140" i="28"/>
  <c r="S116" i="28"/>
  <c r="S92" i="28"/>
  <c r="S71" i="28"/>
  <c r="U87" i="28" l="1"/>
  <c r="U79" i="28"/>
  <c r="T286" i="28"/>
  <c r="T262" i="28"/>
  <c r="T238" i="28"/>
  <c r="T92" i="28"/>
  <c r="T140" i="28"/>
  <c r="T116" i="28"/>
  <c r="Z88" i="28"/>
  <c r="U85" i="28"/>
  <c r="T287" i="28"/>
  <c r="T263" i="28"/>
  <c r="T239" i="28"/>
  <c r="T117" i="28"/>
  <c r="T141" i="28"/>
  <c r="T93" i="28"/>
  <c r="T71" i="28"/>
  <c r="V87" i="28" l="1"/>
  <c r="AA88" i="28"/>
  <c r="V85" i="28"/>
  <c r="U263" i="28"/>
  <c r="U287" i="28"/>
  <c r="U141" i="28"/>
  <c r="U239" i="28"/>
  <c r="U117" i="28"/>
  <c r="U93" i="28"/>
  <c r="V79" i="28"/>
  <c r="U262" i="28"/>
  <c r="U238" i="28"/>
  <c r="U286" i="28"/>
  <c r="U140" i="28"/>
  <c r="U92" i="28"/>
  <c r="U116" i="28"/>
  <c r="U71" i="28"/>
  <c r="W87" i="28" l="1"/>
  <c r="AB88" i="28"/>
  <c r="W79" i="28"/>
  <c r="V286" i="28"/>
  <c r="V262" i="28"/>
  <c r="V238" i="28"/>
  <c r="V140" i="28"/>
  <c r="V116" i="28"/>
  <c r="V92" i="28"/>
  <c r="W85" i="28"/>
  <c r="V287" i="28"/>
  <c r="V239" i="28"/>
  <c r="V263" i="28"/>
  <c r="V141" i="28"/>
  <c r="V117" i="28"/>
  <c r="V93" i="28"/>
  <c r="V71" i="28"/>
  <c r="X87" i="28" l="1"/>
  <c r="X85" i="28"/>
  <c r="W263" i="28"/>
  <c r="W239" i="28"/>
  <c r="W141" i="28"/>
  <c r="W287" i="28"/>
  <c r="W93" i="28"/>
  <c r="W117" i="28"/>
  <c r="AC88" i="28"/>
  <c r="X79" i="28"/>
  <c r="W238" i="28"/>
  <c r="W286" i="28"/>
  <c r="W262" i="28"/>
  <c r="W140" i="28"/>
  <c r="W116" i="28"/>
  <c r="W92" i="28"/>
  <c r="W71" i="28"/>
  <c r="Y87" i="28" l="1"/>
  <c r="Y79" i="28"/>
  <c r="X286" i="28"/>
  <c r="X238" i="28"/>
  <c r="X262" i="28"/>
  <c r="X116" i="28"/>
  <c r="X92" i="28"/>
  <c r="X140" i="28"/>
  <c r="AD88" i="28"/>
  <c r="Y85" i="28"/>
  <c r="X287" i="28"/>
  <c r="X239" i="28"/>
  <c r="X141" i="28"/>
  <c r="X263" i="28"/>
  <c r="X117" i="28"/>
  <c r="X93" i="28"/>
  <c r="X71" i="28"/>
  <c r="Z87" i="28" l="1"/>
  <c r="Z85" i="28"/>
  <c r="Y287" i="28"/>
  <c r="Y263" i="28"/>
  <c r="Y239" i="28"/>
  <c r="Y141" i="28"/>
  <c r="Y117" i="28"/>
  <c r="Y93" i="28"/>
  <c r="AE88" i="28"/>
  <c r="Z79" i="28"/>
  <c r="Y262" i="28"/>
  <c r="Y238" i="28"/>
  <c r="Y92" i="28"/>
  <c r="Y140" i="28"/>
  <c r="Y286" i="28"/>
  <c r="Y116" i="28"/>
  <c r="Y71" i="28"/>
  <c r="AA87" i="28" l="1"/>
  <c r="AF88" i="28"/>
  <c r="AG88" i="28" s="1"/>
  <c r="AA79" i="28"/>
  <c r="Z286" i="28"/>
  <c r="Z262" i="28"/>
  <c r="Z238" i="28"/>
  <c r="Z140" i="28"/>
  <c r="Z116" i="28"/>
  <c r="Z92" i="28"/>
  <c r="AA85" i="28"/>
  <c r="Z287" i="28"/>
  <c r="Z263" i="28"/>
  <c r="Z141" i="28"/>
  <c r="Z93" i="28"/>
  <c r="Z117" i="28"/>
  <c r="Z239" i="28"/>
  <c r="Z71" i="28"/>
  <c r="AB87" i="28" l="1"/>
  <c r="AB85" i="28"/>
  <c r="AA263" i="28"/>
  <c r="AA239" i="28"/>
  <c r="AA287" i="28"/>
  <c r="AA93" i="28"/>
  <c r="AA141" i="28"/>
  <c r="AA117" i="28"/>
  <c r="AB79" i="28"/>
  <c r="AA262" i="28"/>
  <c r="AA286" i="28"/>
  <c r="AA238" i="28"/>
  <c r="AA140" i="28"/>
  <c r="AA116" i="28"/>
  <c r="AA92" i="28"/>
  <c r="AH88" i="28"/>
  <c r="AA71" i="28"/>
  <c r="AC87" i="28" l="1"/>
  <c r="AC79" i="28"/>
  <c r="AB286" i="28"/>
  <c r="AB238" i="28"/>
  <c r="AB262" i="28"/>
  <c r="AB92" i="28"/>
  <c r="AB140" i="28"/>
  <c r="AB116" i="28"/>
  <c r="AI88" i="28"/>
  <c r="AC85" i="28"/>
  <c r="AB287" i="28"/>
  <c r="AB239" i="28"/>
  <c r="AB263" i="28"/>
  <c r="AB141" i="28"/>
  <c r="AB117" i="28"/>
  <c r="AB93" i="28"/>
  <c r="AB71" i="28"/>
  <c r="AD87" i="28" l="1"/>
  <c r="AD79" i="28"/>
  <c r="AC262" i="28"/>
  <c r="AC238" i="28"/>
  <c r="AC286" i="28"/>
  <c r="AC140" i="28"/>
  <c r="AC92" i="28"/>
  <c r="AC116" i="28"/>
  <c r="AJ88" i="28"/>
  <c r="AD85" i="28"/>
  <c r="AC239" i="28"/>
  <c r="AC287" i="28"/>
  <c r="AC263" i="28"/>
  <c r="AC141" i="28"/>
  <c r="AC117" i="28"/>
  <c r="AC93" i="28"/>
  <c r="AC71" i="28"/>
  <c r="AE87" i="28" l="1"/>
  <c r="AE85" i="28"/>
  <c r="AD287" i="28"/>
  <c r="AD263" i="28"/>
  <c r="AD239" i="28"/>
  <c r="AD141" i="28"/>
  <c r="AD117" i="28"/>
  <c r="AD93" i="28"/>
  <c r="AE79" i="28"/>
  <c r="AD286" i="28"/>
  <c r="AD238" i="28"/>
  <c r="AD140" i="28"/>
  <c r="AD116" i="28"/>
  <c r="AD92" i="28"/>
  <c r="AD262" i="28"/>
  <c r="AD71" i="28"/>
  <c r="AF87" i="28" l="1"/>
  <c r="AF79" i="28"/>
  <c r="AE262" i="28"/>
  <c r="AE286" i="28"/>
  <c r="AE238" i="28"/>
  <c r="AE116" i="28"/>
  <c r="AE140" i="28"/>
  <c r="AE92" i="28"/>
  <c r="AF85" i="28"/>
  <c r="AE263" i="28"/>
  <c r="AE239" i="28"/>
  <c r="AE93" i="28"/>
  <c r="AE141" i="28"/>
  <c r="AE287" i="28"/>
  <c r="AE117" i="28"/>
  <c r="AE71" i="28"/>
  <c r="AG87" i="28" l="1"/>
  <c r="AG79" i="28"/>
  <c r="AF286" i="28"/>
  <c r="AF262" i="28"/>
  <c r="AF116" i="28"/>
  <c r="AF92" i="28"/>
  <c r="AF238" i="28"/>
  <c r="AF140" i="28"/>
  <c r="AG85" i="28"/>
  <c r="AF287" i="28"/>
  <c r="AF263" i="28"/>
  <c r="AF141" i="28"/>
  <c r="AF239" i="28"/>
  <c r="AF117" i="28"/>
  <c r="AF93" i="28"/>
  <c r="AF71" i="28"/>
  <c r="AH87" i="28" l="1"/>
  <c r="AH85" i="28"/>
  <c r="AG287" i="28"/>
  <c r="AG239" i="28"/>
  <c r="AG263" i="28"/>
  <c r="AG141" i="28"/>
  <c r="AG117" i="28"/>
  <c r="AG93" i="28"/>
  <c r="AH79" i="28"/>
  <c r="AG262" i="28"/>
  <c r="AG238" i="28"/>
  <c r="AG92" i="28"/>
  <c r="AG140" i="28"/>
  <c r="AG286" i="28"/>
  <c r="AG116" i="28"/>
  <c r="AG71" i="28"/>
  <c r="AI87" i="28" l="1"/>
  <c r="AI79" i="28"/>
  <c r="AH286" i="28"/>
  <c r="AH238" i="28"/>
  <c r="AH262" i="28"/>
  <c r="AH140" i="28"/>
  <c r="AH116" i="28"/>
  <c r="AH92" i="28"/>
  <c r="AI85" i="28"/>
  <c r="AH287" i="28"/>
  <c r="AH239" i="28"/>
  <c r="AH141" i="28"/>
  <c r="AH263" i="28"/>
  <c r="AH117" i="28"/>
  <c r="AH93" i="28"/>
  <c r="AH71" i="28"/>
  <c r="AJ87" i="28" l="1"/>
  <c r="AJ85" i="28"/>
  <c r="AI263" i="28"/>
  <c r="AI239" i="28"/>
  <c r="AI287" i="28"/>
  <c r="AI141" i="28"/>
  <c r="AI93" i="28"/>
  <c r="AI117" i="28"/>
  <c r="AJ79" i="28"/>
  <c r="AI238" i="28"/>
  <c r="AI286" i="28"/>
  <c r="AI262" i="28"/>
  <c r="AI140" i="28"/>
  <c r="AI116" i="28"/>
  <c r="AI92" i="28"/>
  <c r="AI71" i="28"/>
  <c r="AJ286" i="28" l="1"/>
  <c r="AJ262" i="28"/>
  <c r="AJ238" i="28"/>
  <c r="AJ140" i="28"/>
  <c r="AJ92" i="28"/>
  <c r="AJ116" i="28"/>
  <c r="AJ287" i="28"/>
  <c r="AJ263" i="28"/>
  <c r="AJ239" i="28"/>
  <c r="AJ117" i="28"/>
  <c r="AJ141" i="28"/>
  <c r="AJ93" i="28"/>
  <c r="AJ71" i="28"/>
  <c r="AC47" i="28" l="1"/>
  <c r="AC46" i="28"/>
  <c r="AC44" i="28"/>
  <c r="AC42" i="28"/>
  <c r="AC41" i="28"/>
  <c r="AC38" i="28"/>
  <c r="AC37" i="28"/>
  <c r="AC36" i="28"/>
  <c r="AC32" i="28"/>
  <c r="AC27" i="28"/>
  <c r="AC25" i="28"/>
  <c r="AC23" i="28"/>
  <c r="Q47" i="28"/>
  <c r="Q46" i="28"/>
  <c r="Q44" i="28"/>
  <c r="Q42" i="28"/>
  <c r="Q41" i="28"/>
  <c r="Q38" i="28"/>
  <c r="Q37" i="28"/>
  <c r="Q36" i="28"/>
  <c r="Q32" i="28"/>
  <c r="Q27" i="28"/>
  <c r="Q25" i="28"/>
  <c r="Q23" i="28"/>
  <c r="O156" i="24"/>
  <c r="K32" i="28"/>
  <c r="K38" i="28"/>
  <c r="K37" i="28"/>
  <c r="K36" i="28"/>
  <c r="K27" i="28"/>
  <c r="K23" i="28"/>
  <c r="K25" i="28"/>
  <c r="Y29" i="25"/>
  <c r="Y30" i="25"/>
  <c r="Y31" i="25"/>
  <c r="Y28" i="25"/>
  <c r="M29" i="25"/>
  <c r="M30" i="25"/>
  <c r="M31" i="25"/>
  <c r="M28" i="25"/>
  <c r="G29" i="25"/>
  <c r="G30" i="25"/>
  <c r="G31" i="25"/>
  <c r="G28" i="25"/>
  <c r="N151" i="28" l="1"/>
  <c r="V151" i="28"/>
  <c r="AD151" i="28"/>
  <c r="X151" i="28"/>
  <c r="AF151" i="28"/>
  <c r="Q151" i="28"/>
  <c r="AG151" i="28"/>
  <c r="Z151" i="28"/>
  <c r="AA151" i="28"/>
  <c r="T151" i="28"/>
  <c r="AJ151" i="28"/>
  <c r="M151" i="28"/>
  <c r="K151" i="28"/>
  <c r="O151" i="28"/>
  <c r="W151" i="28"/>
  <c r="AE151" i="28"/>
  <c r="P151" i="28"/>
  <c r="Y151" i="28"/>
  <c r="R151" i="28"/>
  <c r="AH151" i="28"/>
  <c r="S151" i="28"/>
  <c r="AI151" i="28"/>
  <c r="L151" i="28"/>
  <c r="AB151" i="28"/>
  <c r="U151" i="28"/>
  <c r="AC151" i="28"/>
  <c r="AJ152" i="28"/>
  <c r="K152" i="28"/>
  <c r="L152" i="28"/>
  <c r="M152" i="28"/>
  <c r="N152" i="28"/>
  <c r="O152" i="28"/>
  <c r="P152" i="28"/>
  <c r="Q152" i="28"/>
  <c r="R152" i="28"/>
  <c r="S152" i="28"/>
  <c r="T152" i="28"/>
  <c r="U152" i="28"/>
  <c r="V152" i="28"/>
  <c r="W152" i="28"/>
  <c r="X152" i="28"/>
  <c r="Y152" i="28"/>
  <c r="Z152" i="28"/>
  <c r="AA152" i="28"/>
  <c r="AB152" i="28"/>
  <c r="AC152" i="28"/>
  <c r="AD152" i="28"/>
  <c r="AE152" i="28"/>
  <c r="AF152" i="28"/>
  <c r="AG152" i="28"/>
  <c r="AH152" i="28"/>
  <c r="AI152" i="28"/>
  <c r="AJ128" i="28"/>
  <c r="P127" i="28"/>
  <c r="X127" i="28"/>
  <c r="AF127" i="28"/>
  <c r="AJ127" i="28"/>
  <c r="V127" i="28"/>
  <c r="O127" i="28"/>
  <c r="K128" i="28"/>
  <c r="Q127" i="28"/>
  <c r="Y127" i="28"/>
  <c r="AG127" i="28"/>
  <c r="AI127" i="28"/>
  <c r="L127" i="28"/>
  <c r="U127" i="28"/>
  <c r="W127" i="28"/>
  <c r="R127" i="28"/>
  <c r="Z127" i="28"/>
  <c r="AH127" i="28"/>
  <c r="AA127" i="28"/>
  <c r="T127" i="28"/>
  <c r="M127" i="28"/>
  <c r="N127" i="28"/>
  <c r="AE127" i="28"/>
  <c r="S127" i="28"/>
  <c r="AB127" i="28"/>
  <c r="AC127" i="28"/>
  <c r="AD127" i="28"/>
  <c r="L128" i="28"/>
  <c r="M128" i="28"/>
  <c r="N128" i="28"/>
  <c r="O128" i="28"/>
  <c r="P128" i="28"/>
  <c r="Q128" i="28"/>
  <c r="R128" i="28"/>
  <c r="S128" i="28"/>
  <c r="T128" i="28"/>
  <c r="U128" i="28"/>
  <c r="V128" i="28"/>
  <c r="W128" i="28"/>
  <c r="X128" i="28"/>
  <c r="Y128" i="28"/>
  <c r="Z128" i="28"/>
  <c r="AA128" i="28"/>
  <c r="AB128" i="28"/>
  <c r="AC128" i="28"/>
  <c r="AD128" i="28"/>
  <c r="AE128" i="28"/>
  <c r="AF128" i="28"/>
  <c r="AG128" i="28"/>
  <c r="AH128" i="28"/>
  <c r="AI128" i="28"/>
  <c r="K127" i="28"/>
  <c r="AC21" i="19"/>
  <c r="AC20" i="19"/>
  <c r="AC19" i="19"/>
  <c r="AC18" i="19"/>
  <c r="Q117" i="24" l="1"/>
  <c r="AC17" i="27" s="1"/>
  <c r="P117" i="24"/>
  <c r="O117" i="24"/>
  <c r="Q116" i="24"/>
  <c r="AC16" i="27" s="1"/>
  <c r="P116" i="24"/>
  <c r="Q16" i="27" s="1"/>
  <c r="Q20" i="27" s="1"/>
  <c r="O116" i="24"/>
  <c r="K16" i="27" s="1"/>
  <c r="Q115" i="24"/>
  <c r="AC15" i="27" s="1"/>
  <c r="AC19" i="27" s="1"/>
  <c r="P115" i="24"/>
  <c r="Q15" i="27" s="1"/>
  <c r="Q19" i="27" s="1"/>
  <c r="O115" i="24"/>
  <c r="Q156" i="24"/>
  <c r="P156" i="24"/>
  <c r="AC21" i="27" l="1"/>
  <c r="AC20" i="27"/>
  <c r="Q17" i="27"/>
  <c r="Q21" i="27" s="1"/>
  <c r="K17" i="27"/>
  <c r="K21" i="27" s="1"/>
  <c r="K15" i="27"/>
  <c r="K19" i="27" s="1"/>
  <c r="K20" i="27"/>
  <c r="AC37" i="26"/>
  <c r="Q37" i="26"/>
  <c r="K37" i="26"/>
  <c r="W33" i="30" l="1"/>
  <c r="W28" i="30"/>
  <c r="W23" i="30"/>
  <c r="W18" i="30"/>
  <c r="W13" i="30"/>
  <c r="W48" i="30"/>
  <c r="W43" i="30"/>
  <c r="W38" i="30"/>
  <c r="J48" i="48"/>
  <c r="J47" i="48"/>
  <c r="J45" i="48"/>
  <c r="J43" i="48"/>
  <c r="J42" i="48"/>
  <c r="J38" i="48"/>
  <c r="J39" i="48"/>
  <c r="J37" i="48"/>
  <c r="J35" i="48"/>
  <c r="I35" i="48"/>
  <c r="J27" i="48"/>
  <c r="J28" i="48"/>
  <c r="J29" i="48"/>
  <c r="J26" i="48"/>
  <c r="J23" i="48"/>
  <c r="J21" i="48"/>
  <c r="J20" i="48"/>
  <c r="AC31" i="25"/>
  <c r="AC30" i="25"/>
  <c r="AC29" i="25"/>
  <c r="AC28" i="25"/>
  <c r="AB48" i="48"/>
  <c r="AB47" i="48"/>
  <c r="AB45" i="48"/>
  <c r="AB43" i="48"/>
  <c r="AB42" i="48"/>
  <c r="AB38" i="48"/>
  <c r="AB39" i="48"/>
  <c r="AB37" i="48"/>
  <c r="AB35" i="48"/>
  <c r="AA35" i="48"/>
  <c r="AB27" i="48"/>
  <c r="AB28" i="48"/>
  <c r="AB29" i="48"/>
  <c r="AB26" i="48"/>
  <c r="AB23" i="48"/>
  <c r="AB21" i="48"/>
  <c r="AA18" i="48"/>
  <c r="M38" i="42" l="1"/>
  <c r="N53" i="42"/>
  <c r="N38" i="42"/>
  <c r="L38" i="42"/>
  <c r="M53" i="42"/>
  <c r="M39" i="42"/>
  <c r="M54" i="42"/>
  <c r="N39" i="42"/>
  <c r="N54" i="42"/>
  <c r="L39" i="42"/>
  <c r="M49" i="42"/>
  <c r="K88" i="48"/>
  <c r="L88" i="48" s="1"/>
  <c r="L87" i="48"/>
  <c r="M87" i="48" s="1"/>
  <c r="N87" i="48" s="1"/>
  <c r="O87" i="48" s="1"/>
  <c r="P87" i="48" s="1"/>
  <c r="Q87" i="48" s="1"/>
  <c r="R87" i="48" s="1"/>
  <c r="S87" i="48" s="1"/>
  <c r="T87" i="48" s="1"/>
  <c r="U87" i="48" s="1"/>
  <c r="V87" i="48" s="1"/>
  <c r="W87" i="48" s="1"/>
  <c r="X87" i="48" s="1"/>
  <c r="Y87" i="48" s="1"/>
  <c r="Z87" i="48" s="1"/>
  <c r="AA87" i="48" s="1"/>
  <c r="AB87" i="48" s="1"/>
  <c r="AC87" i="48" s="1"/>
  <c r="AD87" i="48" s="1"/>
  <c r="AE87" i="48" s="1"/>
  <c r="AF87" i="48" s="1"/>
  <c r="AG87" i="48" s="1"/>
  <c r="AH87" i="48" s="1"/>
  <c r="AI87" i="48" s="1"/>
  <c r="AJ87" i="48" s="1"/>
  <c r="K85" i="48"/>
  <c r="K83" i="48"/>
  <c r="L83" i="48" s="1"/>
  <c r="M83" i="48" s="1"/>
  <c r="N83" i="48" s="1"/>
  <c r="O83" i="48" s="1"/>
  <c r="P83" i="48" s="1"/>
  <c r="Q83" i="48" s="1"/>
  <c r="R83" i="48" s="1"/>
  <c r="S83" i="48" s="1"/>
  <c r="T83" i="48" s="1"/>
  <c r="U83" i="48" s="1"/>
  <c r="V83" i="48" s="1"/>
  <c r="W83" i="48" s="1"/>
  <c r="X83" i="48" s="1"/>
  <c r="Y83" i="48" s="1"/>
  <c r="Z83" i="48" s="1"/>
  <c r="AA83" i="48" s="1"/>
  <c r="AB83" i="48" s="1"/>
  <c r="AC83" i="48" s="1"/>
  <c r="AD83" i="48" s="1"/>
  <c r="AE83" i="48" s="1"/>
  <c r="AF83" i="48" s="1"/>
  <c r="AG83" i="48" s="1"/>
  <c r="AH83" i="48" s="1"/>
  <c r="AI83" i="48" s="1"/>
  <c r="AJ83" i="48" s="1"/>
  <c r="K82" i="48"/>
  <c r="K81" i="48"/>
  <c r="L81" i="48" s="1"/>
  <c r="M81" i="48" s="1"/>
  <c r="N81" i="48" s="1"/>
  <c r="O81" i="48" s="1"/>
  <c r="P81" i="48" s="1"/>
  <c r="Q81" i="48" s="1"/>
  <c r="R81" i="48" s="1"/>
  <c r="S81" i="48" s="1"/>
  <c r="T81" i="48" s="1"/>
  <c r="U81" i="48" s="1"/>
  <c r="V81" i="48" s="1"/>
  <c r="W81" i="48" s="1"/>
  <c r="X81" i="48" s="1"/>
  <c r="Y81" i="48" s="1"/>
  <c r="Z81" i="48" s="1"/>
  <c r="AA81" i="48" s="1"/>
  <c r="AB81" i="48" s="1"/>
  <c r="AC81" i="48" s="1"/>
  <c r="AD81" i="48" s="1"/>
  <c r="AE81" i="48" s="1"/>
  <c r="AF81" i="48" s="1"/>
  <c r="AG81" i="48" s="1"/>
  <c r="AH81" i="48" s="1"/>
  <c r="AI81" i="48" s="1"/>
  <c r="AJ81" i="48" s="1"/>
  <c r="K79" i="48"/>
  <c r="K77" i="48"/>
  <c r="L77" i="48" s="1"/>
  <c r="M77" i="48" s="1"/>
  <c r="N77" i="48" s="1"/>
  <c r="O77" i="48" s="1"/>
  <c r="P77" i="48" s="1"/>
  <c r="Q77" i="48" s="1"/>
  <c r="R77" i="48" s="1"/>
  <c r="S77" i="48" s="1"/>
  <c r="T77" i="48" s="1"/>
  <c r="U77" i="48" s="1"/>
  <c r="V77" i="48" s="1"/>
  <c r="W77" i="48" s="1"/>
  <c r="X77" i="48" s="1"/>
  <c r="Y77" i="48" s="1"/>
  <c r="Z77" i="48" s="1"/>
  <c r="AA77" i="48" s="1"/>
  <c r="AB77" i="48" s="1"/>
  <c r="AC77" i="48" s="1"/>
  <c r="AD77" i="48" s="1"/>
  <c r="AE77" i="48" s="1"/>
  <c r="AF77" i="48" s="1"/>
  <c r="AG77" i="48" s="1"/>
  <c r="AH77" i="48" s="1"/>
  <c r="AI77" i="48" s="1"/>
  <c r="AJ77" i="48" s="1"/>
  <c r="K76" i="48"/>
  <c r="K165" i="48" s="1"/>
  <c r="K75" i="48"/>
  <c r="L75" i="48" s="1"/>
  <c r="M75" i="48" s="1"/>
  <c r="N75" i="48" s="1"/>
  <c r="O75" i="48" s="1"/>
  <c r="P75" i="48" s="1"/>
  <c r="Q75" i="48" s="1"/>
  <c r="R75" i="48" s="1"/>
  <c r="S75" i="48" s="1"/>
  <c r="T75" i="48" s="1"/>
  <c r="U75" i="48" s="1"/>
  <c r="V75" i="48" s="1"/>
  <c r="W75" i="48" s="1"/>
  <c r="X75" i="48" s="1"/>
  <c r="Y75" i="48" s="1"/>
  <c r="Z75" i="48" s="1"/>
  <c r="AA75" i="48" s="1"/>
  <c r="AB75" i="48" s="1"/>
  <c r="AC75" i="48" s="1"/>
  <c r="AD75" i="48" s="1"/>
  <c r="AE75" i="48" s="1"/>
  <c r="AF75" i="48" s="1"/>
  <c r="AG75" i="48" s="1"/>
  <c r="AH75" i="48" s="1"/>
  <c r="AI75" i="48" s="1"/>
  <c r="AJ75" i="48" s="1"/>
  <c r="L71" i="48"/>
  <c r="M71" i="48" s="1"/>
  <c r="AC48" i="48"/>
  <c r="K48" i="48"/>
  <c r="AC47" i="48"/>
  <c r="K47" i="48"/>
  <c r="AC45" i="48"/>
  <c r="K45" i="48"/>
  <c r="AC43" i="48"/>
  <c r="K43" i="48"/>
  <c r="AC42" i="48"/>
  <c r="K42" i="48"/>
  <c r="AC39" i="48"/>
  <c r="K39" i="48"/>
  <c r="AC38" i="48"/>
  <c r="K38" i="48"/>
  <c r="AC37" i="48"/>
  <c r="K37" i="48"/>
  <c r="AC35" i="48"/>
  <c r="K35" i="48"/>
  <c r="AC29" i="48"/>
  <c r="K29" i="48"/>
  <c r="AC28" i="48"/>
  <c r="K28" i="48"/>
  <c r="AC27" i="48"/>
  <c r="K27" i="48"/>
  <c r="AC26" i="48"/>
  <c r="K26" i="48"/>
  <c r="AC23" i="48"/>
  <c r="K23" i="48"/>
  <c r="K88" i="45"/>
  <c r="L88" i="45" s="1"/>
  <c r="L87" i="45"/>
  <c r="M87" i="45" s="1"/>
  <c r="N87" i="45" s="1"/>
  <c r="O87" i="45" s="1"/>
  <c r="P87" i="45" s="1"/>
  <c r="Q87" i="45" s="1"/>
  <c r="R87" i="45" s="1"/>
  <c r="S87" i="45" s="1"/>
  <c r="T87" i="45" s="1"/>
  <c r="U87" i="45" s="1"/>
  <c r="V87" i="45" s="1"/>
  <c r="W87" i="45" s="1"/>
  <c r="X87" i="45" s="1"/>
  <c r="Y87" i="45" s="1"/>
  <c r="Z87" i="45" s="1"/>
  <c r="AA87" i="45" s="1"/>
  <c r="AB87" i="45" s="1"/>
  <c r="AC87" i="45" s="1"/>
  <c r="AD87" i="45" s="1"/>
  <c r="AE87" i="45" s="1"/>
  <c r="AF87" i="45" s="1"/>
  <c r="AG87" i="45" s="1"/>
  <c r="AH87" i="45" s="1"/>
  <c r="AI87" i="45" s="1"/>
  <c r="AJ87" i="45" s="1"/>
  <c r="K85" i="45"/>
  <c r="L85" i="45" s="1"/>
  <c r="M85" i="45" s="1"/>
  <c r="K83" i="45"/>
  <c r="L83" i="45" s="1"/>
  <c r="K82" i="45"/>
  <c r="L82" i="45" s="1"/>
  <c r="M82" i="45" s="1"/>
  <c r="N82" i="45" s="1"/>
  <c r="O82" i="45" s="1"/>
  <c r="P82" i="45" s="1"/>
  <c r="Q82" i="45" s="1"/>
  <c r="R82" i="45" s="1"/>
  <c r="S82" i="45" s="1"/>
  <c r="T82" i="45" s="1"/>
  <c r="U82" i="45" s="1"/>
  <c r="V82" i="45" s="1"/>
  <c r="W82" i="45" s="1"/>
  <c r="X82" i="45" s="1"/>
  <c r="Y82" i="45" s="1"/>
  <c r="Z82" i="45" s="1"/>
  <c r="AA82" i="45" s="1"/>
  <c r="AB82" i="45" s="1"/>
  <c r="AC82" i="45" s="1"/>
  <c r="AD82" i="45" s="1"/>
  <c r="AE82" i="45" s="1"/>
  <c r="AF82" i="45" s="1"/>
  <c r="AG82" i="45" s="1"/>
  <c r="AH82" i="45" s="1"/>
  <c r="AI82" i="45" s="1"/>
  <c r="AJ82" i="45" s="1"/>
  <c r="K81" i="45"/>
  <c r="L81" i="45" s="1"/>
  <c r="M81" i="45" s="1"/>
  <c r="N81" i="45" s="1"/>
  <c r="O81" i="45" s="1"/>
  <c r="P81" i="45" s="1"/>
  <c r="Q81" i="45" s="1"/>
  <c r="R81" i="45" s="1"/>
  <c r="S81" i="45" s="1"/>
  <c r="T81" i="45" s="1"/>
  <c r="U81" i="45" s="1"/>
  <c r="V81" i="45" s="1"/>
  <c r="W81" i="45" s="1"/>
  <c r="X81" i="45" s="1"/>
  <c r="Y81" i="45" s="1"/>
  <c r="Z81" i="45" s="1"/>
  <c r="AA81" i="45" s="1"/>
  <c r="AB81" i="45" s="1"/>
  <c r="AC81" i="45" s="1"/>
  <c r="AD81" i="45" s="1"/>
  <c r="AE81" i="45" s="1"/>
  <c r="AF81" i="45" s="1"/>
  <c r="AG81" i="45" s="1"/>
  <c r="AH81" i="45" s="1"/>
  <c r="AI81" i="45" s="1"/>
  <c r="AJ81" i="45" s="1"/>
  <c r="K79" i="45"/>
  <c r="L79" i="45" s="1"/>
  <c r="K77" i="45"/>
  <c r="L77" i="45" s="1"/>
  <c r="K76" i="45"/>
  <c r="L76" i="45" s="1"/>
  <c r="M76" i="45" s="1"/>
  <c r="N76" i="45" s="1"/>
  <c r="O76" i="45" s="1"/>
  <c r="P76" i="45" s="1"/>
  <c r="Q76" i="45" s="1"/>
  <c r="R76" i="45" s="1"/>
  <c r="S76" i="45" s="1"/>
  <c r="T76" i="45" s="1"/>
  <c r="U76" i="45" s="1"/>
  <c r="V76" i="45" s="1"/>
  <c r="W76" i="45" s="1"/>
  <c r="X76" i="45" s="1"/>
  <c r="Y76" i="45" s="1"/>
  <c r="Z76" i="45" s="1"/>
  <c r="AA76" i="45" s="1"/>
  <c r="AB76" i="45" s="1"/>
  <c r="AC76" i="45" s="1"/>
  <c r="AD76" i="45" s="1"/>
  <c r="AE76" i="45" s="1"/>
  <c r="AF76" i="45" s="1"/>
  <c r="AG76" i="45" s="1"/>
  <c r="AH76" i="45" s="1"/>
  <c r="AI76" i="45" s="1"/>
  <c r="AJ76" i="45" s="1"/>
  <c r="K75" i="45"/>
  <c r="L75" i="45" s="1"/>
  <c r="M75" i="45" s="1"/>
  <c r="N75" i="45" s="1"/>
  <c r="O75" i="45" s="1"/>
  <c r="P75" i="45" s="1"/>
  <c r="Q75" i="45" s="1"/>
  <c r="R75" i="45" s="1"/>
  <c r="S75" i="45" s="1"/>
  <c r="T75" i="45" s="1"/>
  <c r="U75" i="45" s="1"/>
  <c r="V75" i="45" s="1"/>
  <c r="W75" i="45" s="1"/>
  <c r="X75" i="45" s="1"/>
  <c r="Y75" i="45" s="1"/>
  <c r="Z75" i="45" s="1"/>
  <c r="AA75" i="45" s="1"/>
  <c r="AB75" i="45" s="1"/>
  <c r="AC75" i="45" s="1"/>
  <c r="AD75" i="45" s="1"/>
  <c r="AE75" i="45" s="1"/>
  <c r="AF75" i="45" s="1"/>
  <c r="AG75" i="45" s="1"/>
  <c r="AH75" i="45" s="1"/>
  <c r="AI75" i="45" s="1"/>
  <c r="AJ75" i="45" s="1"/>
  <c r="L71" i="45"/>
  <c r="Q42" i="45"/>
  <c r="Q41" i="45"/>
  <c r="Q40" i="45"/>
  <c r="Q39" i="45"/>
  <c r="Q37" i="45"/>
  <c r="Q36" i="45"/>
  <c r="Q30" i="45"/>
  <c r="Q24" i="45"/>
  <c r="K24" i="45"/>
  <c r="Q23" i="45"/>
  <c r="K23" i="45"/>
  <c r="Q22" i="45"/>
  <c r="K22" i="45"/>
  <c r="Q21" i="45"/>
  <c r="K21" i="45"/>
  <c r="Q19" i="45"/>
  <c r="K19" i="45"/>
  <c r="Q18" i="45"/>
  <c r="K18" i="45"/>
  <c r="Q11" i="45"/>
  <c r="K11" i="45"/>
  <c r="B7" i="45"/>
  <c r="K88" i="44"/>
  <c r="L88" i="44" s="1"/>
  <c r="M88" i="44" s="1"/>
  <c r="L87" i="44"/>
  <c r="M87" i="44" s="1"/>
  <c r="N87" i="44" s="1"/>
  <c r="O87" i="44" s="1"/>
  <c r="P87" i="44" s="1"/>
  <c r="Q87" i="44" s="1"/>
  <c r="R87" i="44" s="1"/>
  <c r="S87" i="44" s="1"/>
  <c r="T87" i="44" s="1"/>
  <c r="U87" i="44" s="1"/>
  <c r="V87" i="44" s="1"/>
  <c r="W87" i="44" s="1"/>
  <c r="X87" i="44" s="1"/>
  <c r="Y87" i="44" s="1"/>
  <c r="Z87" i="44" s="1"/>
  <c r="AA87" i="44" s="1"/>
  <c r="AB87" i="44" s="1"/>
  <c r="AC87" i="44" s="1"/>
  <c r="AD87" i="44" s="1"/>
  <c r="AE87" i="44" s="1"/>
  <c r="AF87" i="44" s="1"/>
  <c r="AG87" i="44" s="1"/>
  <c r="AH87" i="44" s="1"/>
  <c r="AI87" i="44" s="1"/>
  <c r="AJ87" i="44" s="1"/>
  <c r="K85" i="44"/>
  <c r="K93" i="44" s="1"/>
  <c r="K83" i="44"/>
  <c r="L83" i="44" s="1"/>
  <c r="M83" i="44" s="1"/>
  <c r="N83" i="44" s="1"/>
  <c r="O83" i="44" s="1"/>
  <c r="P83" i="44" s="1"/>
  <c r="Q83" i="44" s="1"/>
  <c r="R83" i="44" s="1"/>
  <c r="S83" i="44" s="1"/>
  <c r="T83" i="44" s="1"/>
  <c r="U83" i="44" s="1"/>
  <c r="V83" i="44" s="1"/>
  <c r="W83" i="44" s="1"/>
  <c r="X83" i="44" s="1"/>
  <c r="Y83" i="44" s="1"/>
  <c r="Z83" i="44" s="1"/>
  <c r="AA83" i="44" s="1"/>
  <c r="AB83" i="44" s="1"/>
  <c r="AC83" i="44" s="1"/>
  <c r="AD83" i="44" s="1"/>
  <c r="AE83" i="44" s="1"/>
  <c r="AF83" i="44" s="1"/>
  <c r="AG83" i="44" s="1"/>
  <c r="AH83" i="44" s="1"/>
  <c r="AI83" i="44" s="1"/>
  <c r="AJ83" i="44" s="1"/>
  <c r="K82" i="44"/>
  <c r="L82" i="44" s="1"/>
  <c r="M82" i="44" s="1"/>
  <c r="N82" i="44" s="1"/>
  <c r="O82" i="44" s="1"/>
  <c r="P82" i="44" s="1"/>
  <c r="Q82" i="44" s="1"/>
  <c r="R82" i="44" s="1"/>
  <c r="S82" i="44" s="1"/>
  <c r="T82" i="44" s="1"/>
  <c r="U82" i="44" s="1"/>
  <c r="V82" i="44" s="1"/>
  <c r="W82" i="44" s="1"/>
  <c r="X82" i="44" s="1"/>
  <c r="Y82" i="44" s="1"/>
  <c r="Z82" i="44" s="1"/>
  <c r="AA82" i="44" s="1"/>
  <c r="AB82" i="44" s="1"/>
  <c r="AC82" i="44" s="1"/>
  <c r="AD82" i="44" s="1"/>
  <c r="AE82" i="44" s="1"/>
  <c r="AF82" i="44" s="1"/>
  <c r="AG82" i="44" s="1"/>
  <c r="AH82" i="44" s="1"/>
  <c r="AI82" i="44" s="1"/>
  <c r="AJ82" i="44" s="1"/>
  <c r="K81" i="44"/>
  <c r="L81" i="44" s="1"/>
  <c r="M81" i="44" s="1"/>
  <c r="N81" i="44" s="1"/>
  <c r="O81" i="44" s="1"/>
  <c r="P81" i="44" s="1"/>
  <c r="Q81" i="44" s="1"/>
  <c r="R81" i="44" s="1"/>
  <c r="S81" i="44" s="1"/>
  <c r="T81" i="44" s="1"/>
  <c r="U81" i="44" s="1"/>
  <c r="V81" i="44" s="1"/>
  <c r="W81" i="44" s="1"/>
  <c r="X81" i="44" s="1"/>
  <c r="Y81" i="44" s="1"/>
  <c r="Z81" i="44" s="1"/>
  <c r="AA81" i="44" s="1"/>
  <c r="AB81" i="44" s="1"/>
  <c r="AC81" i="44" s="1"/>
  <c r="AD81" i="44" s="1"/>
  <c r="AE81" i="44" s="1"/>
  <c r="AF81" i="44" s="1"/>
  <c r="AG81" i="44" s="1"/>
  <c r="AH81" i="44" s="1"/>
  <c r="AI81" i="44" s="1"/>
  <c r="AJ81" i="44" s="1"/>
  <c r="K79" i="44"/>
  <c r="K92" i="44" s="1"/>
  <c r="K77" i="44"/>
  <c r="L77" i="44" s="1"/>
  <c r="M77" i="44" s="1"/>
  <c r="N77" i="44" s="1"/>
  <c r="O77" i="44" s="1"/>
  <c r="P77" i="44" s="1"/>
  <c r="Q77" i="44" s="1"/>
  <c r="R77" i="44" s="1"/>
  <c r="S77" i="44" s="1"/>
  <c r="T77" i="44" s="1"/>
  <c r="U77" i="44" s="1"/>
  <c r="V77" i="44" s="1"/>
  <c r="W77" i="44" s="1"/>
  <c r="X77" i="44" s="1"/>
  <c r="Y77" i="44" s="1"/>
  <c r="Z77" i="44" s="1"/>
  <c r="AA77" i="44" s="1"/>
  <c r="AB77" i="44" s="1"/>
  <c r="AC77" i="44" s="1"/>
  <c r="AD77" i="44" s="1"/>
  <c r="AE77" i="44" s="1"/>
  <c r="AF77" i="44" s="1"/>
  <c r="AG77" i="44" s="1"/>
  <c r="AH77" i="44" s="1"/>
  <c r="AI77" i="44" s="1"/>
  <c r="AJ77" i="44" s="1"/>
  <c r="K76" i="44"/>
  <c r="L76" i="44" s="1"/>
  <c r="M76" i="44" s="1"/>
  <c r="N76" i="44" s="1"/>
  <c r="O76" i="44" s="1"/>
  <c r="P76" i="44" s="1"/>
  <c r="Q76" i="44" s="1"/>
  <c r="R76" i="44" s="1"/>
  <c r="S76" i="44" s="1"/>
  <c r="T76" i="44" s="1"/>
  <c r="U76" i="44" s="1"/>
  <c r="V76" i="44" s="1"/>
  <c r="W76" i="44" s="1"/>
  <c r="X76" i="44" s="1"/>
  <c r="Y76" i="44" s="1"/>
  <c r="Z76" i="44" s="1"/>
  <c r="AA76" i="44" s="1"/>
  <c r="AB76" i="44" s="1"/>
  <c r="AC76" i="44" s="1"/>
  <c r="AD76" i="44" s="1"/>
  <c r="AE76" i="44" s="1"/>
  <c r="AF76" i="44" s="1"/>
  <c r="AG76" i="44" s="1"/>
  <c r="AH76" i="44" s="1"/>
  <c r="AI76" i="44" s="1"/>
  <c r="AJ76" i="44" s="1"/>
  <c r="K75" i="44"/>
  <c r="L75" i="44" s="1"/>
  <c r="M75" i="44" s="1"/>
  <c r="N75" i="44" s="1"/>
  <c r="O75" i="44" s="1"/>
  <c r="P75" i="44" s="1"/>
  <c r="Q75" i="44" s="1"/>
  <c r="R75" i="44" s="1"/>
  <c r="S75" i="44" s="1"/>
  <c r="T75" i="44" s="1"/>
  <c r="U75" i="44" s="1"/>
  <c r="V75" i="44" s="1"/>
  <c r="W75" i="44" s="1"/>
  <c r="X75" i="44" s="1"/>
  <c r="Y75" i="44" s="1"/>
  <c r="Z75" i="44" s="1"/>
  <c r="AA75" i="44" s="1"/>
  <c r="AB75" i="44" s="1"/>
  <c r="AC75" i="44" s="1"/>
  <c r="AD75" i="44" s="1"/>
  <c r="AE75" i="44" s="1"/>
  <c r="AF75" i="44" s="1"/>
  <c r="AG75" i="44" s="1"/>
  <c r="AH75" i="44" s="1"/>
  <c r="AI75" i="44" s="1"/>
  <c r="AJ75" i="44" s="1"/>
  <c r="L71" i="44"/>
  <c r="M71" i="44" s="1"/>
  <c r="Q42" i="44"/>
  <c r="Q41" i="44"/>
  <c r="Q40" i="44"/>
  <c r="Q39" i="44"/>
  <c r="Q37" i="44"/>
  <c r="Q36" i="44"/>
  <c r="Q30" i="44"/>
  <c r="Q24" i="44"/>
  <c r="K24" i="44"/>
  <c r="Q23" i="44"/>
  <c r="K23" i="44"/>
  <c r="Q22" i="44"/>
  <c r="K22" i="44"/>
  <c r="Q21" i="44"/>
  <c r="K21" i="44"/>
  <c r="Q19" i="44"/>
  <c r="K19" i="44"/>
  <c r="Q18" i="44"/>
  <c r="K18" i="44"/>
  <c r="Q11" i="44"/>
  <c r="K11" i="44"/>
  <c r="B7" i="44"/>
  <c r="K151" i="48" l="1"/>
  <c r="O145" i="45"/>
  <c r="S145" i="45"/>
  <c r="W145" i="45"/>
  <c r="AA145" i="45"/>
  <c r="AE145" i="45"/>
  <c r="AI145" i="45"/>
  <c r="L145" i="45"/>
  <c r="P145" i="45"/>
  <c r="T145" i="45"/>
  <c r="X145" i="45"/>
  <c r="AB145" i="45"/>
  <c r="AF145" i="45"/>
  <c r="AJ145" i="45"/>
  <c r="M145" i="45"/>
  <c r="Q145" i="45"/>
  <c r="U145" i="45"/>
  <c r="Y145" i="45"/>
  <c r="AC145" i="45"/>
  <c r="AG145" i="45"/>
  <c r="K145" i="45"/>
  <c r="N145" i="45"/>
  <c r="R145" i="45"/>
  <c r="V145" i="45"/>
  <c r="Z145" i="45"/>
  <c r="AD145" i="45"/>
  <c r="AH145" i="45"/>
  <c r="M121" i="45"/>
  <c r="AG121" i="45"/>
  <c r="V121" i="45"/>
  <c r="AD121" i="45"/>
  <c r="K121" i="45"/>
  <c r="W121" i="45"/>
  <c r="AE121" i="45"/>
  <c r="L121" i="45"/>
  <c r="P121" i="45"/>
  <c r="T121" i="45"/>
  <c r="X121" i="45"/>
  <c r="AB121" i="45"/>
  <c r="AF121" i="45"/>
  <c r="AJ121" i="45"/>
  <c r="Q121" i="45"/>
  <c r="U121" i="45"/>
  <c r="Y121" i="45"/>
  <c r="AC121" i="45"/>
  <c r="N121" i="45"/>
  <c r="R121" i="45"/>
  <c r="Z121" i="45"/>
  <c r="AH121" i="45"/>
  <c r="O121" i="45"/>
  <c r="S121" i="45"/>
  <c r="AA121" i="45"/>
  <c r="AI121" i="45"/>
  <c r="U97" i="45"/>
  <c r="AJ97" i="45"/>
  <c r="K140" i="44"/>
  <c r="M151" i="44"/>
  <c r="Q151" i="44"/>
  <c r="U151" i="44"/>
  <c r="Y151" i="44"/>
  <c r="AC151" i="44"/>
  <c r="AG151" i="44"/>
  <c r="AD151" i="44"/>
  <c r="AI151" i="44"/>
  <c r="T151" i="44"/>
  <c r="AB151" i="44"/>
  <c r="AJ151" i="44"/>
  <c r="N151" i="44"/>
  <c r="R151" i="44"/>
  <c r="V151" i="44"/>
  <c r="Z151" i="44"/>
  <c r="AH151" i="44"/>
  <c r="P151" i="44"/>
  <c r="AF151" i="44"/>
  <c r="O151" i="44"/>
  <c r="S151" i="44"/>
  <c r="W151" i="44"/>
  <c r="AA151" i="44"/>
  <c r="AE151" i="44"/>
  <c r="L151" i="44"/>
  <c r="X151" i="44"/>
  <c r="K151" i="44"/>
  <c r="N145" i="44"/>
  <c r="R145" i="44"/>
  <c r="V145" i="44"/>
  <c r="Z145" i="44"/>
  <c r="AD145" i="44"/>
  <c r="AH145" i="44"/>
  <c r="O145" i="44"/>
  <c r="S145" i="44"/>
  <c r="W145" i="44"/>
  <c r="AA145" i="44"/>
  <c r="AE145" i="44"/>
  <c r="AI145" i="44"/>
  <c r="L145" i="44"/>
  <c r="P145" i="44"/>
  <c r="T145" i="44"/>
  <c r="X145" i="44"/>
  <c r="AB145" i="44"/>
  <c r="AF145" i="44"/>
  <c r="AJ145" i="44"/>
  <c r="M145" i="44"/>
  <c r="Q145" i="44"/>
  <c r="U145" i="44"/>
  <c r="Y145" i="44"/>
  <c r="AC145" i="44"/>
  <c r="AG145" i="44"/>
  <c r="K145" i="44"/>
  <c r="N121" i="44"/>
  <c r="R121" i="44"/>
  <c r="V121" i="44"/>
  <c r="Z121" i="44"/>
  <c r="AD121" i="44"/>
  <c r="AH121" i="44"/>
  <c r="O121" i="44"/>
  <c r="S121" i="44"/>
  <c r="W121" i="44"/>
  <c r="AA121" i="44"/>
  <c r="AE121" i="44"/>
  <c r="AI121" i="44"/>
  <c r="K121" i="44"/>
  <c r="L121" i="44"/>
  <c r="P121" i="44"/>
  <c r="T121" i="44"/>
  <c r="X121" i="44"/>
  <c r="AB121" i="44"/>
  <c r="AF121" i="44"/>
  <c r="AJ121" i="44"/>
  <c r="M121" i="44"/>
  <c r="Q121" i="44"/>
  <c r="U121" i="44"/>
  <c r="Y121" i="44"/>
  <c r="AC121" i="44"/>
  <c r="AG121" i="44"/>
  <c r="M77" i="45"/>
  <c r="L140" i="45"/>
  <c r="M83" i="45"/>
  <c r="L141" i="45"/>
  <c r="AJ152" i="45"/>
  <c r="AJ128" i="45"/>
  <c r="O151" i="45"/>
  <c r="S151" i="45"/>
  <c r="W151" i="45"/>
  <c r="AA151" i="45"/>
  <c r="AE151" i="45"/>
  <c r="AI151" i="45"/>
  <c r="N151" i="45"/>
  <c r="Z151" i="45"/>
  <c r="K151" i="45"/>
  <c r="L151" i="45"/>
  <c r="P151" i="45"/>
  <c r="T151" i="45"/>
  <c r="X151" i="45"/>
  <c r="AB151" i="45"/>
  <c r="AF151" i="45"/>
  <c r="AJ151" i="45"/>
  <c r="R151" i="45"/>
  <c r="AD151" i="45"/>
  <c r="M151" i="45"/>
  <c r="Q151" i="45"/>
  <c r="U151" i="45"/>
  <c r="Y151" i="45"/>
  <c r="AC151" i="45"/>
  <c r="AG151" i="45"/>
  <c r="V151" i="45"/>
  <c r="AH151" i="45"/>
  <c r="O103" i="45"/>
  <c r="W103" i="45"/>
  <c r="AE103" i="45"/>
  <c r="P103" i="45"/>
  <c r="X103" i="45"/>
  <c r="AF103" i="45"/>
  <c r="R103" i="45"/>
  <c r="Z103" i="45"/>
  <c r="AH103" i="45"/>
  <c r="S103" i="45"/>
  <c r="AA103" i="45"/>
  <c r="AI103" i="45"/>
  <c r="L103" i="45"/>
  <c r="T103" i="45"/>
  <c r="AB103" i="45"/>
  <c r="AJ103" i="45"/>
  <c r="M103" i="45"/>
  <c r="U103" i="45"/>
  <c r="AC103" i="45"/>
  <c r="N103" i="45"/>
  <c r="V103" i="45"/>
  <c r="AD103" i="45"/>
  <c r="Q103" i="45"/>
  <c r="Y103" i="45"/>
  <c r="K103" i="45"/>
  <c r="AG103" i="45"/>
  <c r="N127" i="45"/>
  <c r="V127" i="45"/>
  <c r="AD127" i="45"/>
  <c r="O127" i="45"/>
  <c r="W127" i="45"/>
  <c r="AE127" i="45"/>
  <c r="Q127" i="45"/>
  <c r="Y127" i="45"/>
  <c r="AG127" i="45"/>
  <c r="R127" i="45"/>
  <c r="Z127" i="45"/>
  <c r="AH127" i="45"/>
  <c r="S127" i="45"/>
  <c r="AA127" i="45"/>
  <c r="AI127" i="45"/>
  <c r="L127" i="45"/>
  <c r="T127" i="45"/>
  <c r="AB127" i="45"/>
  <c r="AJ127" i="45"/>
  <c r="K127" i="45"/>
  <c r="M127" i="45"/>
  <c r="U127" i="45"/>
  <c r="AC127" i="45"/>
  <c r="X127" i="45"/>
  <c r="AF127" i="45"/>
  <c r="P127" i="45"/>
  <c r="Q31" i="45"/>
  <c r="M103" i="44"/>
  <c r="U103" i="44"/>
  <c r="AC103" i="44"/>
  <c r="K103" i="44"/>
  <c r="P103" i="44"/>
  <c r="X103" i="44"/>
  <c r="AF103" i="44"/>
  <c r="Q103" i="44"/>
  <c r="Y103" i="44"/>
  <c r="AG103" i="44"/>
  <c r="R103" i="44"/>
  <c r="Z103" i="44"/>
  <c r="AH103" i="44"/>
  <c r="S103" i="44"/>
  <c r="AA103" i="44"/>
  <c r="AI103" i="44"/>
  <c r="L103" i="44"/>
  <c r="T103" i="44"/>
  <c r="AB103" i="44"/>
  <c r="AJ103" i="44"/>
  <c r="AD103" i="44"/>
  <c r="AE103" i="44"/>
  <c r="N103" i="44"/>
  <c r="O103" i="44"/>
  <c r="V103" i="44"/>
  <c r="W103" i="44"/>
  <c r="O127" i="44"/>
  <c r="W127" i="44"/>
  <c r="AE127" i="44"/>
  <c r="P127" i="44"/>
  <c r="X127" i="44"/>
  <c r="AF127" i="44"/>
  <c r="R127" i="44"/>
  <c r="Z127" i="44"/>
  <c r="AH127" i="44"/>
  <c r="S127" i="44"/>
  <c r="AA127" i="44"/>
  <c r="AI127" i="44"/>
  <c r="L127" i="44"/>
  <c r="T127" i="44"/>
  <c r="AB127" i="44"/>
  <c r="AJ127" i="44"/>
  <c r="M127" i="44"/>
  <c r="U127" i="44"/>
  <c r="AC127" i="44"/>
  <c r="K127" i="44"/>
  <c r="N127" i="44"/>
  <c r="V127" i="44"/>
  <c r="AD127" i="44"/>
  <c r="Q127" i="44"/>
  <c r="Y127" i="44"/>
  <c r="AG127" i="44"/>
  <c r="AE97" i="45"/>
  <c r="L92" i="45"/>
  <c r="M93" i="45"/>
  <c r="K92" i="45"/>
  <c r="K93" i="45"/>
  <c r="AA104" i="45"/>
  <c r="L79" i="44"/>
  <c r="L93" i="45"/>
  <c r="Q13" i="45"/>
  <c r="Q13" i="44"/>
  <c r="L85" i="44"/>
  <c r="Q31" i="44"/>
  <c r="AF103" i="48"/>
  <c r="K30" i="48"/>
  <c r="J30" i="48" s="1"/>
  <c r="AC30" i="48"/>
  <c r="AB14" i="48" s="1"/>
  <c r="AC14" i="48" s="1"/>
  <c r="AI104" i="48"/>
  <c r="AE104" i="48"/>
  <c r="AA104" i="48"/>
  <c r="W104" i="48"/>
  <c r="S104" i="48"/>
  <c r="O104" i="48"/>
  <c r="K104" i="48"/>
  <c r="AJ127" i="48"/>
  <c r="AF127" i="48"/>
  <c r="AB127" i="48"/>
  <c r="X127" i="48"/>
  <c r="T127" i="48"/>
  <c r="P127" i="48"/>
  <c r="L127" i="48"/>
  <c r="AI127" i="48"/>
  <c r="AE127" i="48"/>
  <c r="AA127" i="48"/>
  <c r="W127" i="48"/>
  <c r="S127" i="48"/>
  <c r="O127" i="48"/>
  <c r="K127" i="48"/>
  <c r="AH127" i="48"/>
  <c r="AD127" i="48"/>
  <c r="Z127" i="48"/>
  <c r="V127" i="48"/>
  <c r="R127" i="48"/>
  <c r="N127" i="48"/>
  <c r="AG127" i="48"/>
  <c r="AC127" i="48"/>
  <c r="Y127" i="48"/>
  <c r="U127" i="48"/>
  <c r="Q127" i="48"/>
  <c r="M127" i="48"/>
  <c r="K287" i="48"/>
  <c r="K263" i="48"/>
  <c r="K239" i="48"/>
  <c r="N103" i="48"/>
  <c r="S103" i="48"/>
  <c r="X103" i="48"/>
  <c r="AD103" i="48"/>
  <c r="AI103" i="48"/>
  <c r="N104" i="48"/>
  <c r="T104" i="48"/>
  <c r="Y104" i="48"/>
  <c r="AD104" i="48"/>
  <c r="AJ104" i="48"/>
  <c r="K190" i="48"/>
  <c r="AH128" i="48"/>
  <c r="AD128" i="48"/>
  <c r="Z128" i="48"/>
  <c r="V128" i="48"/>
  <c r="R128" i="48"/>
  <c r="N128" i="48"/>
  <c r="AG128" i="48"/>
  <c r="AC128" i="48"/>
  <c r="Y128" i="48"/>
  <c r="U128" i="48"/>
  <c r="Q128" i="48"/>
  <c r="M128" i="48"/>
  <c r="K189" i="48"/>
  <c r="AJ128" i="48"/>
  <c r="AF128" i="48"/>
  <c r="AB128" i="48"/>
  <c r="X128" i="48"/>
  <c r="T128" i="48"/>
  <c r="P128" i="48"/>
  <c r="L128" i="48"/>
  <c r="AI128" i="48"/>
  <c r="AE128" i="48"/>
  <c r="AA128" i="48"/>
  <c r="W128" i="48"/>
  <c r="S128" i="48"/>
  <c r="O128" i="48"/>
  <c r="K128" i="48"/>
  <c r="AG151" i="48"/>
  <c r="AC151" i="48"/>
  <c r="Y151" i="48"/>
  <c r="U151" i="48"/>
  <c r="Q151" i="48"/>
  <c r="M151" i="48"/>
  <c r="AH151" i="48"/>
  <c r="AB151" i="48"/>
  <c r="W151" i="48"/>
  <c r="R151" i="48"/>
  <c r="L151" i="48"/>
  <c r="AF151" i="48"/>
  <c r="AA151" i="48"/>
  <c r="V151" i="48"/>
  <c r="P151" i="48"/>
  <c r="AJ151" i="48"/>
  <c r="AE151" i="48"/>
  <c r="Z151" i="48"/>
  <c r="T151" i="48"/>
  <c r="O151" i="48"/>
  <c r="AI151" i="48"/>
  <c r="AD151" i="48"/>
  <c r="X151" i="48"/>
  <c r="S151" i="48"/>
  <c r="N151" i="48"/>
  <c r="L76" i="48"/>
  <c r="L85" i="48"/>
  <c r="M88" i="48"/>
  <c r="O103" i="48"/>
  <c r="T103" i="48"/>
  <c r="Z103" i="48"/>
  <c r="AE103" i="48"/>
  <c r="AJ103" i="48"/>
  <c r="P104" i="48"/>
  <c r="U104" i="48"/>
  <c r="Z104" i="48"/>
  <c r="AF104" i="48"/>
  <c r="K166" i="48"/>
  <c r="L82" i="48"/>
  <c r="L190" i="48" s="1"/>
  <c r="K103" i="48"/>
  <c r="P103" i="48"/>
  <c r="V103" i="48"/>
  <c r="AA103" i="48"/>
  <c r="L104" i="48"/>
  <c r="Q104" i="48"/>
  <c r="V104" i="48"/>
  <c r="AB104" i="48"/>
  <c r="AG104" i="48"/>
  <c r="K214" i="48"/>
  <c r="K213" i="48"/>
  <c r="AI152" i="48"/>
  <c r="AE152" i="48"/>
  <c r="AA152" i="48"/>
  <c r="W152" i="48"/>
  <c r="S152" i="48"/>
  <c r="O152" i="48"/>
  <c r="K152" i="48"/>
  <c r="AH152" i="48"/>
  <c r="AC152" i="48"/>
  <c r="X152" i="48"/>
  <c r="R152" i="48"/>
  <c r="M152" i="48"/>
  <c r="AG152" i="48"/>
  <c r="AB152" i="48"/>
  <c r="V152" i="48"/>
  <c r="Q152" i="48"/>
  <c r="L152" i="48"/>
  <c r="AF152" i="48"/>
  <c r="Z152" i="48"/>
  <c r="U152" i="48"/>
  <c r="P152" i="48"/>
  <c r="AJ152" i="48"/>
  <c r="AD152" i="48"/>
  <c r="Y152" i="48"/>
  <c r="T152" i="48"/>
  <c r="N152" i="48"/>
  <c r="AG103" i="48"/>
  <c r="AC103" i="48"/>
  <c r="Y103" i="48"/>
  <c r="U103" i="48"/>
  <c r="Q103" i="48"/>
  <c r="M103" i="48"/>
  <c r="N71" i="48"/>
  <c r="K286" i="48"/>
  <c r="K262" i="48"/>
  <c r="K238" i="48"/>
  <c r="L79" i="48"/>
  <c r="L103" i="48"/>
  <c r="R103" i="48"/>
  <c r="W103" i="48"/>
  <c r="AB103" i="48"/>
  <c r="AH103" i="48"/>
  <c r="M104" i="48"/>
  <c r="R104" i="48"/>
  <c r="X104" i="48"/>
  <c r="AC104" i="48"/>
  <c r="AH104" i="48"/>
  <c r="AF97" i="45"/>
  <c r="AB97" i="45"/>
  <c r="X97" i="45"/>
  <c r="T97" i="45"/>
  <c r="P97" i="45"/>
  <c r="L97" i="45"/>
  <c r="AH97" i="45"/>
  <c r="AC97" i="45"/>
  <c r="W97" i="45"/>
  <c r="R97" i="45"/>
  <c r="M97" i="45"/>
  <c r="AG97" i="45"/>
  <c r="AA97" i="45"/>
  <c r="V97" i="45"/>
  <c r="Q97" i="45"/>
  <c r="K97" i="45"/>
  <c r="S97" i="45"/>
  <c r="AD97" i="45"/>
  <c r="S104" i="45"/>
  <c r="AI104" i="45"/>
  <c r="M88" i="45"/>
  <c r="U104" i="45"/>
  <c r="AF128" i="45"/>
  <c r="AB128" i="45"/>
  <c r="X128" i="45"/>
  <c r="T128" i="45"/>
  <c r="AG128" i="45"/>
  <c r="AC128" i="45"/>
  <c r="Y128" i="45"/>
  <c r="U128" i="45"/>
  <c r="Q128" i="45"/>
  <c r="M128" i="45"/>
  <c r="M117" i="45"/>
  <c r="K116" i="45"/>
  <c r="AH128" i="45"/>
  <c r="Z128" i="45"/>
  <c r="R128" i="45"/>
  <c r="L128" i="45"/>
  <c r="AD128" i="45"/>
  <c r="V128" i="45"/>
  <c r="O128" i="45"/>
  <c r="K117" i="45"/>
  <c r="W128" i="45"/>
  <c r="K128" i="45"/>
  <c r="AI128" i="45"/>
  <c r="S128" i="45"/>
  <c r="L116" i="45"/>
  <c r="L125" i="45" s="1"/>
  <c r="L130" i="45" s="1"/>
  <c r="AE128" i="45"/>
  <c r="P128" i="45"/>
  <c r="AA128" i="45"/>
  <c r="N128" i="45"/>
  <c r="L117" i="45"/>
  <c r="AF152" i="45"/>
  <c r="AB152" i="45"/>
  <c r="X152" i="45"/>
  <c r="T152" i="45"/>
  <c r="P152" i="45"/>
  <c r="L152" i="45"/>
  <c r="AI152" i="45"/>
  <c r="AE152" i="45"/>
  <c r="AA152" i="45"/>
  <c r="W152" i="45"/>
  <c r="S152" i="45"/>
  <c r="O152" i="45"/>
  <c r="K152" i="45"/>
  <c r="AH152" i="45"/>
  <c r="AD152" i="45"/>
  <c r="Z152" i="45"/>
  <c r="V152" i="45"/>
  <c r="R152" i="45"/>
  <c r="N152" i="45"/>
  <c r="AG152" i="45"/>
  <c r="AC152" i="45"/>
  <c r="Y152" i="45"/>
  <c r="U152" i="45"/>
  <c r="Q152" i="45"/>
  <c r="M152" i="45"/>
  <c r="K140" i="45"/>
  <c r="K141" i="45"/>
  <c r="M71" i="45"/>
  <c r="M79" i="45"/>
  <c r="N85" i="45"/>
  <c r="N97" i="45"/>
  <c r="Y97" i="45"/>
  <c r="AI97" i="45"/>
  <c r="K104" i="45"/>
  <c r="AJ104" i="45"/>
  <c r="AF104" i="45"/>
  <c r="AB104" i="45"/>
  <c r="X104" i="45"/>
  <c r="T104" i="45"/>
  <c r="P104" i="45"/>
  <c r="L104" i="45"/>
  <c r="AH104" i="45"/>
  <c r="AD104" i="45"/>
  <c r="Z104" i="45"/>
  <c r="V104" i="45"/>
  <c r="R104" i="45"/>
  <c r="N104" i="45"/>
  <c r="AG104" i="45"/>
  <c r="Y104" i="45"/>
  <c r="Q104" i="45"/>
  <c r="AE104" i="45"/>
  <c r="W104" i="45"/>
  <c r="O104" i="45"/>
  <c r="O97" i="45"/>
  <c r="Z97" i="45"/>
  <c r="M104" i="45"/>
  <c r="AC104" i="45"/>
  <c r="N71" i="44"/>
  <c r="AJ104" i="44"/>
  <c r="AF104" i="44"/>
  <c r="AB104" i="44"/>
  <c r="X104" i="44"/>
  <c r="T104" i="44"/>
  <c r="P104" i="44"/>
  <c r="L104" i="44"/>
  <c r="AI104" i="44"/>
  <c r="AD104" i="44"/>
  <c r="Y104" i="44"/>
  <c r="S104" i="44"/>
  <c r="N104" i="44"/>
  <c r="AG104" i="44"/>
  <c r="AA104" i="44"/>
  <c r="V104" i="44"/>
  <c r="Q104" i="44"/>
  <c r="K104" i="44"/>
  <c r="AE104" i="44"/>
  <c r="Z104" i="44"/>
  <c r="U104" i="44"/>
  <c r="O104" i="44"/>
  <c r="AH104" i="44"/>
  <c r="M104" i="44"/>
  <c r="AC104" i="44"/>
  <c r="W104" i="44"/>
  <c r="R104" i="44"/>
  <c r="N88" i="44"/>
  <c r="AH97" i="44"/>
  <c r="AD97" i="44"/>
  <c r="Z97" i="44"/>
  <c r="V97" i="44"/>
  <c r="R97" i="44"/>
  <c r="N97" i="44"/>
  <c r="AJ97" i="44"/>
  <c r="AE97" i="44"/>
  <c r="Y97" i="44"/>
  <c r="T97" i="44"/>
  <c r="O97" i="44"/>
  <c r="AF97" i="44"/>
  <c r="X97" i="44"/>
  <c r="Q97" i="44"/>
  <c r="K97" i="44"/>
  <c r="K101" i="44" s="1"/>
  <c r="K106" i="44" s="1"/>
  <c r="AC97" i="44"/>
  <c r="W97" i="44"/>
  <c r="P97" i="44"/>
  <c r="AI97" i="44"/>
  <c r="AB97" i="44"/>
  <c r="U97" i="44"/>
  <c r="M97" i="44"/>
  <c r="AG97" i="44"/>
  <c r="AA97" i="44"/>
  <c r="S97" i="44"/>
  <c r="L97" i="44"/>
  <c r="L93" i="44"/>
  <c r="AI128" i="44"/>
  <c r="AE128" i="44"/>
  <c r="AA128" i="44"/>
  <c r="W128" i="44"/>
  <c r="S128" i="44"/>
  <c r="O128" i="44"/>
  <c r="K128" i="44"/>
  <c r="K117" i="44"/>
  <c r="K129" i="44" s="1"/>
  <c r="AH128" i="44"/>
  <c r="AD128" i="44"/>
  <c r="Z128" i="44"/>
  <c r="V128" i="44"/>
  <c r="R128" i="44"/>
  <c r="N128" i="44"/>
  <c r="AG128" i="44"/>
  <c r="AC128" i="44"/>
  <c r="Y128" i="44"/>
  <c r="U128" i="44"/>
  <c r="Q128" i="44"/>
  <c r="M128" i="44"/>
  <c r="AJ128" i="44"/>
  <c r="AF128" i="44"/>
  <c r="AB128" i="44"/>
  <c r="X128" i="44"/>
  <c r="T128" i="44"/>
  <c r="P128" i="44"/>
  <c r="L128" i="44"/>
  <c r="K116" i="44"/>
  <c r="K125" i="44" s="1"/>
  <c r="K130" i="44" s="1"/>
  <c r="AJ152" i="44"/>
  <c r="AF152" i="44"/>
  <c r="AB152" i="44"/>
  <c r="X152" i="44"/>
  <c r="T152" i="44"/>
  <c r="P152" i="44"/>
  <c r="L152" i="44"/>
  <c r="AI152" i="44"/>
  <c r="AE152" i="44"/>
  <c r="AA152" i="44"/>
  <c r="W152" i="44"/>
  <c r="S152" i="44"/>
  <c r="O152" i="44"/>
  <c r="K152" i="44"/>
  <c r="AH152" i="44"/>
  <c r="AD152" i="44"/>
  <c r="Z152" i="44"/>
  <c r="V152" i="44"/>
  <c r="R152" i="44"/>
  <c r="N152" i="44"/>
  <c r="AG152" i="44"/>
  <c r="AC152" i="44"/>
  <c r="Y152" i="44"/>
  <c r="U152" i="44"/>
  <c r="Q152" i="44"/>
  <c r="M152" i="44"/>
  <c r="K141" i="44"/>
  <c r="K153" i="44" s="1"/>
  <c r="N48" i="12"/>
  <c r="N43" i="12"/>
  <c r="K125" i="45" l="1"/>
  <c r="K130" i="45" s="1"/>
  <c r="M129" i="45"/>
  <c r="L153" i="45"/>
  <c r="K129" i="45"/>
  <c r="L129" i="45"/>
  <c r="L132" i="45" s="1"/>
  <c r="L135" i="45" s="1"/>
  <c r="K153" i="45"/>
  <c r="N117" i="45"/>
  <c r="N129" i="45" s="1"/>
  <c r="N83" i="45"/>
  <c r="M141" i="45"/>
  <c r="M153" i="45" s="1"/>
  <c r="N77" i="45"/>
  <c r="M140" i="45"/>
  <c r="M85" i="44"/>
  <c r="M141" i="44" s="1"/>
  <c r="M153" i="44" s="1"/>
  <c r="L141" i="44"/>
  <c r="L153" i="44" s="1"/>
  <c r="L92" i="44"/>
  <c r="L101" i="44" s="1"/>
  <c r="L106" i="44" s="1"/>
  <c r="L140" i="44"/>
  <c r="K101" i="45"/>
  <c r="K106" i="45" s="1"/>
  <c r="M105" i="45"/>
  <c r="M79" i="44"/>
  <c r="L105" i="45"/>
  <c r="L116" i="44"/>
  <c r="L125" i="44" s="1"/>
  <c r="L130" i="44" s="1"/>
  <c r="L214" i="48"/>
  <c r="L105" i="44"/>
  <c r="L101" i="45"/>
  <c r="L106" i="45" s="1"/>
  <c r="L117" i="44"/>
  <c r="L129" i="44" s="1"/>
  <c r="K105" i="44"/>
  <c r="K108" i="44" s="1"/>
  <c r="AB30" i="48"/>
  <c r="L165" i="48"/>
  <c r="M76" i="48"/>
  <c r="AH267" i="48"/>
  <c r="W267" i="48"/>
  <c r="X267" i="48"/>
  <c r="T267" i="48"/>
  <c r="K267" i="48"/>
  <c r="K275" i="48" s="1"/>
  <c r="AF267" i="48"/>
  <c r="Y267" i="48"/>
  <c r="L286" i="48"/>
  <c r="L262" i="48"/>
  <c r="L238" i="48"/>
  <c r="M79" i="48"/>
  <c r="O71" i="48"/>
  <c r="AB267" i="48"/>
  <c r="AD267" i="48"/>
  <c r="Z267" i="48"/>
  <c r="P267" i="48"/>
  <c r="M267" i="48"/>
  <c r="AC267" i="48"/>
  <c r="L213" i="48"/>
  <c r="N88" i="48"/>
  <c r="L267" i="48"/>
  <c r="N267" i="48"/>
  <c r="AI267" i="48"/>
  <c r="AE267" i="48"/>
  <c r="V267" i="48"/>
  <c r="Q267" i="48"/>
  <c r="AG267" i="48"/>
  <c r="L166" i="48"/>
  <c r="M82" i="48"/>
  <c r="L287" i="48"/>
  <c r="L263" i="48"/>
  <c r="L239" i="48"/>
  <c r="M85" i="48"/>
  <c r="L189" i="48"/>
  <c r="R267" i="48"/>
  <c r="S267" i="48"/>
  <c r="O267" i="48"/>
  <c r="AJ267" i="48"/>
  <c r="AA267" i="48"/>
  <c r="U267" i="48"/>
  <c r="N79" i="45"/>
  <c r="M92" i="45"/>
  <c r="M101" i="45" s="1"/>
  <c r="M106" i="45" s="1"/>
  <c r="N71" i="45"/>
  <c r="M116" i="45"/>
  <c r="M125" i="45" s="1"/>
  <c r="M130" i="45" s="1"/>
  <c r="M132" i="45" s="1"/>
  <c r="M135" i="45" s="1"/>
  <c r="K149" i="45"/>
  <c r="K154" i="45" s="1"/>
  <c r="N93" i="45"/>
  <c r="N105" i="45" s="1"/>
  <c r="O85" i="45"/>
  <c r="N88" i="45"/>
  <c r="K105" i="45"/>
  <c r="O71" i="44"/>
  <c r="M92" i="44"/>
  <c r="M101" i="44" s="1"/>
  <c r="M106" i="44" s="1"/>
  <c r="N79" i="44"/>
  <c r="N140" i="44" s="1"/>
  <c r="K149" i="44"/>
  <c r="K154" i="44" s="1"/>
  <c r="K156" i="44" s="1"/>
  <c r="K132" i="44"/>
  <c r="O88" i="44"/>
  <c r="B7" i="24"/>
  <c r="B7" i="40"/>
  <c r="B7" i="35"/>
  <c r="B7" i="41"/>
  <c r="B7" i="42"/>
  <c r="B7" i="30"/>
  <c r="B7" i="27"/>
  <c r="B7" i="26"/>
  <c r="B7" i="25"/>
  <c r="B7" i="28"/>
  <c r="B7" i="19"/>
  <c r="B7" i="29"/>
  <c r="B7" i="12"/>
  <c r="B7" i="23"/>
  <c r="K132" i="45" l="1"/>
  <c r="K133" i="45" s="1"/>
  <c r="L133" i="45" s="1"/>
  <c r="M133" i="45" s="1"/>
  <c r="M93" i="44"/>
  <c r="M105" i="44" s="1"/>
  <c r="M108" i="44" s="1"/>
  <c r="M111" i="44" s="1"/>
  <c r="K156" i="45"/>
  <c r="K157" i="45" s="1"/>
  <c r="M117" i="44"/>
  <c r="M129" i="44" s="1"/>
  <c r="N85" i="44"/>
  <c r="N141" i="44" s="1"/>
  <c r="N153" i="44" s="1"/>
  <c r="K108" i="45"/>
  <c r="K109" i="45" s="1"/>
  <c r="O83" i="45"/>
  <c r="N141" i="45"/>
  <c r="N153" i="45" s="1"/>
  <c r="O77" i="45"/>
  <c r="N140" i="45"/>
  <c r="M116" i="44"/>
  <c r="M125" i="44" s="1"/>
  <c r="M130" i="44" s="1"/>
  <c r="M140" i="44"/>
  <c r="M108" i="45"/>
  <c r="M111" i="45" s="1"/>
  <c r="L108" i="45"/>
  <c r="L111" i="45" s="1"/>
  <c r="L132" i="44"/>
  <c r="L135" i="44" s="1"/>
  <c r="L108" i="44"/>
  <c r="L111" i="44" s="1"/>
  <c r="L275" i="48"/>
  <c r="M287" i="48"/>
  <c r="M263" i="48"/>
  <c r="M275" i="48" s="1"/>
  <c r="M239" i="48"/>
  <c r="N85" i="48"/>
  <c r="K271" i="48"/>
  <c r="K276" i="48" s="1"/>
  <c r="K278" i="48" s="1"/>
  <c r="M166" i="48"/>
  <c r="N82" i="48"/>
  <c r="M190" i="48"/>
  <c r="M214" i="48"/>
  <c r="M213" i="48"/>
  <c r="M262" i="48"/>
  <c r="M271" i="48" s="1"/>
  <c r="M276" i="48" s="1"/>
  <c r="M286" i="48"/>
  <c r="M238" i="48"/>
  <c r="N79" i="48"/>
  <c r="M165" i="48"/>
  <c r="N76" i="48"/>
  <c r="M189" i="48"/>
  <c r="X194" i="48"/>
  <c r="X121" i="48" s="1"/>
  <c r="U194" i="48"/>
  <c r="U121" i="48" s="1"/>
  <c r="AD194" i="48"/>
  <c r="AD121" i="48" s="1"/>
  <c r="W194" i="48"/>
  <c r="W121" i="48" s="1"/>
  <c r="AG194" i="48"/>
  <c r="AG121" i="48" s="1"/>
  <c r="K194" i="48"/>
  <c r="AJ194" i="48"/>
  <c r="AJ121" i="48" s="1"/>
  <c r="T194" i="48"/>
  <c r="T121" i="48" s="1"/>
  <c r="O194" i="48"/>
  <c r="O121" i="48" s="1"/>
  <c r="Y194" i="48"/>
  <c r="Y121" i="48" s="1"/>
  <c r="R194" i="48"/>
  <c r="R121" i="48" s="1"/>
  <c r="AA194" i="48"/>
  <c r="AA121" i="48" s="1"/>
  <c r="AF194" i="48"/>
  <c r="AF121" i="48" s="1"/>
  <c r="P194" i="48"/>
  <c r="P121" i="48" s="1"/>
  <c r="AE194" i="48"/>
  <c r="AE121" i="48" s="1"/>
  <c r="S194" i="48"/>
  <c r="S121" i="48" s="1"/>
  <c r="AH194" i="48"/>
  <c r="AH121" i="48" s="1"/>
  <c r="M194" i="48"/>
  <c r="M121" i="48" s="1"/>
  <c r="V194" i="48"/>
  <c r="V121" i="48" s="1"/>
  <c r="AB194" i="48"/>
  <c r="AB121" i="48" s="1"/>
  <c r="L194" i="48"/>
  <c r="L198" i="48" s="1"/>
  <c r="Z194" i="48"/>
  <c r="Z121" i="48" s="1"/>
  <c r="AI194" i="48"/>
  <c r="AI121" i="48" s="1"/>
  <c r="N194" i="48"/>
  <c r="N121" i="48" s="1"/>
  <c r="AC194" i="48"/>
  <c r="AC121" i="48" s="1"/>
  <c r="Q194" i="48"/>
  <c r="Q121" i="48" s="1"/>
  <c r="O88" i="48"/>
  <c r="P71" i="48"/>
  <c r="L271" i="48"/>
  <c r="L276" i="48" s="1"/>
  <c r="O88" i="45"/>
  <c r="N92" i="45"/>
  <c r="N101" i="45" s="1"/>
  <c r="N106" i="45" s="1"/>
  <c r="N108" i="45" s="1"/>
  <c r="N111" i="45" s="1"/>
  <c r="O79" i="45"/>
  <c r="N116" i="45"/>
  <c r="N125" i="45" s="1"/>
  <c r="N130" i="45" s="1"/>
  <c r="N132" i="45" s="1"/>
  <c r="N135" i="45" s="1"/>
  <c r="P85" i="45"/>
  <c r="O93" i="45"/>
  <c r="O105" i="45" s="1"/>
  <c r="O117" i="45"/>
  <c r="O129" i="45" s="1"/>
  <c r="L149" i="45"/>
  <c r="L154" i="45" s="1"/>
  <c r="L156" i="45" s="1"/>
  <c r="L159" i="45" s="1"/>
  <c r="O71" i="45"/>
  <c r="K135" i="45"/>
  <c r="K136" i="45" s="1"/>
  <c r="K157" i="44"/>
  <c r="K159" i="44"/>
  <c r="K160" i="44" s="1"/>
  <c r="K135" i="44"/>
  <c r="K136" i="44" s="1"/>
  <c r="K133" i="44"/>
  <c r="N92" i="44"/>
  <c r="N101" i="44" s="1"/>
  <c r="N106" i="44" s="1"/>
  <c r="O79" i="44"/>
  <c r="O140" i="44" s="1"/>
  <c r="N116" i="44"/>
  <c r="N125" i="44" s="1"/>
  <c r="N130" i="44" s="1"/>
  <c r="K109" i="44"/>
  <c r="K111" i="44"/>
  <c r="K112" i="44" s="1"/>
  <c r="P88" i="44"/>
  <c r="L149" i="44"/>
  <c r="L154" i="44" s="1"/>
  <c r="L156" i="44" s="1"/>
  <c r="L159" i="44" s="1"/>
  <c r="P71" i="44"/>
  <c r="L14" i="23"/>
  <c r="N93" i="44" l="1"/>
  <c r="N105" i="44" s="1"/>
  <c r="N108" i="44" s="1"/>
  <c r="N111" i="44" s="1"/>
  <c r="N117" i="44"/>
  <c r="N129" i="44" s="1"/>
  <c r="N132" i="44" s="1"/>
  <c r="N135" i="44" s="1"/>
  <c r="O85" i="44"/>
  <c r="O141" i="44" s="1"/>
  <c r="K159" i="45"/>
  <c r="K160" i="45" s="1"/>
  <c r="L160" i="45" s="1"/>
  <c r="M132" i="44"/>
  <c r="M135" i="44" s="1"/>
  <c r="K111" i="45"/>
  <c r="K112" i="45" s="1"/>
  <c r="K72" i="45" s="1"/>
  <c r="P77" i="45"/>
  <c r="O140" i="45"/>
  <c r="P83" i="45"/>
  <c r="P117" i="45" s="1"/>
  <c r="P129" i="45" s="1"/>
  <c r="O141" i="45"/>
  <c r="O153" i="45" s="1"/>
  <c r="K95" i="12"/>
  <c r="K94" i="12"/>
  <c r="K72" i="44"/>
  <c r="K106" i="12"/>
  <c r="K73" i="44"/>
  <c r="K107" i="12"/>
  <c r="L109" i="45"/>
  <c r="M109" i="45" s="1"/>
  <c r="N109" i="45" s="1"/>
  <c r="L133" i="44"/>
  <c r="L109" i="44"/>
  <c r="M109" i="44" s="1"/>
  <c r="K83" i="12"/>
  <c r="L112" i="44"/>
  <c r="K82" i="12"/>
  <c r="L278" i="48"/>
  <c r="L281" i="48" s="1"/>
  <c r="K281" i="48"/>
  <c r="K282" i="48" s="1"/>
  <c r="K279" i="48"/>
  <c r="Q71" i="48"/>
  <c r="M198" i="48"/>
  <c r="N286" i="48"/>
  <c r="N262" i="48"/>
  <c r="N271" i="48" s="1"/>
  <c r="N276" i="48" s="1"/>
  <c r="N238" i="48"/>
  <c r="O79" i="48"/>
  <c r="N213" i="48"/>
  <c r="M278" i="48"/>
  <c r="M281" i="48" s="1"/>
  <c r="P88" i="48"/>
  <c r="N165" i="48"/>
  <c r="O76" i="48"/>
  <c r="N189" i="48"/>
  <c r="N198" i="48" s="1"/>
  <c r="M202" i="48"/>
  <c r="N166" i="48"/>
  <c r="O82" i="48"/>
  <c r="N190" i="48"/>
  <c r="N202" i="48" s="1"/>
  <c r="N214" i="48"/>
  <c r="N287" i="48"/>
  <c r="N263" i="48"/>
  <c r="N275" i="48" s="1"/>
  <c r="N239" i="48"/>
  <c r="O85" i="48"/>
  <c r="L125" i="48"/>
  <c r="L203" i="48"/>
  <c r="L130" i="48" s="1"/>
  <c r="L121" i="48"/>
  <c r="L202" i="48"/>
  <c r="K121" i="48"/>
  <c r="K198" i="48"/>
  <c r="K202" i="48"/>
  <c r="M149" i="45"/>
  <c r="M154" i="45" s="1"/>
  <c r="M156" i="45" s="1"/>
  <c r="M159" i="45" s="1"/>
  <c r="L136" i="45"/>
  <c r="L95" i="12" s="1"/>
  <c r="P93" i="45"/>
  <c r="P105" i="45" s="1"/>
  <c r="Q85" i="45"/>
  <c r="P88" i="45"/>
  <c r="L157" i="45"/>
  <c r="P71" i="45"/>
  <c r="N133" i="45"/>
  <c r="O92" i="45"/>
  <c r="O101" i="45" s="1"/>
  <c r="O106" i="45" s="1"/>
  <c r="O108" i="45" s="1"/>
  <c r="O111" i="45" s="1"/>
  <c r="P79" i="45"/>
  <c r="O116" i="45"/>
  <c r="O125" i="45" s="1"/>
  <c r="O130" i="45" s="1"/>
  <c r="O132" i="45" s="1"/>
  <c r="O135" i="45" s="1"/>
  <c r="M149" i="44"/>
  <c r="M154" i="44" s="1"/>
  <c r="M156" i="44" s="1"/>
  <c r="M159" i="44" s="1"/>
  <c r="O92" i="44"/>
  <c r="O101" i="44" s="1"/>
  <c r="O106" i="44" s="1"/>
  <c r="P79" i="44"/>
  <c r="P140" i="44" s="1"/>
  <c r="O116" i="44"/>
  <c r="O125" i="44" s="1"/>
  <c r="O130" i="44" s="1"/>
  <c r="Q71" i="44"/>
  <c r="Q88" i="44"/>
  <c r="L157" i="44"/>
  <c r="O93" i="44"/>
  <c r="O105" i="44" s="1"/>
  <c r="P85" i="44"/>
  <c r="P141" i="44" s="1"/>
  <c r="O117" i="44"/>
  <c r="O129" i="44" s="1"/>
  <c r="O153" i="44"/>
  <c r="L160" i="44"/>
  <c r="L136" i="44"/>
  <c r="L94" i="12" s="1"/>
  <c r="B7" i="43"/>
  <c r="M133" i="44" l="1"/>
  <c r="N133" i="44" s="1"/>
  <c r="L112" i="45"/>
  <c r="L73" i="45" s="1"/>
  <c r="K73" i="45"/>
  <c r="Q77" i="45"/>
  <c r="P140" i="45"/>
  <c r="Q83" i="45"/>
  <c r="P141" i="45"/>
  <c r="P153" i="45" s="1"/>
  <c r="L106" i="12"/>
  <c r="L73" i="44"/>
  <c r="L107" i="12"/>
  <c r="N109" i="44"/>
  <c r="L83" i="12"/>
  <c r="L282" i="48"/>
  <c r="M282" i="48" s="1"/>
  <c r="L279" i="48"/>
  <c r="M279" i="48" s="1"/>
  <c r="M112" i="44"/>
  <c r="L82" i="12"/>
  <c r="M157" i="45"/>
  <c r="O108" i="44"/>
  <c r="O111" i="44" s="1"/>
  <c r="N278" i="48"/>
  <c r="N281" i="48" s="1"/>
  <c r="O133" i="45"/>
  <c r="K125" i="48"/>
  <c r="K203" i="48"/>
  <c r="K130" i="48" s="1"/>
  <c r="M129" i="48"/>
  <c r="O286" i="48"/>
  <c r="O262" i="48"/>
  <c r="O271" i="48" s="1"/>
  <c r="O276" i="48" s="1"/>
  <c r="O238" i="48"/>
  <c r="P79" i="48"/>
  <c r="N125" i="48"/>
  <c r="N203" i="48"/>
  <c r="N130" i="48" s="1"/>
  <c r="L205" i="48"/>
  <c r="L208" i="48" s="1"/>
  <c r="L129" i="48"/>
  <c r="L132" i="48" s="1"/>
  <c r="L135" i="48" s="1"/>
  <c r="O263" i="48"/>
  <c r="O275" i="48" s="1"/>
  <c r="O287" i="48"/>
  <c r="O239" i="48"/>
  <c r="P85" i="48"/>
  <c r="K205" i="48"/>
  <c r="K129" i="48"/>
  <c r="N205" i="48"/>
  <c r="N208" i="48" s="1"/>
  <c r="N129" i="48"/>
  <c r="O213" i="48"/>
  <c r="R71" i="48"/>
  <c r="O166" i="48"/>
  <c r="P82" i="48"/>
  <c r="O214" i="48"/>
  <c r="O190" i="48"/>
  <c r="O202" i="48" s="1"/>
  <c r="M125" i="48"/>
  <c r="M203" i="48"/>
  <c r="M130" i="48" s="1"/>
  <c r="Q88" i="48"/>
  <c r="O165" i="48"/>
  <c r="P76" i="48"/>
  <c r="O189" i="48"/>
  <c r="O198" i="48" s="1"/>
  <c r="Q71" i="45"/>
  <c r="Q88" i="45"/>
  <c r="M136" i="45"/>
  <c r="M95" i="12" s="1"/>
  <c r="Q93" i="45"/>
  <c r="Q105" i="45" s="1"/>
  <c r="R85" i="45"/>
  <c r="M160" i="45"/>
  <c r="O109" i="45"/>
  <c r="P92" i="45"/>
  <c r="P101" i="45" s="1"/>
  <c r="P106" i="45" s="1"/>
  <c r="P108" i="45" s="1"/>
  <c r="P111" i="45" s="1"/>
  <c r="Q79" i="45"/>
  <c r="P116" i="45"/>
  <c r="P125" i="45" s="1"/>
  <c r="P130" i="45" s="1"/>
  <c r="P132" i="45" s="1"/>
  <c r="N149" i="45"/>
  <c r="N154" i="45" s="1"/>
  <c r="N156" i="45" s="1"/>
  <c r="N159" i="45" s="1"/>
  <c r="N149" i="44"/>
  <c r="N154" i="44" s="1"/>
  <c r="N156" i="44" s="1"/>
  <c r="N159" i="44" s="1"/>
  <c r="M136" i="44"/>
  <c r="M94" i="12" s="1"/>
  <c r="L72" i="44"/>
  <c r="O132" i="44"/>
  <c r="O135" i="44" s="1"/>
  <c r="R88" i="44"/>
  <c r="P92" i="44"/>
  <c r="P101" i="44" s="1"/>
  <c r="P106" i="44" s="1"/>
  <c r="Q79" i="44"/>
  <c r="Q140" i="44" s="1"/>
  <c r="P116" i="44"/>
  <c r="P125" i="44" s="1"/>
  <c r="P130" i="44" s="1"/>
  <c r="Q85" i="44"/>
  <c r="Q141" i="44" s="1"/>
  <c r="P93" i="44"/>
  <c r="P105" i="44" s="1"/>
  <c r="P153" i="44"/>
  <c r="P117" i="44"/>
  <c r="P129" i="44" s="1"/>
  <c r="M157" i="44"/>
  <c r="R71" i="44"/>
  <c r="M160" i="44"/>
  <c r="L72" i="45" l="1"/>
  <c r="M112" i="45"/>
  <c r="M73" i="45" s="1"/>
  <c r="R83" i="45"/>
  <c r="Q141" i="45"/>
  <c r="Q153" i="45" s="1"/>
  <c r="Q117" i="45"/>
  <c r="Q129" i="45" s="1"/>
  <c r="R77" i="45"/>
  <c r="Q140" i="45"/>
  <c r="M107" i="12"/>
  <c r="M106" i="12"/>
  <c r="M73" i="44"/>
  <c r="P132" i="44"/>
  <c r="P135" i="44" s="1"/>
  <c r="M83" i="12"/>
  <c r="O109" i="44"/>
  <c r="M82" i="12"/>
  <c r="N112" i="44"/>
  <c r="N279" i="48"/>
  <c r="N282" i="48"/>
  <c r="O133" i="44"/>
  <c r="N157" i="44"/>
  <c r="P108" i="44"/>
  <c r="P111" i="44" s="1"/>
  <c r="N157" i="45"/>
  <c r="O278" i="48"/>
  <c r="O281" i="48" s="1"/>
  <c r="P165" i="48"/>
  <c r="Q76" i="48"/>
  <c r="P189" i="48"/>
  <c r="P198" i="48" s="1"/>
  <c r="S71" i="48"/>
  <c r="P287" i="48"/>
  <c r="P263" i="48"/>
  <c r="P275" i="48" s="1"/>
  <c r="P239" i="48"/>
  <c r="Q85" i="48"/>
  <c r="O125" i="48"/>
  <c r="O203" i="48"/>
  <c r="O130" i="48" s="1"/>
  <c r="P166" i="48"/>
  <c r="Q82" i="48"/>
  <c r="P190" i="48"/>
  <c r="P202" i="48" s="1"/>
  <c r="P214" i="48"/>
  <c r="N132" i="48"/>
  <c r="N135" i="48" s="1"/>
  <c r="K132" i="48"/>
  <c r="P286" i="48"/>
  <c r="P262" i="48"/>
  <c r="P271" i="48" s="1"/>
  <c r="P276" i="48" s="1"/>
  <c r="P238" i="48"/>
  <c r="Q79" i="48"/>
  <c r="M132" i="48"/>
  <c r="M135" i="48" s="1"/>
  <c r="M205" i="48"/>
  <c r="M208" i="48" s="1"/>
  <c r="R88" i="48"/>
  <c r="K208" i="48"/>
  <c r="K209" i="48" s="1"/>
  <c r="L209" i="48" s="1"/>
  <c r="K206" i="48"/>
  <c r="L206" i="48" s="1"/>
  <c r="O129" i="48"/>
  <c r="O132" i="48" s="1"/>
  <c r="O135" i="48" s="1"/>
  <c r="P213" i="48"/>
  <c r="P135" i="45"/>
  <c r="P133" i="45"/>
  <c r="R71" i="45"/>
  <c r="R79" i="45"/>
  <c r="Q92" i="45"/>
  <c r="Q101" i="45" s="1"/>
  <c r="Q106" i="45" s="1"/>
  <c r="Q108" i="45" s="1"/>
  <c r="Q111" i="45" s="1"/>
  <c r="Q116" i="45"/>
  <c r="Q125" i="45" s="1"/>
  <c r="Q130" i="45" s="1"/>
  <c r="P109" i="45"/>
  <c r="N136" i="45"/>
  <c r="N95" i="12" s="1"/>
  <c r="R93" i="45"/>
  <c r="R105" i="45" s="1"/>
  <c r="S85" i="45"/>
  <c r="R117" i="45"/>
  <c r="R129" i="45" s="1"/>
  <c r="N160" i="45"/>
  <c r="R88" i="45"/>
  <c r="O149" i="45"/>
  <c r="O154" i="45" s="1"/>
  <c r="O156" i="45" s="1"/>
  <c r="O159" i="45" s="1"/>
  <c r="Q93" i="44"/>
  <c r="Q105" i="44" s="1"/>
  <c r="R85" i="44"/>
  <c r="R141" i="44" s="1"/>
  <c r="Q117" i="44"/>
  <c r="Q129" i="44" s="1"/>
  <c r="Q153" i="44"/>
  <c r="S88" i="44"/>
  <c r="N160" i="44"/>
  <c r="O149" i="44"/>
  <c r="O154" i="44" s="1"/>
  <c r="O156" i="44" s="1"/>
  <c r="O159" i="44" s="1"/>
  <c r="S71" i="44"/>
  <c r="Q92" i="44"/>
  <c r="Q101" i="44" s="1"/>
  <c r="Q106" i="44" s="1"/>
  <c r="R79" i="44"/>
  <c r="R140" i="44" s="1"/>
  <c r="Q116" i="44"/>
  <c r="Q125" i="44" s="1"/>
  <c r="Q130" i="44" s="1"/>
  <c r="N136" i="44"/>
  <c r="N94" i="12" s="1"/>
  <c r="M72" i="44"/>
  <c r="Q40" i="19"/>
  <c r="K88" i="41"/>
  <c r="L87" i="41"/>
  <c r="K85" i="41"/>
  <c r="L85" i="41" s="1"/>
  <c r="M85" i="41" s="1"/>
  <c r="N85" i="41" s="1"/>
  <c r="O85" i="41" s="1"/>
  <c r="P85" i="41" s="1"/>
  <c r="Q85" i="41" s="1"/>
  <c r="R85" i="41" s="1"/>
  <c r="S85" i="41" s="1"/>
  <c r="T85" i="41" s="1"/>
  <c r="U85" i="41" s="1"/>
  <c r="V85" i="41" s="1"/>
  <c r="W85" i="41" s="1"/>
  <c r="X85" i="41" s="1"/>
  <c r="Y85" i="41" s="1"/>
  <c r="Z85" i="41" s="1"/>
  <c r="AA85" i="41" s="1"/>
  <c r="AB85" i="41" s="1"/>
  <c r="AC85" i="41" s="1"/>
  <c r="AD85" i="41" s="1"/>
  <c r="AE85" i="41" s="1"/>
  <c r="AF85" i="41" s="1"/>
  <c r="AG85" i="41" s="1"/>
  <c r="AH85" i="41" s="1"/>
  <c r="AI85" i="41" s="1"/>
  <c r="AJ85" i="41" s="1"/>
  <c r="K83" i="41"/>
  <c r="K82" i="41"/>
  <c r="L82" i="41" s="1"/>
  <c r="K81" i="41"/>
  <c r="L81" i="41" s="1"/>
  <c r="M81" i="41" s="1"/>
  <c r="N81" i="41" s="1"/>
  <c r="O81" i="41" s="1"/>
  <c r="P81" i="41" s="1"/>
  <c r="Q81" i="41" s="1"/>
  <c r="R81" i="41" s="1"/>
  <c r="S81" i="41" s="1"/>
  <c r="T81" i="41" s="1"/>
  <c r="U81" i="41" s="1"/>
  <c r="V81" i="41" s="1"/>
  <c r="W81" i="41" s="1"/>
  <c r="X81" i="41" s="1"/>
  <c r="Y81" i="41" s="1"/>
  <c r="Z81" i="41" s="1"/>
  <c r="AA81" i="41" s="1"/>
  <c r="AB81" i="41" s="1"/>
  <c r="AC81" i="41" s="1"/>
  <c r="AD81" i="41" s="1"/>
  <c r="AE81" i="41" s="1"/>
  <c r="AF81" i="41" s="1"/>
  <c r="AG81" i="41" s="1"/>
  <c r="AH81" i="41" s="1"/>
  <c r="AI81" i="41" s="1"/>
  <c r="AJ81" i="41" s="1"/>
  <c r="K79" i="41"/>
  <c r="L79" i="41" s="1"/>
  <c r="M79" i="41" s="1"/>
  <c r="N79" i="41" s="1"/>
  <c r="O79" i="41" s="1"/>
  <c r="P79" i="41" s="1"/>
  <c r="Q79" i="41" s="1"/>
  <c r="R79" i="41" s="1"/>
  <c r="S79" i="41" s="1"/>
  <c r="T79" i="41" s="1"/>
  <c r="U79" i="41" s="1"/>
  <c r="V79" i="41" s="1"/>
  <c r="W79" i="41" s="1"/>
  <c r="X79" i="41" s="1"/>
  <c r="Y79" i="41" s="1"/>
  <c r="Z79" i="41" s="1"/>
  <c r="AA79" i="41" s="1"/>
  <c r="AB79" i="41" s="1"/>
  <c r="AC79" i="41" s="1"/>
  <c r="AD79" i="41" s="1"/>
  <c r="AE79" i="41" s="1"/>
  <c r="AF79" i="41" s="1"/>
  <c r="AG79" i="41" s="1"/>
  <c r="AH79" i="41" s="1"/>
  <c r="AI79" i="41" s="1"/>
  <c r="AJ79" i="41" s="1"/>
  <c r="K77" i="41"/>
  <c r="K76" i="41"/>
  <c r="L76" i="41" s="1"/>
  <c r="K75" i="41"/>
  <c r="L75" i="41" s="1"/>
  <c r="M75" i="41" s="1"/>
  <c r="N75" i="41" s="1"/>
  <c r="O75" i="41" s="1"/>
  <c r="P75" i="41" s="1"/>
  <c r="Q75" i="41" s="1"/>
  <c r="R75" i="41" s="1"/>
  <c r="S75" i="41" s="1"/>
  <c r="T75" i="41" s="1"/>
  <c r="U75" i="41" s="1"/>
  <c r="V75" i="41" s="1"/>
  <c r="W75" i="41" s="1"/>
  <c r="X75" i="41" s="1"/>
  <c r="Y75" i="41" s="1"/>
  <c r="Z75" i="41" s="1"/>
  <c r="AA75" i="41" s="1"/>
  <c r="AB75" i="41" s="1"/>
  <c r="AC75" i="41" s="1"/>
  <c r="AD75" i="41" s="1"/>
  <c r="AE75" i="41" s="1"/>
  <c r="AF75" i="41" s="1"/>
  <c r="AG75" i="41" s="1"/>
  <c r="AH75" i="41" s="1"/>
  <c r="AI75" i="41" s="1"/>
  <c r="AJ75" i="41" s="1"/>
  <c r="L71" i="41"/>
  <c r="M71" i="41" s="1"/>
  <c r="N71" i="41" s="1"/>
  <c r="O71" i="41" s="1"/>
  <c r="P71" i="41" s="1"/>
  <c r="Q71" i="41" s="1"/>
  <c r="R71" i="41" s="1"/>
  <c r="S71" i="41" s="1"/>
  <c r="T71" i="41" s="1"/>
  <c r="U71" i="41" s="1"/>
  <c r="V71" i="41" s="1"/>
  <c r="W71" i="41" s="1"/>
  <c r="X71" i="41" s="1"/>
  <c r="Y71" i="41" s="1"/>
  <c r="Z71" i="41" s="1"/>
  <c r="AA71" i="41" s="1"/>
  <c r="AB71" i="41" s="1"/>
  <c r="AC71" i="41" s="1"/>
  <c r="AD71" i="41" s="1"/>
  <c r="AE71" i="41" s="1"/>
  <c r="AF71" i="41" s="1"/>
  <c r="AG71" i="41" s="1"/>
  <c r="AH71" i="41" s="1"/>
  <c r="AI71" i="41" s="1"/>
  <c r="AJ71" i="41" s="1"/>
  <c r="Q42" i="41"/>
  <c r="Q41" i="41"/>
  <c r="Q40" i="41"/>
  <c r="Q39" i="41"/>
  <c r="Q37" i="41"/>
  <c r="Q36" i="41"/>
  <c r="Q30" i="41"/>
  <c r="Q24" i="41"/>
  <c r="K24" i="41"/>
  <c r="Q23" i="41"/>
  <c r="K23" i="41"/>
  <c r="Q22" i="41"/>
  <c r="K22" i="41"/>
  <c r="Q21" i="41"/>
  <c r="K21" i="41"/>
  <c r="Q19" i="41"/>
  <c r="K19" i="41"/>
  <c r="Q18" i="41"/>
  <c r="K18" i="41"/>
  <c r="Q11" i="41"/>
  <c r="K11" i="41"/>
  <c r="AJ97" i="41" s="1"/>
  <c r="K43" i="27"/>
  <c r="K45" i="27"/>
  <c r="K47" i="27"/>
  <c r="K48" i="27"/>
  <c r="K42" i="27"/>
  <c r="AC43" i="27"/>
  <c r="AC45" i="27"/>
  <c r="AC47" i="27"/>
  <c r="AC48" i="27"/>
  <c r="AC42" i="27"/>
  <c r="Q43" i="27"/>
  <c r="Q45" i="27"/>
  <c r="Q47" i="27"/>
  <c r="Q48" i="27"/>
  <c r="AC46" i="26"/>
  <c r="AC45" i="26"/>
  <c r="AC43" i="26"/>
  <c r="AC41" i="26"/>
  <c r="AC40" i="26"/>
  <c r="Q41" i="26"/>
  <c r="Q43" i="26"/>
  <c r="Q45" i="26"/>
  <c r="Q46" i="26"/>
  <c r="K41" i="26"/>
  <c r="K43" i="26"/>
  <c r="K104" i="26" s="1"/>
  <c r="K45" i="26"/>
  <c r="K46" i="26"/>
  <c r="K40" i="26"/>
  <c r="Q50" i="25"/>
  <c r="AC46" i="25"/>
  <c r="AC48" i="25"/>
  <c r="AC50" i="25"/>
  <c r="AC51" i="25"/>
  <c r="AC45" i="25"/>
  <c r="K46" i="25"/>
  <c r="K48" i="25"/>
  <c r="K50" i="25"/>
  <c r="K51" i="25"/>
  <c r="K45" i="25"/>
  <c r="K41" i="28"/>
  <c r="K47" i="28"/>
  <c r="K46" i="28"/>
  <c r="Q42" i="19"/>
  <c r="M72" i="45" l="1"/>
  <c r="AJ103" i="41"/>
  <c r="K152" i="41"/>
  <c r="M145" i="41"/>
  <c r="Q145" i="41"/>
  <c r="U145" i="41"/>
  <c r="Y145" i="41"/>
  <c r="AC145" i="41"/>
  <c r="AG145" i="41"/>
  <c r="Z145" i="41"/>
  <c r="AH145" i="41"/>
  <c r="S145" i="41"/>
  <c r="AE145" i="41"/>
  <c r="AI145" i="41"/>
  <c r="P145" i="41"/>
  <c r="T145" i="41"/>
  <c r="AB145" i="41"/>
  <c r="K145" i="41"/>
  <c r="N145" i="41"/>
  <c r="R145" i="41"/>
  <c r="V145" i="41"/>
  <c r="AD145" i="41"/>
  <c r="O145" i="41"/>
  <c r="W145" i="41"/>
  <c r="AA145" i="41"/>
  <c r="AJ145" i="41"/>
  <c r="L145" i="41"/>
  <c r="X145" i="41"/>
  <c r="AF145" i="41"/>
  <c r="AJ151" i="41"/>
  <c r="K128" i="41"/>
  <c r="M121" i="41"/>
  <c r="Q121" i="41"/>
  <c r="U121" i="41"/>
  <c r="Y121" i="41"/>
  <c r="AC121" i="41"/>
  <c r="AG121" i="41"/>
  <c r="S121" i="41"/>
  <c r="AE121" i="41"/>
  <c r="AI121" i="41"/>
  <c r="L121" i="41"/>
  <c r="T121" i="41"/>
  <c r="AB121" i="41"/>
  <c r="AJ121" i="41"/>
  <c r="N121" i="41"/>
  <c r="R121" i="41"/>
  <c r="V121" i="41"/>
  <c r="Z121" i="41"/>
  <c r="AD121" i="41"/>
  <c r="AH121" i="41"/>
  <c r="K121" i="41"/>
  <c r="O121" i="41"/>
  <c r="W121" i="41"/>
  <c r="AA121" i="41"/>
  <c r="P121" i="41"/>
  <c r="X121" i="41"/>
  <c r="AF121" i="41"/>
  <c r="AJ127" i="41"/>
  <c r="K104" i="41"/>
  <c r="N112" i="45"/>
  <c r="N72" i="45" s="1"/>
  <c r="S77" i="45"/>
  <c r="R140" i="45"/>
  <c r="Q132" i="45"/>
  <c r="Q135" i="45" s="1"/>
  <c r="S83" i="45"/>
  <c r="R141" i="45"/>
  <c r="R153" i="45" s="1"/>
  <c r="M87" i="41"/>
  <c r="L152" i="41"/>
  <c r="L128" i="41"/>
  <c r="L104" i="41"/>
  <c r="M82" i="41"/>
  <c r="L141" i="41"/>
  <c r="M76" i="41"/>
  <c r="L140" i="41"/>
  <c r="K151" i="26"/>
  <c r="L151" i="26"/>
  <c r="K152" i="26"/>
  <c r="K103" i="26"/>
  <c r="AJ127" i="26"/>
  <c r="K128" i="26"/>
  <c r="L154" i="25"/>
  <c r="T154" i="25"/>
  <c r="AB154" i="25"/>
  <c r="V154" i="25"/>
  <c r="X154" i="25"/>
  <c r="Q154" i="25"/>
  <c r="R154" i="25"/>
  <c r="AA154" i="25"/>
  <c r="M154" i="25"/>
  <c r="AC154" i="25"/>
  <c r="K154" i="25"/>
  <c r="N154" i="25"/>
  <c r="AD154" i="25"/>
  <c r="AG154" i="25"/>
  <c r="O154" i="25"/>
  <c r="W154" i="25"/>
  <c r="P154" i="25"/>
  <c r="AF154" i="25"/>
  <c r="Y154" i="25"/>
  <c r="AH154" i="25"/>
  <c r="S154" i="25"/>
  <c r="AI154" i="25"/>
  <c r="L106" i="25"/>
  <c r="T106" i="25"/>
  <c r="AB106" i="25"/>
  <c r="AJ106" i="25"/>
  <c r="N106" i="25"/>
  <c r="V106" i="25"/>
  <c r="AD106" i="25"/>
  <c r="O106" i="25"/>
  <c r="W106" i="25"/>
  <c r="P106" i="25"/>
  <c r="X106" i="25"/>
  <c r="AF106" i="25"/>
  <c r="Q106" i="25"/>
  <c r="Y106" i="25"/>
  <c r="AG106" i="25"/>
  <c r="R106" i="25"/>
  <c r="Z106" i="25"/>
  <c r="AH106" i="25"/>
  <c r="S106" i="25"/>
  <c r="AA106" i="25"/>
  <c r="AI106" i="25"/>
  <c r="M106" i="25"/>
  <c r="AC106" i="25"/>
  <c r="K107" i="25"/>
  <c r="L151" i="41"/>
  <c r="T151" i="41"/>
  <c r="AB151" i="41"/>
  <c r="M151" i="41"/>
  <c r="U151" i="41"/>
  <c r="AC151" i="41"/>
  <c r="N151" i="41"/>
  <c r="V151" i="41"/>
  <c r="AD151" i="41"/>
  <c r="AE151" i="41"/>
  <c r="X151" i="41"/>
  <c r="Q151" i="41"/>
  <c r="AG151" i="41"/>
  <c r="Z151" i="41"/>
  <c r="S151" i="41"/>
  <c r="AI151" i="41"/>
  <c r="AF151" i="41"/>
  <c r="O151" i="41"/>
  <c r="W151" i="41"/>
  <c r="P151" i="41"/>
  <c r="Y151" i="41"/>
  <c r="R151" i="41"/>
  <c r="AH151" i="41"/>
  <c r="AA151" i="41"/>
  <c r="K151" i="41"/>
  <c r="P133" i="44"/>
  <c r="K103" i="41"/>
  <c r="N106" i="12"/>
  <c r="N73" i="44"/>
  <c r="N107" i="12"/>
  <c r="K103" i="27"/>
  <c r="K151" i="27"/>
  <c r="O151" i="27"/>
  <c r="S151" i="27"/>
  <c r="W151" i="27"/>
  <c r="AA151" i="27"/>
  <c r="AI151" i="27"/>
  <c r="L151" i="27"/>
  <c r="P151" i="27"/>
  <c r="T151" i="27"/>
  <c r="X151" i="27"/>
  <c r="AB151" i="27"/>
  <c r="AF151" i="27"/>
  <c r="AJ151" i="27"/>
  <c r="M151" i="27"/>
  <c r="Q151" i="27"/>
  <c r="Y151" i="27"/>
  <c r="AC151" i="27"/>
  <c r="AG151" i="27"/>
  <c r="N151" i="27"/>
  <c r="R151" i="27"/>
  <c r="V151" i="27"/>
  <c r="Z151" i="27"/>
  <c r="AD151" i="27"/>
  <c r="AH151" i="27"/>
  <c r="AB127" i="27"/>
  <c r="R127" i="27"/>
  <c r="V127" i="27"/>
  <c r="AD127" i="27"/>
  <c r="AH127" i="27"/>
  <c r="L127" i="27"/>
  <c r="P127" i="27"/>
  <c r="X127" i="27"/>
  <c r="AJ127" i="27"/>
  <c r="K127" i="41"/>
  <c r="K106" i="25"/>
  <c r="O103" i="41"/>
  <c r="W103" i="41"/>
  <c r="AE103" i="41"/>
  <c r="P103" i="41"/>
  <c r="X103" i="41"/>
  <c r="AF103" i="41"/>
  <c r="R103" i="41"/>
  <c r="Z103" i="41"/>
  <c r="AH103" i="41"/>
  <c r="S103" i="41"/>
  <c r="AA103" i="41"/>
  <c r="AI103" i="41"/>
  <c r="L103" i="41"/>
  <c r="T103" i="41"/>
  <c r="AB103" i="41"/>
  <c r="M103" i="41"/>
  <c r="U103" i="41"/>
  <c r="AC103" i="41"/>
  <c r="N103" i="41"/>
  <c r="V103" i="41"/>
  <c r="AD103" i="41"/>
  <c r="Y103" i="41"/>
  <c r="AG103" i="41"/>
  <c r="Q103" i="41"/>
  <c r="Q127" i="41"/>
  <c r="Y127" i="41"/>
  <c r="AG127" i="41"/>
  <c r="R127" i="41"/>
  <c r="Z127" i="41"/>
  <c r="AH127" i="41"/>
  <c r="L127" i="41"/>
  <c r="T127" i="41"/>
  <c r="AB127" i="41"/>
  <c r="M127" i="41"/>
  <c r="U127" i="41"/>
  <c r="AC127" i="41"/>
  <c r="N127" i="41"/>
  <c r="V127" i="41"/>
  <c r="AD127" i="41"/>
  <c r="O127" i="41"/>
  <c r="W127" i="41"/>
  <c r="AE127" i="41"/>
  <c r="P127" i="41"/>
  <c r="X127" i="41"/>
  <c r="AF127" i="41"/>
  <c r="AA127" i="41"/>
  <c r="S127" i="41"/>
  <c r="AI127" i="41"/>
  <c r="T151" i="26"/>
  <c r="X151" i="26"/>
  <c r="AB151" i="26"/>
  <c r="AF151" i="26"/>
  <c r="M151" i="26"/>
  <c r="AC151" i="26"/>
  <c r="N151" i="26"/>
  <c r="V151" i="26"/>
  <c r="AD151" i="26"/>
  <c r="AH151" i="26"/>
  <c r="R151" i="26"/>
  <c r="O151" i="26"/>
  <c r="S151" i="26"/>
  <c r="W151" i="26"/>
  <c r="AA151" i="26"/>
  <c r="AI151" i="26"/>
  <c r="Q151" i="26"/>
  <c r="Y151" i="26"/>
  <c r="AG151" i="26"/>
  <c r="R127" i="26"/>
  <c r="V127" i="26"/>
  <c r="AD127" i="26"/>
  <c r="AE127" i="26"/>
  <c r="L127" i="26"/>
  <c r="P127" i="26"/>
  <c r="T127" i="26"/>
  <c r="AB127" i="26"/>
  <c r="AF127" i="26"/>
  <c r="W127" i="26"/>
  <c r="AI127" i="26"/>
  <c r="M127" i="26"/>
  <c r="Q127" i="26"/>
  <c r="U127" i="26"/>
  <c r="Y127" i="26"/>
  <c r="AG127" i="26"/>
  <c r="O127" i="26"/>
  <c r="AA127" i="26"/>
  <c r="M103" i="26"/>
  <c r="Q103" i="26"/>
  <c r="Y103" i="26"/>
  <c r="AC103" i="26"/>
  <c r="AG103" i="26"/>
  <c r="R103" i="26"/>
  <c r="AH103" i="26"/>
  <c r="S103" i="26"/>
  <c r="O103" i="26"/>
  <c r="AA103" i="26"/>
  <c r="L103" i="26"/>
  <c r="T103" i="26"/>
  <c r="X103" i="26"/>
  <c r="AB103" i="26"/>
  <c r="AF103" i="26"/>
  <c r="N103" i="26"/>
  <c r="V103" i="26"/>
  <c r="AD103" i="26"/>
  <c r="W103" i="26"/>
  <c r="AI103" i="26"/>
  <c r="O282" i="48"/>
  <c r="N83" i="12"/>
  <c r="N82" i="12"/>
  <c r="O112" i="44"/>
  <c r="O82" i="12" s="1"/>
  <c r="O279" i="48"/>
  <c r="P109" i="44"/>
  <c r="M206" i="48"/>
  <c r="N206" i="48" s="1"/>
  <c r="M209" i="48"/>
  <c r="N209" i="48" s="1"/>
  <c r="O205" i="48"/>
  <c r="O208" i="48" s="1"/>
  <c r="Q166" i="48"/>
  <c r="R82" i="48"/>
  <c r="Q190" i="48"/>
  <c r="Q202" i="48" s="1"/>
  <c r="Q214" i="48"/>
  <c r="P129" i="48"/>
  <c r="P125" i="48"/>
  <c r="P203" i="48"/>
  <c r="P130" i="48" s="1"/>
  <c r="S88" i="48"/>
  <c r="T71" i="48"/>
  <c r="Q165" i="48"/>
  <c r="R76" i="48"/>
  <c r="Q189" i="48"/>
  <c r="Q198" i="48" s="1"/>
  <c r="Q213" i="48"/>
  <c r="Q287" i="48"/>
  <c r="Q239" i="48"/>
  <c r="Q263" i="48"/>
  <c r="Q275" i="48" s="1"/>
  <c r="R85" i="48"/>
  <c r="Q286" i="48"/>
  <c r="Q262" i="48"/>
  <c r="Q271" i="48" s="1"/>
  <c r="Q276" i="48" s="1"/>
  <c r="Q238" i="48"/>
  <c r="R79" i="48"/>
  <c r="K133" i="48"/>
  <c r="L133" i="48" s="1"/>
  <c r="M133" i="48" s="1"/>
  <c r="N133" i="48" s="1"/>
  <c r="O133" i="48" s="1"/>
  <c r="K135" i="48"/>
  <c r="K136" i="48" s="1"/>
  <c r="P278" i="48"/>
  <c r="P281" i="48" s="1"/>
  <c r="S71" i="45"/>
  <c r="P149" i="45"/>
  <c r="P154" i="45" s="1"/>
  <c r="P156" i="45" s="1"/>
  <c r="P159" i="45" s="1"/>
  <c r="O160" i="45"/>
  <c r="R92" i="45"/>
  <c r="R101" i="45" s="1"/>
  <c r="R106" i="45" s="1"/>
  <c r="R108" i="45" s="1"/>
  <c r="R111" i="45" s="1"/>
  <c r="S79" i="45"/>
  <c r="R116" i="45"/>
  <c r="R125" i="45" s="1"/>
  <c r="R130" i="45" s="1"/>
  <c r="R132" i="45" s="1"/>
  <c r="R135" i="45" s="1"/>
  <c r="O157" i="45"/>
  <c r="Q109" i="45"/>
  <c r="S88" i="45"/>
  <c r="T85" i="45"/>
  <c r="S93" i="45"/>
  <c r="S105" i="45" s="1"/>
  <c r="S117" i="45"/>
  <c r="S129" i="45" s="1"/>
  <c r="O136" i="45"/>
  <c r="O95" i="12" s="1"/>
  <c r="O157" i="44"/>
  <c r="O136" i="44"/>
  <c r="O94" i="12" s="1"/>
  <c r="N72" i="44"/>
  <c r="T71" i="44"/>
  <c r="Q132" i="44"/>
  <c r="R93" i="44"/>
  <c r="R105" i="44" s="1"/>
  <c r="S85" i="44"/>
  <c r="S141" i="44" s="1"/>
  <c r="R153" i="44"/>
  <c r="R117" i="44"/>
  <c r="R129" i="44" s="1"/>
  <c r="O160" i="44"/>
  <c r="R92" i="44"/>
  <c r="R101" i="44" s="1"/>
  <c r="R106" i="44" s="1"/>
  <c r="S79" i="44"/>
  <c r="S140" i="44" s="1"/>
  <c r="R116" i="44"/>
  <c r="R125" i="44" s="1"/>
  <c r="R130" i="44" s="1"/>
  <c r="P149" i="44"/>
  <c r="P154" i="44" s="1"/>
  <c r="P156" i="44" s="1"/>
  <c r="P159" i="44" s="1"/>
  <c r="Q108" i="44"/>
  <c r="Q111" i="44" s="1"/>
  <c r="T88" i="44"/>
  <c r="K92" i="41"/>
  <c r="L77" i="41"/>
  <c r="L92" i="41" s="1"/>
  <c r="K155" i="25"/>
  <c r="Q13" i="41"/>
  <c r="K128" i="27"/>
  <c r="K104" i="27"/>
  <c r="K152" i="27"/>
  <c r="K117" i="41"/>
  <c r="K129" i="41" s="1"/>
  <c r="K116" i="41"/>
  <c r="K125" i="41" s="1"/>
  <c r="K130" i="41" s="1"/>
  <c r="AH97" i="41"/>
  <c r="AD97" i="41"/>
  <c r="Z97" i="41"/>
  <c r="V97" i="41"/>
  <c r="R97" i="41"/>
  <c r="N97" i="41"/>
  <c r="AI97" i="41"/>
  <c r="AC97" i="41"/>
  <c r="X97" i="41"/>
  <c r="S97" i="41"/>
  <c r="M97" i="41"/>
  <c r="AG97" i="41"/>
  <c r="AB97" i="41"/>
  <c r="W97" i="41"/>
  <c r="Q97" i="41"/>
  <c r="L97" i="41"/>
  <c r="AF97" i="41"/>
  <c r="AA97" i="41"/>
  <c r="U97" i="41"/>
  <c r="P97" i="41"/>
  <c r="K97" i="41"/>
  <c r="AE97" i="41"/>
  <c r="Y97" i="41"/>
  <c r="T97" i="41"/>
  <c r="O97" i="41"/>
  <c r="Q31" i="41"/>
  <c r="K93" i="41"/>
  <c r="L83" i="41"/>
  <c r="M104" i="41"/>
  <c r="L88" i="41"/>
  <c r="B7" i="21"/>
  <c r="AC43" i="19"/>
  <c r="AC42" i="19"/>
  <c r="AC40" i="19"/>
  <c r="AC38" i="19"/>
  <c r="AC37" i="19"/>
  <c r="K37" i="19"/>
  <c r="K43" i="19"/>
  <c r="K42" i="19"/>
  <c r="Q41" i="29"/>
  <c r="Q23" i="29"/>
  <c r="K23" i="29"/>
  <c r="K18" i="29"/>
  <c r="K24" i="29"/>
  <c r="Q106" i="24"/>
  <c r="P106" i="24"/>
  <c r="O106" i="24"/>
  <c r="Q99" i="24"/>
  <c r="P99" i="24"/>
  <c r="O99" i="24"/>
  <c r="Q90" i="24"/>
  <c r="P90" i="24"/>
  <c r="O90" i="24"/>
  <c r="Q74" i="24"/>
  <c r="P74" i="24"/>
  <c r="O74" i="24"/>
  <c r="Q66" i="24"/>
  <c r="P66" i="24"/>
  <c r="O66" i="24"/>
  <c r="Q58" i="24"/>
  <c r="P58" i="24"/>
  <c r="O58" i="24"/>
  <c r="Q48" i="24"/>
  <c r="P48" i="24"/>
  <c r="Q40" i="24"/>
  <c r="P40" i="24"/>
  <c r="O40" i="24"/>
  <c r="O48" i="24"/>
  <c r="AC31" i="26"/>
  <c r="Q31" i="26"/>
  <c r="K31" i="26"/>
  <c r="AC22" i="26"/>
  <c r="Q22" i="26"/>
  <c r="K22" i="26"/>
  <c r="AC37" i="25"/>
  <c r="Q37" i="25"/>
  <c r="K37" i="25"/>
  <c r="Q34" i="19"/>
  <c r="AC34" i="19"/>
  <c r="AC31" i="19"/>
  <c r="AC30" i="19"/>
  <c r="AC29" i="19"/>
  <c r="AC28" i="19"/>
  <c r="K31" i="19"/>
  <c r="K30" i="19"/>
  <c r="K29" i="19"/>
  <c r="K28" i="19"/>
  <c r="Q28" i="19"/>
  <c r="Q29" i="19"/>
  <c r="Q30" i="19"/>
  <c r="Q31" i="19"/>
  <c r="O112" i="45" l="1"/>
  <c r="O73" i="45" s="1"/>
  <c r="N73" i="45"/>
  <c r="Q133" i="45"/>
  <c r="R133" i="45" s="1"/>
  <c r="T83" i="45"/>
  <c r="S141" i="45"/>
  <c r="S153" i="45" s="1"/>
  <c r="T77" i="45"/>
  <c r="S140" i="45"/>
  <c r="N76" i="41"/>
  <c r="M140" i="41"/>
  <c r="N82" i="41"/>
  <c r="M141" i="41"/>
  <c r="N87" i="41"/>
  <c r="M152" i="41"/>
  <c r="M128" i="41"/>
  <c r="O107" i="12"/>
  <c r="O106" i="12"/>
  <c r="O73" i="44"/>
  <c r="S151" i="19"/>
  <c r="AA151" i="19"/>
  <c r="AI151" i="19"/>
  <c r="N151" i="19"/>
  <c r="V151" i="19"/>
  <c r="AD151" i="19"/>
  <c r="O151" i="19"/>
  <c r="W151" i="19"/>
  <c r="AE151" i="19"/>
  <c r="X151" i="19"/>
  <c r="AF151" i="19"/>
  <c r="Q151" i="19"/>
  <c r="Y151" i="19"/>
  <c r="AG151" i="19"/>
  <c r="R151" i="19"/>
  <c r="Z151" i="19"/>
  <c r="AH151" i="19"/>
  <c r="L151" i="19"/>
  <c r="K151" i="19"/>
  <c r="M151" i="19"/>
  <c r="T151" i="19"/>
  <c r="U151" i="19"/>
  <c r="AB151" i="19"/>
  <c r="AC151" i="19"/>
  <c r="K105" i="41"/>
  <c r="P282" i="48"/>
  <c r="O83" i="12"/>
  <c r="P112" i="45"/>
  <c r="P112" i="44"/>
  <c r="P82" i="12" s="1"/>
  <c r="Q278" i="48"/>
  <c r="Q281" i="48" s="1"/>
  <c r="Q109" i="44"/>
  <c r="R132" i="44"/>
  <c r="R135" i="44" s="1"/>
  <c r="P157" i="45"/>
  <c r="O209" i="48"/>
  <c r="P279" i="48"/>
  <c r="O206" i="48"/>
  <c r="R287" i="48"/>
  <c r="R263" i="48"/>
  <c r="R275" i="48" s="1"/>
  <c r="R239" i="48"/>
  <c r="S85" i="48"/>
  <c r="Q125" i="48"/>
  <c r="Q203" i="48"/>
  <c r="Q130" i="48" s="1"/>
  <c r="R166" i="48"/>
  <c r="S82" i="48"/>
  <c r="R190" i="48"/>
  <c r="R202" i="48" s="1"/>
  <c r="R214" i="48"/>
  <c r="R213" i="48"/>
  <c r="R165" i="48"/>
  <c r="S76" i="48"/>
  <c r="R189" i="48"/>
  <c r="R198" i="48" s="1"/>
  <c r="P132" i="48"/>
  <c r="P135" i="48" s="1"/>
  <c r="R286" i="48"/>
  <c r="R262" i="48"/>
  <c r="R271" i="48" s="1"/>
  <c r="R276" i="48" s="1"/>
  <c r="R238" i="48"/>
  <c r="S79" i="48"/>
  <c r="L136" i="48"/>
  <c r="U71" i="48"/>
  <c r="T88" i="48"/>
  <c r="P205" i="48"/>
  <c r="Q205" i="48"/>
  <c r="Q208" i="48" s="1"/>
  <c r="Q129" i="48"/>
  <c r="Q132" i="48" s="1"/>
  <c r="Q135" i="48" s="1"/>
  <c r="T88" i="45"/>
  <c r="T71" i="45"/>
  <c r="R109" i="45"/>
  <c r="S92" i="45"/>
  <c r="S101" i="45" s="1"/>
  <c r="S106" i="45" s="1"/>
  <c r="S108" i="45" s="1"/>
  <c r="S111" i="45" s="1"/>
  <c r="T79" i="45"/>
  <c r="S116" i="45"/>
  <c r="S125" i="45" s="1"/>
  <c r="S130" i="45" s="1"/>
  <c r="S132" i="45" s="1"/>
  <c r="S135" i="45" s="1"/>
  <c r="P160" i="45"/>
  <c r="P136" i="45"/>
  <c r="P95" i="12" s="1"/>
  <c r="U85" i="45"/>
  <c r="T93" i="45"/>
  <c r="T105" i="45" s="1"/>
  <c r="T117" i="45"/>
  <c r="T129" i="45" s="1"/>
  <c r="Q149" i="45"/>
  <c r="Q154" i="45" s="1"/>
  <c r="Q156" i="45" s="1"/>
  <c r="Q159" i="45" s="1"/>
  <c r="U88" i="44"/>
  <c r="P160" i="44"/>
  <c r="R108" i="44"/>
  <c r="R111" i="44" s="1"/>
  <c r="S92" i="44"/>
  <c r="S101" i="44" s="1"/>
  <c r="S106" i="44" s="1"/>
  <c r="T79" i="44"/>
  <c r="T140" i="44" s="1"/>
  <c r="S116" i="44"/>
  <c r="S125" i="44" s="1"/>
  <c r="S130" i="44" s="1"/>
  <c r="Q135" i="44"/>
  <c r="Q133" i="44"/>
  <c r="P136" i="44"/>
  <c r="P94" i="12" s="1"/>
  <c r="O72" i="44"/>
  <c r="Q149" i="44"/>
  <c r="Q154" i="44" s="1"/>
  <c r="Q156" i="44" s="1"/>
  <c r="Q159" i="44" s="1"/>
  <c r="U71" i="44"/>
  <c r="P157" i="44"/>
  <c r="S93" i="44"/>
  <c r="S105" i="44" s="1"/>
  <c r="T85" i="44"/>
  <c r="T141" i="44" s="1"/>
  <c r="S153" i="44"/>
  <c r="S117" i="44"/>
  <c r="S129" i="44" s="1"/>
  <c r="L101" i="41"/>
  <c r="L106" i="41" s="1"/>
  <c r="K101" i="41"/>
  <c r="K106" i="41" s="1"/>
  <c r="M77" i="41"/>
  <c r="M92" i="41" s="1"/>
  <c r="M101" i="41" s="1"/>
  <c r="L116" i="41"/>
  <c r="L125" i="41" s="1"/>
  <c r="L130" i="41" s="1"/>
  <c r="M88" i="41"/>
  <c r="L93" i="41"/>
  <c r="L105" i="41" s="1"/>
  <c r="M83" i="41"/>
  <c r="L153" i="41"/>
  <c r="L117" i="41"/>
  <c r="L129" i="41" s="1"/>
  <c r="K132" i="41"/>
  <c r="O72" i="45" l="1"/>
  <c r="U83" i="45"/>
  <c r="T141" i="45"/>
  <c r="T153" i="45" s="1"/>
  <c r="U77" i="45"/>
  <c r="T140" i="45"/>
  <c r="M106" i="41"/>
  <c r="O82" i="41"/>
  <c r="N141" i="41"/>
  <c r="O87" i="41"/>
  <c r="N152" i="41"/>
  <c r="N128" i="41"/>
  <c r="N104" i="41"/>
  <c r="O76" i="41"/>
  <c r="N140" i="41"/>
  <c r="P106" i="12"/>
  <c r="P73" i="44"/>
  <c r="P107" i="12"/>
  <c r="P73" i="45"/>
  <c r="K108" i="41"/>
  <c r="K111" i="41" s="1"/>
  <c r="K112" i="41" s="1"/>
  <c r="Q282" i="48"/>
  <c r="N77" i="41"/>
  <c r="N92" i="41" s="1"/>
  <c r="N101" i="41" s="1"/>
  <c r="R133" i="44"/>
  <c r="S132" i="44"/>
  <c r="S135" i="44" s="1"/>
  <c r="P83" i="12"/>
  <c r="Q112" i="45"/>
  <c r="Q112" i="44"/>
  <c r="Q82" i="12" s="1"/>
  <c r="Q279" i="48"/>
  <c r="S108" i="44"/>
  <c r="S111" i="44" s="1"/>
  <c r="R109" i="44"/>
  <c r="S213" i="48"/>
  <c r="R129" i="48"/>
  <c r="S263" i="48"/>
  <c r="S275" i="48" s="1"/>
  <c r="S287" i="48"/>
  <c r="S239" i="48"/>
  <c r="T85" i="48"/>
  <c r="P133" i="48"/>
  <c r="Q133" i="48" s="1"/>
  <c r="U88" i="48"/>
  <c r="V71" i="48"/>
  <c r="M136" i="48"/>
  <c r="R125" i="48"/>
  <c r="R203" i="48"/>
  <c r="R130" i="48" s="1"/>
  <c r="S166" i="48"/>
  <c r="T82" i="48"/>
  <c r="S214" i="48"/>
  <c r="S190" i="48"/>
  <c r="S202" i="48" s="1"/>
  <c r="P208" i="48"/>
  <c r="P209" i="48" s="1"/>
  <c r="Q209" i="48" s="1"/>
  <c r="P206" i="48"/>
  <c r="Q206" i="48" s="1"/>
  <c r="S286" i="48"/>
  <c r="S262" i="48"/>
  <c r="S271" i="48" s="1"/>
  <c r="S276" i="48" s="1"/>
  <c r="S238" i="48"/>
  <c r="T79" i="48"/>
  <c r="S165" i="48"/>
  <c r="T76" i="48"/>
  <c r="S189" i="48"/>
  <c r="S198" i="48" s="1"/>
  <c r="R278" i="48"/>
  <c r="R281" i="48" s="1"/>
  <c r="Q136" i="45"/>
  <c r="Q95" i="12" s="1"/>
  <c r="P72" i="45"/>
  <c r="S133" i="45"/>
  <c r="U93" i="45"/>
  <c r="U105" i="45" s="1"/>
  <c r="V85" i="45"/>
  <c r="U117" i="45"/>
  <c r="U129" i="45" s="1"/>
  <c r="Q160" i="45"/>
  <c r="S109" i="45"/>
  <c r="Q157" i="45"/>
  <c r="T92" i="45"/>
  <c r="T101" i="45" s="1"/>
  <c r="T106" i="45" s="1"/>
  <c r="T108" i="45" s="1"/>
  <c r="T111" i="45" s="1"/>
  <c r="U79" i="45"/>
  <c r="T116" i="45"/>
  <c r="T125" i="45" s="1"/>
  <c r="T130" i="45" s="1"/>
  <c r="T132" i="45" s="1"/>
  <c r="T135" i="45" s="1"/>
  <c r="U71" i="45"/>
  <c r="R149" i="45"/>
  <c r="R154" i="45" s="1"/>
  <c r="R156" i="45" s="1"/>
  <c r="R159" i="45" s="1"/>
  <c r="U88" i="45"/>
  <c r="Q157" i="44"/>
  <c r="V71" i="44"/>
  <c r="T93" i="44"/>
  <c r="T105" i="44" s="1"/>
  <c r="U85" i="44"/>
  <c r="U141" i="44" s="1"/>
  <c r="T153" i="44"/>
  <c r="T117" i="44"/>
  <c r="T129" i="44" s="1"/>
  <c r="V88" i="44"/>
  <c r="Q136" i="44"/>
  <c r="Q94" i="12" s="1"/>
  <c r="P72" i="44"/>
  <c r="T92" i="44"/>
  <c r="T101" i="44" s="1"/>
  <c r="T106" i="44" s="1"/>
  <c r="U79" i="44"/>
  <c r="U140" i="44" s="1"/>
  <c r="T116" i="44"/>
  <c r="T125" i="44" s="1"/>
  <c r="T130" i="44" s="1"/>
  <c r="Q160" i="44"/>
  <c r="R149" i="44"/>
  <c r="R154" i="44" s="1"/>
  <c r="R156" i="44" s="1"/>
  <c r="R159" i="44" s="1"/>
  <c r="M116" i="41"/>
  <c r="M125" i="41" s="1"/>
  <c r="M130" i="41" s="1"/>
  <c r="L108" i="41"/>
  <c r="L111" i="41" s="1"/>
  <c r="L132" i="41"/>
  <c r="L135" i="41" s="1"/>
  <c r="N88" i="41"/>
  <c r="K135" i="41"/>
  <c r="K136" i="41" s="1"/>
  <c r="K133" i="41"/>
  <c r="M93" i="41"/>
  <c r="M105" i="41" s="1"/>
  <c r="N83" i="41"/>
  <c r="M117" i="41"/>
  <c r="M129" i="41" s="1"/>
  <c r="M153" i="41"/>
  <c r="K34" i="19"/>
  <c r="P15" i="23"/>
  <c r="J13" i="23"/>
  <c r="K13" i="23" s="1"/>
  <c r="V77" i="45" l="1"/>
  <c r="U140" i="45"/>
  <c r="V83" i="45"/>
  <c r="U141" i="45"/>
  <c r="U153" i="45" s="1"/>
  <c r="N106" i="41"/>
  <c r="P76" i="41"/>
  <c r="O140" i="41"/>
  <c r="P87" i="41"/>
  <c r="O152" i="41"/>
  <c r="O128" i="41"/>
  <c r="O104" i="41"/>
  <c r="P82" i="41"/>
  <c r="O141" i="41"/>
  <c r="B16" i="23"/>
  <c r="G5" i="40"/>
  <c r="B14" i="40"/>
  <c r="N116" i="41"/>
  <c r="N125" i="41" s="1"/>
  <c r="N130" i="41" s="1"/>
  <c r="K72" i="41"/>
  <c r="K109" i="41"/>
  <c r="L109" i="41" s="1"/>
  <c r="O77" i="41"/>
  <c r="P77" i="41" s="1"/>
  <c r="Q106" i="12"/>
  <c r="Q73" i="44"/>
  <c r="O15" i="19"/>
  <c r="I14" i="28"/>
  <c r="AA14" i="28"/>
  <c r="O14" i="28"/>
  <c r="Q107" i="12"/>
  <c r="Q73" i="45"/>
  <c r="R282" i="48"/>
  <c r="S133" i="44"/>
  <c r="M108" i="41"/>
  <c r="M111" i="41" s="1"/>
  <c r="S109" i="44"/>
  <c r="Q83" i="12"/>
  <c r="R112" i="45"/>
  <c r="R112" i="44"/>
  <c r="R82" i="12" s="1"/>
  <c r="T108" i="44"/>
  <c r="T111" i="44" s="1"/>
  <c r="S125" i="48"/>
  <c r="S203" i="48"/>
  <c r="S130" i="48" s="1"/>
  <c r="W71" i="48"/>
  <c r="T213" i="48"/>
  <c r="R279" i="48"/>
  <c r="T165" i="48"/>
  <c r="U76" i="48"/>
  <c r="T189" i="48"/>
  <c r="T198" i="48" s="1"/>
  <c r="T166" i="48"/>
  <c r="U82" i="48"/>
  <c r="T190" i="48"/>
  <c r="T202" i="48" s="1"/>
  <c r="T214" i="48"/>
  <c r="V88" i="48"/>
  <c r="S278" i="48"/>
  <c r="S281" i="48" s="1"/>
  <c r="N136" i="48"/>
  <c r="T287" i="48"/>
  <c r="T263" i="48"/>
  <c r="T275" i="48" s="1"/>
  <c r="T239" i="48"/>
  <c r="U85" i="48"/>
  <c r="R132" i="48"/>
  <c r="R135" i="48" s="1"/>
  <c r="T286" i="48"/>
  <c r="T262" i="48"/>
  <c r="T271" i="48" s="1"/>
  <c r="T276" i="48" s="1"/>
  <c r="T238" i="48"/>
  <c r="U79" i="48"/>
  <c r="S205" i="48"/>
  <c r="S208" i="48" s="1"/>
  <c r="S129" i="48"/>
  <c r="R205" i="48"/>
  <c r="R208" i="48" s="1"/>
  <c r="R209" i="48" s="1"/>
  <c r="T109" i="45"/>
  <c r="V88" i="45"/>
  <c r="R157" i="45"/>
  <c r="R136" i="45"/>
  <c r="R95" i="12" s="1"/>
  <c r="Q72" i="45"/>
  <c r="V79" i="45"/>
  <c r="U92" i="45"/>
  <c r="U101" i="45" s="1"/>
  <c r="U106" i="45" s="1"/>
  <c r="U108" i="45" s="1"/>
  <c r="U111" i="45" s="1"/>
  <c r="U116" i="45"/>
  <c r="U125" i="45" s="1"/>
  <c r="U130" i="45" s="1"/>
  <c r="U132" i="45" s="1"/>
  <c r="U135" i="45" s="1"/>
  <c r="T133" i="45"/>
  <c r="V71" i="45"/>
  <c r="S149" i="45"/>
  <c r="S154" i="45" s="1"/>
  <c r="S156" i="45" s="1"/>
  <c r="S159" i="45" s="1"/>
  <c r="V93" i="45"/>
  <c r="V105" i="45" s="1"/>
  <c r="W85" i="45"/>
  <c r="V117" i="45"/>
  <c r="V129" i="45" s="1"/>
  <c r="R160" i="45"/>
  <c r="R136" i="44"/>
  <c r="R94" i="12" s="1"/>
  <c r="Q72" i="44"/>
  <c r="S149" i="44"/>
  <c r="S154" i="44" s="1"/>
  <c r="S156" i="44" s="1"/>
  <c r="S159" i="44" s="1"/>
  <c r="U92" i="44"/>
  <c r="U101" i="44" s="1"/>
  <c r="U106" i="44" s="1"/>
  <c r="V79" i="44"/>
  <c r="V140" i="44" s="1"/>
  <c r="U116" i="44"/>
  <c r="U125" i="44" s="1"/>
  <c r="U130" i="44" s="1"/>
  <c r="W88" i="44"/>
  <c r="R157" i="44"/>
  <c r="R160" i="44"/>
  <c r="V85" i="44"/>
  <c r="V141" i="44" s="1"/>
  <c r="U93" i="44"/>
  <c r="U105" i="44" s="1"/>
  <c r="U117" i="44"/>
  <c r="U129" i="44" s="1"/>
  <c r="U153" i="44"/>
  <c r="W71" i="44"/>
  <c r="T132" i="44"/>
  <c r="T135" i="44" s="1"/>
  <c r="B16" i="24"/>
  <c r="B14" i="23"/>
  <c r="B14" i="24"/>
  <c r="L112" i="41"/>
  <c r="L133" i="41"/>
  <c r="L136" i="41"/>
  <c r="N93" i="41"/>
  <c r="N105" i="41" s="1"/>
  <c r="O83" i="41"/>
  <c r="N153" i="41"/>
  <c r="N117" i="41"/>
  <c r="N129" i="41" s="1"/>
  <c r="M132" i="41"/>
  <c r="M135" i="41" s="1"/>
  <c r="O88" i="41"/>
  <c r="O92" i="41"/>
  <c r="O101" i="41" s="1"/>
  <c r="O116" i="41"/>
  <c r="O125" i="41" s="1"/>
  <c r="G14" i="23"/>
  <c r="AA15" i="19"/>
  <c r="I15" i="19"/>
  <c r="C47" i="38"/>
  <c r="W77" i="45" l="1"/>
  <c r="V140" i="45"/>
  <c r="W83" i="45"/>
  <c r="V141" i="45"/>
  <c r="V153" i="45" s="1"/>
  <c r="O106" i="41"/>
  <c r="Q82" i="41"/>
  <c r="P141" i="41"/>
  <c r="Q87" i="41"/>
  <c r="P152" i="41"/>
  <c r="P128" i="41"/>
  <c r="P104" i="41"/>
  <c r="Q76" i="41"/>
  <c r="P140" i="41"/>
  <c r="O130" i="41"/>
  <c r="R106" i="12"/>
  <c r="R73" i="44"/>
  <c r="R107" i="12"/>
  <c r="R73" i="45"/>
  <c r="S282" i="48"/>
  <c r="M112" i="41"/>
  <c r="M109" i="41"/>
  <c r="T109" i="44"/>
  <c r="R83" i="12"/>
  <c r="S112" i="45"/>
  <c r="S112" i="44"/>
  <c r="T133" i="44"/>
  <c r="U108" i="44"/>
  <c r="U111" i="44" s="1"/>
  <c r="T278" i="48"/>
  <c r="T281" i="48" s="1"/>
  <c r="S209" i="48"/>
  <c r="S132" i="48"/>
  <c r="S135" i="48" s="1"/>
  <c r="U286" i="48"/>
  <c r="U262" i="48"/>
  <c r="U271" i="48" s="1"/>
  <c r="U276" i="48" s="1"/>
  <c r="U238" i="48"/>
  <c r="V79" i="48"/>
  <c r="W88" i="48"/>
  <c r="T129" i="48"/>
  <c r="T125" i="48"/>
  <c r="T203" i="48"/>
  <c r="T130" i="48" s="1"/>
  <c r="S279" i="48"/>
  <c r="U166" i="48"/>
  <c r="V82" i="48"/>
  <c r="U214" i="48"/>
  <c r="U190" i="48"/>
  <c r="U202" i="48" s="1"/>
  <c r="U165" i="48"/>
  <c r="V76" i="48"/>
  <c r="U189" i="48"/>
  <c r="U198" i="48" s="1"/>
  <c r="X71" i="48"/>
  <c r="U287" i="48"/>
  <c r="U263" i="48"/>
  <c r="U275" i="48" s="1"/>
  <c r="U239" i="48"/>
  <c r="V85" i="48"/>
  <c r="R206" i="48"/>
  <c r="S206" i="48" s="1"/>
  <c r="O136" i="48"/>
  <c r="R133" i="48"/>
  <c r="U213" i="48"/>
  <c r="W93" i="45"/>
  <c r="W105" i="45" s="1"/>
  <c r="X85" i="45"/>
  <c r="W117" i="45"/>
  <c r="W129" i="45" s="1"/>
  <c r="S157" i="45"/>
  <c r="S160" i="45"/>
  <c r="W88" i="45"/>
  <c r="U109" i="45"/>
  <c r="T149" i="45"/>
  <c r="T154" i="45" s="1"/>
  <c r="T156" i="45" s="1"/>
  <c r="T159" i="45" s="1"/>
  <c r="W71" i="45"/>
  <c r="S136" i="45"/>
  <c r="S95" i="12" s="1"/>
  <c r="R72" i="45"/>
  <c r="U133" i="45"/>
  <c r="V92" i="45"/>
  <c r="V101" i="45" s="1"/>
  <c r="V106" i="45" s="1"/>
  <c r="V108" i="45" s="1"/>
  <c r="V111" i="45" s="1"/>
  <c r="W79" i="45"/>
  <c r="V116" i="45"/>
  <c r="V125" i="45" s="1"/>
  <c r="V130" i="45" s="1"/>
  <c r="V132" i="45" s="1"/>
  <c r="V135" i="45" s="1"/>
  <c r="X71" i="44"/>
  <c r="S157" i="44"/>
  <c r="U132" i="44"/>
  <c r="U135" i="44" s="1"/>
  <c r="S160" i="44"/>
  <c r="T149" i="44"/>
  <c r="T154" i="44" s="1"/>
  <c r="T156" i="44" s="1"/>
  <c r="T159" i="44" s="1"/>
  <c r="V93" i="44"/>
  <c r="V105" i="44" s="1"/>
  <c r="W85" i="44"/>
  <c r="W141" i="44" s="1"/>
  <c r="V117" i="44"/>
  <c r="V129" i="44" s="1"/>
  <c r="V153" i="44"/>
  <c r="X88" i="44"/>
  <c r="W79" i="44"/>
  <c r="W140" i="44" s="1"/>
  <c r="V92" i="44"/>
  <c r="V101" i="44" s="1"/>
  <c r="V106" i="44" s="1"/>
  <c r="V116" i="44"/>
  <c r="V125" i="44" s="1"/>
  <c r="V130" i="44" s="1"/>
  <c r="S136" i="44"/>
  <c r="S94" i="12" s="1"/>
  <c r="R72" i="44"/>
  <c r="L72" i="41"/>
  <c r="M136" i="41"/>
  <c r="O93" i="41"/>
  <c r="O105" i="41" s="1"/>
  <c r="P83" i="41"/>
  <c r="O117" i="41"/>
  <c r="O129" i="41" s="1"/>
  <c r="O153" i="41"/>
  <c r="P88" i="41"/>
  <c r="N108" i="41"/>
  <c r="N111" i="41" s="1"/>
  <c r="M133" i="41"/>
  <c r="P92" i="41"/>
  <c r="P101" i="41" s="1"/>
  <c r="Q77" i="41"/>
  <c r="P116" i="41"/>
  <c r="P125" i="41" s="1"/>
  <c r="N132" i="41"/>
  <c r="N135" i="41" s="1"/>
  <c r="P130" i="41" l="1"/>
  <c r="X83" i="45"/>
  <c r="X117" i="45" s="1"/>
  <c r="X129" i="45" s="1"/>
  <c r="W141" i="45"/>
  <c r="W153" i="45" s="1"/>
  <c r="X77" i="45"/>
  <c r="W140" i="45"/>
  <c r="P106" i="41"/>
  <c r="R76" i="41"/>
  <c r="Q140" i="41"/>
  <c r="R87" i="41"/>
  <c r="Q128" i="41"/>
  <c r="Q152" i="41"/>
  <c r="Q104" i="41"/>
  <c r="R82" i="41"/>
  <c r="Q141" i="41"/>
  <c r="N112" i="41"/>
  <c r="M72" i="41"/>
  <c r="S107" i="12"/>
  <c r="S73" i="45"/>
  <c r="S106" i="12"/>
  <c r="S73" i="44"/>
  <c r="T282" i="48"/>
  <c r="U109" i="44"/>
  <c r="T279" i="48"/>
  <c r="S83" i="12"/>
  <c r="T112" i="45"/>
  <c r="S82" i="12"/>
  <c r="T112" i="44"/>
  <c r="T82" i="12" s="1"/>
  <c r="U278" i="48"/>
  <c r="U281" i="48" s="1"/>
  <c r="U133" i="44"/>
  <c r="T157" i="44"/>
  <c r="S133" i="48"/>
  <c r="U125" i="48"/>
  <c r="U203" i="48"/>
  <c r="U130" i="48" s="1"/>
  <c r="T205" i="48"/>
  <c r="T208" i="48" s="1"/>
  <c r="T209" i="48" s="1"/>
  <c r="V213" i="48"/>
  <c r="V287" i="48"/>
  <c r="V239" i="48"/>
  <c r="V263" i="48"/>
  <c r="V275" i="48" s="1"/>
  <c r="W85" i="48"/>
  <c r="V165" i="48"/>
  <c r="W76" i="48"/>
  <c r="V189" i="48"/>
  <c r="V198" i="48" s="1"/>
  <c r="V166" i="48"/>
  <c r="W82" i="48"/>
  <c r="V190" i="48"/>
  <c r="V202" i="48" s="1"/>
  <c r="V214" i="48"/>
  <c r="X88" i="48"/>
  <c r="Y71" i="48"/>
  <c r="P136" i="48"/>
  <c r="U129" i="48"/>
  <c r="T132" i="48"/>
  <c r="T135" i="48" s="1"/>
  <c r="V286" i="48"/>
  <c r="V238" i="48"/>
  <c r="V262" i="48"/>
  <c r="V271" i="48" s="1"/>
  <c r="V276" i="48" s="1"/>
  <c r="W79" i="48"/>
  <c r="U149" i="45"/>
  <c r="U154" i="45" s="1"/>
  <c r="U156" i="45" s="1"/>
  <c r="U159" i="45" s="1"/>
  <c r="T160" i="45"/>
  <c r="Y85" i="45"/>
  <c r="X93" i="45"/>
  <c r="X105" i="45" s="1"/>
  <c r="V133" i="45"/>
  <c r="X71" i="45"/>
  <c r="T157" i="45"/>
  <c r="V109" i="45"/>
  <c r="X88" i="45"/>
  <c r="W92" i="45"/>
  <c r="W101" i="45" s="1"/>
  <c r="W106" i="45" s="1"/>
  <c r="W108" i="45" s="1"/>
  <c r="W111" i="45" s="1"/>
  <c r="X79" i="45"/>
  <c r="W116" i="45"/>
  <c r="W125" i="45" s="1"/>
  <c r="W130" i="45" s="1"/>
  <c r="W132" i="45" s="1"/>
  <c r="W135" i="45" s="1"/>
  <c r="T136" i="45"/>
  <c r="T95" i="12" s="1"/>
  <c r="S72" i="45"/>
  <c r="V132" i="44"/>
  <c r="V135" i="44" s="1"/>
  <c r="U149" i="44"/>
  <c r="U154" i="44" s="1"/>
  <c r="U156" i="44" s="1"/>
  <c r="U159" i="44" s="1"/>
  <c r="T160" i="44"/>
  <c r="W93" i="44"/>
  <c r="W105" i="44" s="1"/>
  <c r="X85" i="44"/>
  <c r="X141" i="44" s="1"/>
  <c r="W117" i="44"/>
  <c r="W129" i="44" s="1"/>
  <c r="W153" i="44"/>
  <c r="Y71" i="44"/>
  <c r="T136" i="44"/>
  <c r="T94" i="12" s="1"/>
  <c r="S72" i="44"/>
  <c r="W92" i="44"/>
  <c r="W101" i="44" s="1"/>
  <c r="W106" i="44" s="1"/>
  <c r="X79" i="44"/>
  <c r="X140" i="44" s="1"/>
  <c r="W116" i="44"/>
  <c r="W125" i="44" s="1"/>
  <c r="W130" i="44" s="1"/>
  <c r="V108" i="44"/>
  <c r="V111" i="44" s="1"/>
  <c r="Y88" i="44"/>
  <c r="N136" i="41"/>
  <c r="O132" i="41"/>
  <c r="O135" i="41" s="1"/>
  <c r="N133" i="41"/>
  <c r="N109" i="41"/>
  <c r="Q88" i="41"/>
  <c r="Q92" i="41"/>
  <c r="Q101" i="41" s="1"/>
  <c r="Q106" i="41" s="1"/>
  <c r="R77" i="41"/>
  <c r="Q116" i="41"/>
  <c r="Q125" i="41" s="1"/>
  <c r="Q130" i="41" s="1"/>
  <c r="P93" i="41"/>
  <c r="P105" i="41" s="1"/>
  <c r="Q83" i="41"/>
  <c r="P153" i="41"/>
  <c r="P117" i="41"/>
  <c r="P129" i="41" s="1"/>
  <c r="O108" i="41"/>
  <c r="O111" i="41" s="1"/>
  <c r="Y77" i="45" l="1"/>
  <c r="X140" i="45"/>
  <c r="Y83" i="45"/>
  <c r="X141" i="45"/>
  <c r="X153" i="45" s="1"/>
  <c r="S82" i="41"/>
  <c r="R141" i="41"/>
  <c r="S87" i="41"/>
  <c r="R152" i="41"/>
  <c r="R128" i="41"/>
  <c r="R104" i="41"/>
  <c r="S76" i="41"/>
  <c r="R140" i="41"/>
  <c r="O112" i="41"/>
  <c r="N72" i="41"/>
  <c r="T107" i="12"/>
  <c r="T73" i="45"/>
  <c r="T106" i="12"/>
  <c r="T73" i="44"/>
  <c r="U282" i="48"/>
  <c r="P132" i="41"/>
  <c r="P135" i="41" s="1"/>
  <c r="T83" i="12"/>
  <c r="U112" i="45"/>
  <c r="U112" i="44"/>
  <c r="U82" i="12" s="1"/>
  <c r="U279" i="48"/>
  <c r="P108" i="41"/>
  <c r="P111" i="41" s="1"/>
  <c r="U157" i="44"/>
  <c r="U205" i="48"/>
  <c r="U208" i="48" s="1"/>
  <c r="U209" i="48" s="1"/>
  <c r="T206" i="48"/>
  <c r="U132" i="48"/>
  <c r="U135" i="48" s="1"/>
  <c r="Z71" i="48"/>
  <c r="Y88" i="48"/>
  <c r="Q136" i="48"/>
  <c r="V125" i="48"/>
  <c r="V203" i="48"/>
  <c r="V130" i="48" s="1"/>
  <c r="W287" i="48"/>
  <c r="W263" i="48"/>
  <c r="W275" i="48" s="1"/>
  <c r="W239" i="48"/>
  <c r="X85" i="48"/>
  <c r="V205" i="48"/>
  <c r="V208" i="48" s="1"/>
  <c r="V129" i="48"/>
  <c r="W165" i="48"/>
  <c r="X76" i="48"/>
  <c r="W189" i="48"/>
  <c r="W198" i="48" s="1"/>
  <c r="V278" i="48"/>
  <c r="T133" i="48"/>
  <c r="W286" i="48"/>
  <c r="W262" i="48"/>
  <c r="W271" i="48" s="1"/>
  <c r="W276" i="48" s="1"/>
  <c r="W238" i="48"/>
  <c r="X79" i="48"/>
  <c r="W166" i="48"/>
  <c r="X82" i="48"/>
  <c r="W190" i="48"/>
  <c r="W202" i="48" s="1"/>
  <c r="W214" i="48"/>
  <c r="W213" i="48"/>
  <c r="W109" i="45"/>
  <c r="U157" i="45"/>
  <c r="V149" i="45"/>
  <c r="V154" i="45" s="1"/>
  <c r="V156" i="45" s="1"/>
  <c r="V159" i="45" s="1"/>
  <c r="U136" i="45"/>
  <c r="U95" i="12" s="1"/>
  <c r="T72" i="45"/>
  <c r="Y71" i="45"/>
  <c r="U160" i="45"/>
  <c r="Y88" i="45"/>
  <c r="X92" i="45"/>
  <c r="X101" i="45" s="1"/>
  <c r="X106" i="45" s="1"/>
  <c r="X108" i="45" s="1"/>
  <c r="X111" i="45" s="1"/>
  <c r="Y79" i="45"/>
  <c r="X116" i="45"/>
  <c r="X125" i="45" s="1"/>
  <c r="X130" i="45" s="1"/>
  <c r="X132" i="45" s="1"/>
  <c r="X135" i="45" s="1"/>
  <c r="W133" i="45"/>
  <c r="Y93" i="45"/>
  <c r="Y105" i="45" s="1"/>
  <c r="Z85" i="45"/>
  <c r="Y117" i="45"/>
  <c r="Y129" i="45" s="1"/>
  <c r="W108" i="44"/>
  <c r="W111" i="44" s="1"/>
  <c r="U136" i="44"/>
  <c r="U94" i="12" s="1"/>
  <c r="T72" i="44"/>
  <c r="W132" i="44"/>
  <c r="W135" i="44" s="1"/>
  <c r="U160" i="44"/>
  <c r="V133" i="44"/>
  <c r="X92" i="44"/>
  <c r="X101" i="44" s="1"/>
  <c r="X106" i="44" s="1"/>
  <c r="Y79" i="44"/>
  <c r="Y140" i="44" s="1"/>
  <c r="X116" i="44"/>
  <c r="X125" i="44" s="1"/>
  <c r="X130" i="44" s="1"/>
  <c r="X93" i="44"/>
  <c r="X105" i="44" s="1"/>
  <c r="Y85" i="44"/>
  <c r="Y141" i="44" s="1"/>
  <c r="X117" i="44"/>
  <c r="X129" i="44" s="1"/>
  <c r="X153" i="44"/>
  <c r="V149" i="44"/>
  <c r="V154" i="44" s="1"/>
  <c r="V156" i="44" s="1"/>
  <c r="V159" i="44" s="1"/>
  <c r="Z88" i="44"/>
  <c r="Z71" i="44"/>
  <c r="V109" i="44"/>
  <c r="O136" i="41"/>
  <c r="O133" i="41"/>
  <c r="O109" i="41"/>
  <c r="R88" i="41"/>
  <c r="R92" i="41"/>
  <c r="R101" i="41" s="1"/>
  <c r="R106" i="41" s="1"/>
  <c r="S77" i="41"/>
  <c r="R116" i="41"/>
  <c r="R125" i="41" s="1"/>
  <c r="Q93" i="41"/>
  <c r="Q105" i="41" s="1"/>
  <c r="R83" i="41"/>
  <c r="Q117" i="41"/>
  <c r="Q129" i="41" s="1"/>
  <c r="Q153" i="41"/>
  <c r="Z77" i="45" l="1"/>
  <c r="Y140" i="45"/>
  <c r="Z83" i="45"/>
  <c r="Y141" i="45"/>
  <c r="Y153" i="45" s="1"/>
  <c r="R130" i="41"/>
  <c r="T76" i="41"/>
  <c r="S140" i="41"/>
  <c r="T87" i="41"/>
  <c r="S128" i="41"/>
  <c r="S152" i="41"/>
  <c r="S104" i="41"/>
  <c r="T82" i="41"/>
  <c r="S141" i="41"/>
  <c r="O72" i="41"/>
  <c r="P112" i="41"/>
  <c r="U106" i="12"/>
  <c r="U73" i="44"/>
  <c r="U107" i="12"/>
  <c r="U73" i="45"/>
  <c r="P133" i="41"/>
  <c r="P109" i="41"/>
  <c r="V112" i="44"/>
  <c r="V82" i="12" s="1"/>
  <c r="U83" i="12"/>
  <c r="V112" i="45"/>
  <c r="V157" i="45"/>
  <c r="X132" i="44"/>
  <c r="X135" i="44" s="1"/>
  <c r="W109" i="44"/>
  <c r="U133" i="48"/>
  <c r="U206" i="48"/>
  <c r="V206" i="48" s="1"/>
  <c r="V132" i="48"/>
  <c r="V135" i="48" s="1"/>
  <c r="W129" i="48"/>
  <c r="X165" i="48"/>
  <c r="Y76" i="48"/>
  <c r="X189" i="48"/>
  <c r="X198" i="48" s="1"/>
  <c r="X287" i="48"/>
  <c r="X263" i="48"/>
  <c r="X275" i="48" s="1"/>
  <c r="X239" i="48"/>
  <c r="Y85" i="48"/>
  <c r="Z88" i="48"/>
  <c r="AA71" i="48"/>
  <c r="X166" i="48"/>
  <c r="Y82" i="48"/>
  <c r="X214" i="48"/>
  <c r="X190" i="48"/>
  <c r="X202" i="48" s="1"/>
  <c r="X286" i="48"/>
  <c r="X262" i="48"/>
  <c r="X271" i="48" s="1"/>
  <c r="X276" i="48" s="1"/>
  <c r="X238" i="48"/>
  <c r="Y79" i="48"/>
  <c r="R136" i="48"/>
  <c r="X213" i="48"/>
  <c r="V281" i="48"/>
  <c r="V282" i="48" s="1"/>
  <c r="V279" i="48"/>
  <c r="V209" i="48"/>
  <c r="W278" i="48"/>
  <c r="W281" i="48" s="1"/>
  <c r="W125" i="48"/>
  <c r="W203" i="48"/>
  <c r="W130" i="48" s="1"/>
  <c r="X133" i="45"/>
  <c r="Z88" i="45"/>
  <c r="W149" i="45"/>
  <c r="W154" i="45" s="1"/>
  <c r="W156" i="45" s="1"/>
  <c r="W159" i="45" s="1"/>
  <c r="V160" i="45"/>
  <c r="X109" i="45"/>
  <c r="Z93" i="45"/>
  <c r="Z105" i="45" s="1"/>
  <c r="AA85" i="45"/>
  <c r="Z117" i="45"/>
  <c r="Z129" i="45" s="1"/>
  <c r="Z79" i="45"/>
  <c r="Y92" i="45"/>
  <c r="Y101" i="45" s="1"/>
  <c r="Y106" i="45" s="1"/>
  <c r="Y108" i="45" s="1"/>
  <c r="Y111" i="45" s="1"/>
  <c r="Y116" i="45"/>
  <c r="Y125" i="45" s="1"/>
  <c r="Y130" i="45" s="1"/>
  <c r="Y132" i="45" s="1"/>
  <c r="Y135" i="45" s="1"/>
  <c r="V136" i="45"/>
  <c r="V95" i="12" s="1"/>
  <c r="U72" i="45"/>
  <c r="Z71" i="45"/>
  <c r="Y92" i="44"/>
  <c r="Y101" i="44" s="1"/>
  <c r="Y106" i="44" s="1"/>
  <c r="Z79" i="44"/>
  <c r="Z140" i="44" s="1"/>
  <c r="Y116" i="44"/>
  <c r="Y125" i="44" s="1"/>
  <c r="Y130" i="44" s="1"/>
  <c r="AA71" i="44"/>
  <c r="X108" i="44"/>
  <c r="X111" i="44" s="1"/>
  <c r="W133" i="44"/>
  <c r="V136" i="44"/>
  <c r="V94" i="12" s="1"/>
  <c r="U72" i="44"/>
  <c r="AA88" i="44"/>
  <c r="Z85" i="44"/>
  <c r="Z141" i="44" s="1"/>
  <c r="Y93" i="44"/>
  <c r="Y105" i="44" s="1"/>
  <c r="Y117" i="44"/>
  <c r="Y129" i="44" s="1"/>
  <c r="Y153" i="44"/>
  <c r="V157" i="44"/>
  <c r="V160" i="44"/>
  <c r="W149" i="44"/>
  <c r="W154" i="44" s="1"/>
  <c r="W156" i="44" s="1"/>
  <c r="W159" i="44" s="1"/>
  <c r="P136" i="41"/>
  <c r="Q108" i="41"/>
  <c r="Q111" i="41" s="1"/>
  <c r="S92" i="41"/>
  <c r="S101" i="41" s="1"/>
  <c r="T77" i="41"/>
  <c r="S116" i="41"/>
  <c r="S125" i="41" s="1"/>
  <c r="Q132" i="41"/>
  <c r="S88" i="41"/>
  <c r="R93" i="41"/>
  <c r="R105" i="41" s="1"/>
  <c r="S83" i="41"/>
  <c r="R117" i="41"/>
  <c r="R129" i="41" s="1"/>
  <c r="R153" i="41"/>
  <c r="AA77" i="45" l="1"/>
  <c r="Z140" i="45"/>
  <c r="AA83" i="45"/>
  <c r="Z141" i="45"/>
  <c r="Z153" i="45" s="1"/>
  <c r="S130" i="41"/>
  <c r="U82" i="41"/>
  <c r="T141" i="41"/>
  <c r="U87" i="41"/>
  <c r="T152" i="41"/>
  <c r="T128" i="41"/>
  <c r="T104" i="41"/>
  <c r="S106" i="41"/>
  <c r="U76" i="41"/>
  <c r="T140" i="41"/>
  <c r="P72" i="41"/>
  <c r="Q112" i="41"/>
  <c r="V107" i="12"/>
  <c r="V73" i="45"/>
  <c r="V106" i="12"/>
  <c r="V73" i="44"/>
  <c r="W112" i="44"/>
  <c r="W82" i="12" s="1"/>
  <c r="V83" i="12"/>
  <c r="W112" i="45"/>
  <c r="X133" i="44"/>
  <c r="Y108" i="44"/>
  <c r="Y111" i="44" s="1"/>
  <c r="R132" i="41"/>
  <c r="R135" i="41" s="1"/>
  <c r="W157" i="45"/>
  <c r="Y109" i="45"/>
  <c r="V133" i="48"/>
  <c r="W279" i="48"/>
  <c r="X125" i="48"/>
  <c r="X203" i="48"/>
  <c r="X130" i="48" s="1"/>
  <c r="W205" i="48"/>
  <c r="W208" i="48" s="1"/>
  <c r="W209" i="48" s="1"/>
  <c r="W282" i="48"/>
  <c r="Y213" i="48"/>
  <c r="Y262" i="48"/>
  <c r="Y271" i="48" s="1"/>
  <c r="Y276" i="48" s="1"/>
  <c r="Y286" i="48"/>
  <c r="Y238" i="48"/>
  <c r="Z79" i="48"/>
  <c r="X205" i="48"/>
  <c r="X208" i="48" s="1"/>
  <c r="X129" i="48"/>
  <c r="X132" i="48" s="1"/>
  <c r="X135" i="48" s="1"/>
  <c r="AB71" i="48"/>
  <c r="X278" i="48"/>
  <c r="X281" i="48" s="1"/>
  <c r="Y165" i="48"/>
  <c r="Z76" i="48"/>
  <c r="Y189" i="48"/>
  <c r="Y198" i="48" s="1"/>
  <c r="S136" i="48"/>
  <c r="Y166" i="48"/>
  <c r="Z82" i="48"/>
  <c r="Y190" i="48"/>
  <c r="Y202" i="48" s="1"/>
  <c r="Y214" i="48"/>
  <c r="AA88" i="48"/>
  <c r="Y287" i="48"/>
  <c r="Y263" i="48"/>
  <c r="Y275" i="48" s="1"/>
  <c r="Y239" i="48"/>
  <c r="Z85" i="48"/>
  <c r="W132" i="48"/>
  <c r="W136" i="45"/>
  <c r="W95" i="12" s="1"/>
  <c r="V72" i="45"/>
  <c r="AA93" i="45"/>
  <c r="AA105" i="45" s="1"/>
  <c r="AB85" i="45"/>
  <c r="AA117" i="45"/>
  <c r="AA129" i="45" s="1"/>
  <c r="W160" i="45"/>
  <c r="AA88" i="45"/>
  <c r="Z92" i="45"/>
  <c r="Z101" i="45" s="1"/>
  <c r="Z106" i="45" s="1"/>
  <c r="Z108" i="45" s="1"/>
  <c r="AA79" i="45"/>
  <c r="Z116" i="45"/>
  <c r="Z125" i="45" s="1"/>
  <c r="Z130" i="45" s="1"/>
  <c r="Z132" i="45" s="1"/>
  <c r="Z135" i="45" s="1"/>
  <c r="X149" i="45"/>
  <c r="X154" i="45" s="1"/>
  <c r="X156" i="45" s="1"/>
  <c r="X159" i="45" s="1"/>
  <c r="AA71" i="45"/>
  <c r="Y133" i="45"/>
  <c r="X149" i="44"/>
  <c r="X154" i="44" s="1"/>
  <c r="X156" i="44" s="1"/>
  <c r="X159" i="44" s="1"/>
  <c r="W157" i="44"/>
  <c r="AA85" i="44"/>
  <c r="AA141" i="44" s="1"/>
  <c r="Z93" i="44"/>
  <c r="Z105" i="44" s="1"/>
  <c r="Z117" i="44"/>
  <c r="Z129" i="44" s="1"/>
  <c r="Z153" i="44"/>
  <c r="X109" i="44"/>
  <c r="W160" i="44"/>
  <c r="Y132" i="44"/>
  <c r="Y135" i="44" s="1"/>
  <c r="W136" i="44"/>
  <c r="W94" i="12" s="1"/>
  <c r="V72" i="44"/>
  <c r="AB71" i="44"/>
  <c r="AA79" i="44"/>
  <c r="AA140" i="44" s="1"/>
  <c r="Z92" i="44"/>
  <c r="Z101" i="44" s="1"/>
  <c r="Z106" i="44" s="1"/>
  <c r="Z116" i="44"/>
  <c r="Z125" i="44" s="1"/>
  <c r="Z130" i="44" s="1"/>
  <c r="AB88" i="44"/>
  <c r="Q109" i="41"/>
  <c r="S93" i="41"/>
  <c r="S105" i="41" s="1"/>
  <c r="T83" i="41"/>
  <c r="S117" i="41"/>
  <c r="S129" i="41" s="1"/>
  <c r="S153" i="41"/>
  <c r="Q135" i="41"/>
  <c r="Q136" i="41" s="1"/>
  <c r="Q133" i="41"/>
  <c r="T92" i="41"/>
  <c r="T101" i="41" s="1"/>
  <c r="U77" i="41"/>
  <c r="T116" i="41"/>
  <c r="T125" i="41" s="1"/>
  <c r="R108" i="41"/>
  <c r="R111" i="41" s="1"/>
  <c r="T88" i="41"/>
  <c r="W73" i="40"/>
  <c r="W69" i="40"/>
  <c r="AB77" i="45" l="1"/>
  <c r="AA140" i="45"/>
  <c r="AB83" i="45"/>
  <c r="AA141" i="45"/>
  <c r="AA153" i="45" s="1"/>
  <c r="V76" i="41"/>
  <c r="U140" i="41"/>
  <c r="T130" i="41"/>
  <c r="V87" i="41"/>
  <c r="U152" i="41"/>
  <c r="U128" i="41"/>
  <c r="U104" i="41"/>
  <c r="T106" i="41"/>
  <c r="V82" i="41"/>
  <c r="U141" i="41"/>
  <c r="R112" i="41"/>
  <c r="W107" i="12"/>
  <c r="W73" i="45"/>
  <c r="W106" i="12"/>
  <c r="W73" i="44"/>
  <c r="Y109" i="44"/>
  <c r="R133" i="41"/>
  <c r="X112" i="44"/>
  <c r="X82" i="12" s="1"/>
  <c r="W83" i="12"/>
  <c r="X112" i="45"/>
  <c r="Y278" i="48"/>
  <c r="Y281" i="48" s="1"/>
  <c r="Z108" i="44"/>
  <c r="Z111" i="44" s="1"/>
  <c r="X157" i="45"/>
  <c r="X209" i="48"/>
  <c r="Y125" i="48"/>
  <c r="Y203" i="48"/>
  <c r="Y130" i="48" s="1"/>
  <c r="AC71" i="48"/>
  <c r="Z286" i="48"/>
  <c r="Z262" i="48"/>
  <c r="Z271" i="48" s="1"/>
  <c r="Z276" i="48" s="1"/>
  <c r="Z238" i="48"/>
  <c r="AA79" i="48"/>
  <c r="W206" i="48"/>
  <c r="X206" i="48" s="1"/>
  <c r="Z287" i="48"/>
  <c r="Z263" i="48"/>
  <c r="Z275" i="48" s="1"/>
  <c r="Z239" i="48"/>
  <c r="AA85" i="48"/>
  <c r="AB88" i="48"/>
  <c r="Y129" i="48"/>
  <c r="Y132" i="48" s="1"/>
  <c r="Y135" i="48" s="1"/>
  <c r="T136" i="48"/>
  <c r="Z165" i="48"/>
  <c r="AA76" i="48"/>
  <c r="Z189" i="48"/>
  <c r="Z198" i="48" s="1"/>
  <c r="Z213" i="48"/>
  <c r="X279" i="48"/>
  <c r="Z166" i="48"/>
  <c r="AA82" i="48"/>
  <c r="Z190" i="48"/>
  <c r="Z202" i="48" s="1"/>
  <c r="Z214" i="48"/>
  <c r="X282" i="48"/>
  <c r="W135" i="48"/>
  <c r="W133" i="48"/>
  <c r="X133" i="48" s="1"/>
  <c r="Z111" i="45"/>
  <c r="Z109" i="45"/>
  <c r="Z133" i="45"/>
  <c r="AB71" i="45"/>
  <c r="AB93" i="45"/>
  <c r="AB105" i="45" s="1"/>
  <c r="AC85" i="45"/>
  <c r="AB117" i="45"/>
  <c r="AB129" i="45" s="1"/>
  <c r="X160" i="45"/>
  <c r="Y149" i="45"/>
  <c r="Y154" i="45" s="1"/>
  <c r="Y156" i="45" s="1"/>
  <c r="Y159" i="45" s="1"/>
  <c r="AA92" i="45"/>
  <c r="AA101" i="45" s="1"/>
  <c r="AA106" i="45" s="1"/>
  <c r="AA108" i="45" s="1"/>
  <c r="AA111" i="45" s="1"/>
  <c r="AB79" i="45"/>
  <c r="AA116" i="45"/>
  <c r="AA125" i="45" s="1"/>
  <c r="AA130" i="45" s="1"/>
  <c r="AA132" i="45" s="1"/>
  <c r="AA135" i="45" s="1"/>
  <c r="X136" i="45"/>
  <c r="X95" i="12" s="1"/>
  <c r="W72" i="45"/>
  <c r="AB88" i="45"/>
  <c r="AA92" i="44"/>
  <c r="AA101" i="44" s="1"/>
  <c r="AA106" i="44" s="1"/>
  <c r="AB79" i="44"/>
  <c r="AB140" i="44" s="1"/>
  <c r="AA116" i="44"/>
  <c r="AA125" i="44" s="1"/>
  <c r="AA130" i="44" s="1"/>
  <c r="AC88" i="44"/>
  <c r="X157" i="44"/>
  <c r="X160" i="44"/>
  <c r="Z132" i="44"/>
  <c r="Z135" i="44" s="1"/>
  <c r="Y149" i="44"/>
  <c r="Y154" i="44" s="1"/>
  <c r="Y156" i="44" s="1"/>
  <c r="Y159" i="44" s="1"/>
  <c r="X136" i="44"/>
  <c r="X94" i="12" s="1"/>
  <c r="W72" i="44"/>
  <c r="AC71" i="44"/>
  <c r="Y133" i="44"/>
  <c r="AA93" i="44"/>
  <c r="AA105" i="44" s="1"/>
  <c r="AB85" i="44"/>
  <c r="AB141" i="44" s="1"/>
  <c r="AA117" i="44"/>
  <c r="AA129" i="44" s="1"/>
  <c r="AA153" i="44"/>
  <c r="S132" i="41"/>
  <c r="S135" i="41" s="1"/>
  <c r="U88" i="41"/>
  <c r="T93" i="41"/>
  <c r="T105" i="41" s="1"/>
  <c r="U83" i="41"/>
  <c r="T153" i="41"/>
  <c r="T117" i="41"/>
  <c r="T129" i="41" s="1"/>
  <c r="R136" i="41"/>
  <c r="Q72" i="41"/>
  <c r="S108" i="41"/>
  <c r="S111" i="41" s="1"/>
  <c r="R109" i="41"/>
  <c r="U92" i="41"/>
  <c r="U101" i="41" s="1"/>
  <c r="V77" i="41"/>
  <c r="U116" i="41"/>
  <c r="U125" i="41" s="1"/>
  <c r="K99" i="40"/>
  <c r="L99" i="40" s="1"/>
  <c r="K98" i="40"/>
  <c r="L98" i="40" s="1"/>
  <c r="K97" i="40"/>
  <c r="L97" i="40" s="1"/>
  <c r="M97" i="40" s="1"/>
  <c r="K95" i="40"/>
  <c r="L95" i="40" s="1"/>
  <c r="K94" i="40"/>
  <c r="L94" i="40" s="1"/>
  <c r="M94" i="40" s="1"/>
  <c r="N94" i="40" s="1"/>
  <c r="O94" i="40" s="1"/>
  <c r="P94" i="40" s="1"/>
  <c r="K93" i="40"/>
  <c r="L93" i="40" s="1"/>
  <c r="K90" i="40"/>
  <c r="L90" i="40" s="1"/>
  <c r="M90" i="40" s="1"/>
  <c r="N90" i="40" s="1"/>
  <c r="O90" i="40" s="1"/>
  <c r="P90" i="40" s="1"/>
  <c r="Q90" i="40" s="1"/>
  <c r="R90" i="40" s="1"/>
  <c r="S90" i="40" s="1"/>
  <c r="T90" i="40" s="1"/>
  <c r="U90" i="40" s="1"/>
  <c r="V90" i="40" s="1"/>
  <c r="W90" i="40" s="1"/>
  <c r="X90" i="40" s="1"/>
  <c r="Y90" i="40" s="1"/>
  <c r="Z90" i="40" s="1"/>
  <c r="AA90" i="40" s="1"/>
  <c r="AB90" i="40" s="1"/>
  <c r="AC90" i="40" s="1"/>
  <c r="AD90" i="40" s="1"/>
  <c r="AE90" i="40" s="1"/>
  <c r="AF90" i="40" s="1"/>
  <c r="AG90" i="40" s="1"/>
  <c r="AH90" i="40" s="1"/>
  <c r="AI90" i="40" s="1"/>
  <c r="AJ90" i="40" s="1"/>
  <c r="AC83" i="45" l="1"/>
  <c r="AB141" i="45"/>
  <c r="AB153" i="45" s="1"/>
  <c r="AC77" i="45"/>
  <c r="AB140" i="45"/>
  <c r="U130" i="41"/>
  <c r="U106" i="41"/>
  <c r="W87" i="41"/>
  <c r="V152" i="41"/>
  <c r="V128" i="41"/>
  <c r="V104" i="41"/>
  <c r="W82" i="41"/>
  <c r="V141" i="41"/>
  <c r="W76" i="41"/>
  <c r="V140" i="41"/>
  <c r="S112" i="41"/>
  <c r="X106" i="12"/>
  <c r="X73" i="44"/>
  <c r="X107" i="12"/>
  <c r="X73" i="45"/>
  <c r="Y112" i="44"/>
  <c r="Y82" i="12" s="1"/>
  <c r="X83" i="12"/>
  <c r="Y112" i="45"/>
  <c r="Y83" i="12" s="1"/>
  <c r="Y282" i="48"/>
  <c r="Y279" i="48"/>
  <c r="AA108" i="44"/>
  <c r="AA111" i="44" s="1"/>
  <c r="Z109" i="44"/>
  <c r="Y157" i="45"/>
  <c r="AA132" i="44"/>
  <c r="AA135" i="44" s="1"/>
  <c r="Y157" i="44"/>
  <c r="Z278" i="48"/>
  <c r="Z281" i="48" s="1"/>
  <c r="Y133" i="48"/>
  <c r="Y205" i="48"/>
  <c r="Y208" i="48" s="1"/>
  <c r="Y209" i="48" s="1"/>
  <c r="AA213" i="48"/>
  <c r="AA287" i="48"/>
  <c r="AA263" i="48"/>
  <c r="AA275" i="48" s="1"/>
  <c r="AA239" i="48"/>
  <c r="AB85" i="48"/>
  <c r="Z125" i="48"/>
  <c r="Z203" i="48"/>
  <c r="Z130" i="48" s="1"/>
  <c r="AC88" i="48"/>
  <c r="AA286" i="48"/>
  <c r="AA238" i="48"/>
  <c r="AA262" i="48"/>
  <c r="AA271" i="48" s="1"/>
  <c r="AA276" i="48" s="1"/>
  <c r="AB79" i="48"/>
  <c r="AD71" i="48"/>
  <c r="Z205" i="48"/>
  <c r="Z208" i="48" s="1"/>
  <c r="Z129" i="48"/>
  <c r="AA165" i="48"/>
  <c r="AB76" i="48"/>
  <c r="AA189" i="48"/>
  <c r="AA198" i="48" s="1"/>
  <c r="U136" i="48"/>
  <c r="AA166" i="48"/>
  <c r="AB82" i="48"/>
  <c r="AA214" i="48"/>
  <c r="AA190" i="48"/>
  <c r="AA202" i="48" s="1"/>
  <c r="AC88" i="45"/>
  <c r="AC71" i="45"/>
  <c r="Y136" i="45"/>
  <c r="Y95" i="12" s="1"/>
  <c r="X72" i="45"/>
  <c r="Z149" i="45"/>
  <c r="Z154" i="45" s="1"/>
  <c r="Z156" i="45" s="1"/>
  <c r="Z159" i="45" s="1"/>
  <c r="AB92" i="45"/>
  <c r="AB101" i="45" s="1"/>
  <c r="AB106" i="45" s="1"/>
  <c r="AB108" i="45" s="1"/>
  <c r="AB111" i="45" s="1"/>
  <c r="AC79" i="45"/>
  <c r="AB116" i="45"/>
  <c r="AB125" i="45" s="1"/>
  <c r="AB130" i="45" s="1"/>
  <c r="AB132" i="45" s="1"/>
  <c r="AB135" i="45" s="1"/>
  <c r="AD85" i="45"/>
  <c r="AC93" i="45"/>
  <c r="AC105" i="45" s="1"/>
  <c r="AC117" i="45"/>
  <c r="AC129" i="45" s="1"/>
  <c r="AA133" i="45"/>
  <c r="Y160" i="45"/>
  <c r="AA109" i="45"/>
  <c r="Z133" i="44"/>
  <c r="Y136" i="44"/>
  <c r="Y94" i="12" s="1"/>
  <c r="X72" i="44"/>
  <c r="Y160" i="44"/>
  <c r="AB93" i="44"/>
  <c r="AB105" i="44" s="1"/>
  <c r="AC85" i="44"/>
  <c r="AC141" i="44" s="1"/>
  <c r="AB117" i="44"/>
  <c r="AB129" i="44" s="1"/>
  <c r="AB153" i="44"/>
  <c r="Z149" i="44"/>
  <c r="Z154" i="44" s="1"/>
  <c r="Z156" i="44" s="1"/>
  <c r="Z159" i="44" s="1"/>
  <c r="AB92" i="44"/>
  <c r="AB101" i="44" s="1"/>
  <c r="AB106" i="44" s="1"/>
  <c r="AC79" i="44"/>
  <c r="AC140" i="44" s="1"/>
  <c r="AB116" i="44"/>
  <c r="AB125" i="44" s="1"/>
  <c r="AB130" i="44" s="1"/>
  <c r="AD71" i="44"/>
  <c r="AD88" i="44"/>
  <c r="S133" i="41"/>
  <c r="S109" i="41"/>
  <c r="T132" i="41"/>
  <c r="T135" i="41" s="1"/>
  <c r="T108" i="41"/>
  <c r="T111" i="41" s="1"/>
  <c r="S136" i="41"/>
  <c r="R72" i="41"/>
  <c r="V92" i="41"/>
  <c r="V101" i="41" s="1"/>
  <c r="W77" i="41"/>
  <c r="V116" i="41"/>
  <c r="V125" i="41" s="1"/>
  <c r="U93" i="41"/>
  <c r="U105" i="41" s="1"/>
  <c r="V83" i="41"/>
  <c r="U117" i="41"/>
  <c r="U129" i="41" s="1"/>
  <c r="U153" i="41"/>
  <c r="V88" i="41"/>
  <c r="L103" i="40"/>
  <c r="M95" i="40"/>
  <c r="N95" i="40" s="1"/>
  <c r="O95" i="40" s="1"/>
  <c r="P95" i="40" s="1"/>
  <c r="Q94" i="40"/>
  <c r="P103" i="40"/>
  <c r="N97" i="40"/>
  <c r="O97" i="40" s="1"/>
  <c r="M103" i="40"/>
  <c r="L108" i="40"/>
  <c r="M93" i="40"/>
  <c r="M98" i="40"/>
  <c r="M99" i="40"/>
  <c r="K108" i="40"/>
  <c r="K103" i="40"/>
  <c r="O103" i="40"/>
  <c r="N103" i="40"/>
  <c r="AD77" i="45" l="1"/>
  <c r="AC140" i="45"/>
  <c r="AD83" i="45"/>
  <c r="AC141" i="45"/>
  <c r="AC153" i="45" s="1"/>
  <c r="V130" i="41"/>
  <c r="X76" i="41"/>
  <c r="W140" i="41"/>
  <c r="V106" i="41"/>
  <c r="X82" i="41"/>
  <c r="W141" i="41"/>
  <c r="X87" i="41"/>
  <c r="W128" i="41"/>
  <c r="W152" i="41"/>
  <c r="W104" i="41"/>
  <c r="T112" i="41"/>
  <c r="Y107" i="12"/>
  <c r="Y73" i="45"/>
  <c r="Y106" i="12"/>
  <c r="Y73" i="44"/>
  <c r="AA133" i="44"/>
  <c r="Z112" i="44"/>
  <c r="Z82" i="12" s="1"/>
  <c r="Z112" i="45"/>
  <c r="Z282" i="48"/>
  <c r="AA109" i="44"/>
  <c r="Y206" i="48"/>
  <c r="Z206" i="48" s="1"/>
  <c r="Z279" i="48"/>
  <c r="AB132" i="44"/>
  <c r="AB135" i="44" s="1"/>
  <c r="Z209" i="48"/>
  <c r="Z132" i="48"/>
  <c r="Z135" i="48" s="1"/>
  <c r="V136" i="48"/>
  <c r="AA278" i="48"/>
  <c r="AA129" i="48"/>
  <c r="AA125" i="48"/>
  <c r="AA203" i="48"/>
  <c r="AA130" i="48" s="1"/>
  <c r="AE71" i="48"/>
  <c r="AB165" i="48"/>
  <c r="AC76" i="48"/>
  <c r="AB189" i="48"/>
  <c r="AB198" i="48" s="1"/>
  <c r="AB287" i="48"/>
  <c r="AB263" i="48"/>
  <c r="AB275" i="48" s="1"/>
  <c r="AB239" i="48"/>
  <c r="AC85" i="48"/>
  <c r="AB166" i="48"/>
  <c r="AC82" i="48"/>
  <c r="AB190" i="48"/>
  <c r="AB202" i="48" s="1"/>
  <c r="AB214" i="48"/>
  <c r="AB286" i="48"/>
  <c r="AB262" i="48"/>
  <c r="AB271" i="48" s="1"/>
  <c r="AB276" i="48" s="1"/>
  <c r="AB238" i="48"/>
  <c r="AC79" i="48"/>
  <c r="AD88" i="48"/>
  <c r="AB213" i="48"/>
  <c r="AD93" i="45"/>
  <c r="AD105" i="45" s="1"/>
  <c r="AE85" i="45"/>
  <c r="AD117" i="45"/>
  <c r="AD129" i="45" s="1"/>
  <c r="AB109" i="45"/>
  <c r="Z136" i="45"/>
  <c r="Z95" i="12" s="1"/>
  <c r="Y72" i="45"/>
  <c r="AD88" i="45"/>
  <c r="AD79" i="45"/>
  <c r="AC92" i="45"/>
  <c r="AC101" i="45" s="1"/>
  <c r="AC106" i="45" s="1"/>
  <c r="AC108" i="45" s="1"/>
  <c r="AC111" i="45" s="1"/>
  <c r="AC116" i="45"/>
  <c r="AC125" i="45" s="1"/>
  <c r="AC130" i="45" s="1"/>
  <c r="AC132" i="45" s="1"/>
  <c r="AC135" i="45" s="1"/>
  <c r="AA149" i="45"/>
  <c r="AA154" i="45" s="1"/>
  <c r="AA156" i="45" s="1"/>
  <c r="AA159" i="45" s="1"/>
  <c r="AD71" i="45"/>
  <c r="Z160" i="45"/>
  <c r="AB133" i="45"/>
  <c r="Z157" i="45"/>
  <c r="AE71" i="44"/>
  <c r="Z160" i="44"/>
  <c r="AD85" i="44"/>
  <c r="AD141" i="44" s="1"/>
  <c r="AC93" i="44"/>
  <c r="AC105" i="44" s="1"/>
  <c r="AC117" i="44"/>
  <c r="AC129" i="44" s="1"/>
  <c r="AC153" i="44"/>
  <c r="AA149" i="44"/>
  <c r="AA154" i="44" s="1"/>
  <c r="AA156" i="44" s="1"/>
  <c r="AA159" i="44" s="1"/>
  <c r="AB108" i="44"/>
  <c r="AB111" i="44" s="1"/>
  <c r="AE88" i="44"/>
  <c r="Z157" i="44"/>
  <c r="AC92" i="44"/>
  <c r="AC101" i="44" s="1"/>
  <c r="AC106" i="44" s="1"/>
  <c r="AD79" i="44"/>
  <c r="AD140" i="44" s="1"/>
  <c r="AC116" i="44"/>
  <c r="AC125" i="44" s="1"/>
  <c r="AC130" i="44" s="1"/>
  <c r="Z136" i="44"/>
  <c r="Z94" i="12" s="1"/>
  <c r="Y72" i="44"/>
  <c r="T133" i="41"/>
  <c r="T109" i="41"/>
  <c r="U108" i="41"/>
  <c r="U111" i="41" s="1"/>
  <c r="U132" i="41"/>
  <c r="U135" i="41" s="1"/>
  <c r="W92" i="41"/>
  <c r="W101" i="41" s="1"/>
  <c r="X77" i="41"/>
  <c r="W116" i="41"/>
  <c r="W125" i="41" s="1"/>
  <c r="V93" i="41"/>
  <c r="V105" i="41" s="1"/>
  <c r="W83" i="41"/>
  <c r="V153" i="41"/>
  <c r="V117" i="41"/>
  <c r="V129" i="41" s="1"/>
  <c r="T136" i="41"/>
  <c r="S72" i="41"/>
  <c r="W88" i="41"/>
  <c r="N98" i="40"/>
  <c r="M108" i="40"/>
  <c r="Q95" i="40"/>
  <c r="N93" i="40"/>
  <c r="R94" i="40"/>
  <c r="Q103" i="40"/>
  <c r="N99" i="40"/>
  <c r="P97" i="40"/>
  <c r="AE83" i="45" l="1"/>
  <c r="AD141" i="45"/>
  <c r="AD153" i="45" s="1"/>
  <c r="AE77" i="45"/>
  <c r="AD140" i="45"/>
  <c r="W106" i="41"/>
  <c r="W130" i="41"/>
  <c r="Y87" i="41"/>
  <c r="X152" i="41"/>
  <c r="X128" i="41"/>
  <c r="X104" i="41"/>
  <c r="Y76" i="41"/>
  <c r="X140" i="41"/>
  <c r="Y82" i="41"/>
  <c r="X141" i="41"/>
  <c r="U112" i="41"/>
  <c r="Z106" i="12"/>
  <c r="Z73" i="44"/>
  <c r="Z107" i="12"/>
  <c r="Z73" i="45"/>
  <c r="AA112" i="44"/>
  <c r="AA82" i="12" s="1"/>
  <c r="AB133" i="44"/>
  <c r="Z83" i="12"/>
  <c r="AA112" i="45"/>
  <c r="AB109" i="44"/>
  <c r="AC108" i="44"/>
  <c r="AC111" i="44" s="1"/>
  <c r="Z133" i="48"/>
  <c r="AE88" i="48"/>
  <c r="AC287" i="48"/>
  <c r="AC263" i="48"/>
  <c r="AC275" i="48" s="1"/>
  <c r="AC239" i="48"/>
  <c r="AD85" i="48"/>
  <c r="AB125" i="48"/>
  <c r="AB203" i="48"/>
  <c r="AB130" i="48" s="1"/>
  <c r="AA132" i="48"/>
  <c r="AA135" i="48" s="1"/>
  <c r="AC165" i="48"/>
  <c r="AD76" i="48"/>
  <c r="AC189" i="48"/>
  <c r="AC198" i="48" s="1"/>
  <c r="AA205" i="48"/>
  <c r="AA281" i="48"/>
  <c r="AA282" i="48" s="1"/>
  <c r="AA279" i="48"/>
  <c r="AC213" i="48"/>
  <c r="AB129" i="48"/>
  <c r="AB278" i="48"/>
  <c r="AB281" i="48" s="1"/>
  <c r="AF71" i="48"/>
  <c r="W136" i="48"/>
  <c r="AC262" i="48"/>
  <c r="AC271" i="48" s="1"/>
  <c r="AC276" i="48" s="1"/>
  <c r="AC238" i="48"/>
  <c r="AC286" i="48"/>
  <c r="AD79" i="48"/>
  <c r="AC166" i="48"/>
  <c r="AD82" i="48"/>
  <c r="AC190" i="48"/>
  <c r="AC202" i="48" s="1"/>
  <c r="AC214" i="48"/>
  <c r="AA160" i="45"/>
  <c r="AA157" i="45"/>
  <c r="AE88" i="45"/>
  <c r="AC133" i="45"/>
  <c r="AA136" i="45"/>
  <c r="AA95" i="12" s="1"/>
  <c r="Z72" i="45"/>
  <c r="AB149" i="45"/>
  <c r="AB154" i="45" s="1"/>
  <c r="AB156" i="45" s="1"/>
  <c r="AB159" i="45" s="1"/>
  <c r="AD92" i="45"/>
  <c r="AD101" i="45" s="1"/>
  <c r="AD106" i="45" s="1"/>
  <c r="AD108" i="45" s="1"/>
  <c r="AD111" i="45" s="1"/>
  <c r="AE79" i="45"/>
  <c r="AD116" i="45"/>
  <c r="AD125" i="45" s="1"/>
  <c r="AD130" i="45" s="1"/>
  <c r="AD132" i="45" s="1"/>
  <c r="AD135" i="45" s="1"/>
  <c r="AF85" i="45"/>
  <c r="AE93" i="45"/>
  <c r="AE105" i="45" s="1"/>
  <c r="AE117" i="45"/>
  <c r="AE129" i="45" s="1"/>
  <c r="AC109" i="45"/>
  <c r="AE71" i="45"/>
  <c r="AA136" i="44"/>
  <c r="AA94" i="12" s="1"/>
  <c r="Z72" i="44"/>
  <c r="AA157" i="44"/>
  <c r="AD93" i="44"/>
  <c r="AD105" i="44" s="1"/>
  <c r="AE85" i="44"/>
  <c r="AE141" i="44" s="1"/>
  <c r="AD117" i="44"/>
  <c r="AD129" i="44" s="1"/>
  <c r="AD153" i="44"/>
  <c r="AF71" i="44"/>
  <c r="AD92" i="44"/>
  <c r="AD101" i="44" s="1"/>
  <c r="AD106" i="44" s="1"/>
  <c r="AE79" i="44"/>
  <c r="AE140" i="44" s="1"/>
  <c r="AD116" i="44"/>
  <c r="AD125" i="44" s="1"/>
  <c r="AD130" i="44" s="1"/>
  <c r="AF88" i="44"/>
  <c r="AB149" i="44"/>
  <c r="AB154" i="44" s="1"/>
  <c r="AB156" i="44" s="1"/>
  <c r="AB159" i="44" s="1"/>
  <c r="AC132" i="44"/>
  <c r="AC135" i="44" s="1"/>
  <c r="AA160" i="44"/>
  <c r="U109" i="41"/>
  <c r="V108" i="41"/>
  <c r="V111" i="41" s="1"/>
  <c r="U133" i="41"/>
  <c r="W93" i="41"/>
  <c r="W105" i="41" s="1"/>
  <c r="X83" i="41"/>
  <c r="W117" i="41"/>
  <c r="W129" i="41" s="1"/>
  <c r="W153" i="41"/>
  <c r="V132" i="41"/>
  <c r="X88" i="41"/>
  <c r="U136" i="41"/>
  <c r="T72" i="41"/>
  <c r="X92" i="41"/>
  <c r="X101" i="41" s="1"/>
  <c r="Y77" i="41"/>
  <c r="X116" i="41"/>
  <c r="X125" i="41" s="1"/>
  <c r="Q97" i="40"/>
  <c r="O98" i="40"/>
  <c r="N108" i="40"/>
  <c r="S94" i="40"/>
  <c r="R103" i="40"/>
  <c r="R95" i="40"/>
  <c r="O93" i="40"/>
  <c r="O99" i="40"/>
  <c r="AF77" i="45" l="1"/>
  <c r="AE140" i="45"/>
  <c r="AF83" i="45"/>
  <c r="AE141" i="45"/>
  <c r="AE153" i="45" s="1"/>
  <c r="V112" i="41"/>
  <c r="X106" i="41"/>
  <c r="X130" i="41"/>
  <c r="Z82" i="41"/>
  <c r="Y141" i="41"/>
  <c r="Z76" i="41"/>
  <c r="Y140" i="41"/>
  <c r="Z87" i="41"/>
  <c r="Y152" i="41"/>
  <c r="Y128" i="41"/>
  <c r="Y104" i="41"/>
  <c r="AA106" i="12"/>
  <c r="AA73" i="44"/>
  <c r="AA107" i="12"/>
  <c r="AA73" i="45"/>
  <c r="AC109" i="44"/>
  <c r="AB112" i="44"/>
  <c r="AB82" i="12" s="1"/>
  <c r="AB157" i="45"/>
  <c r="AA83" i="12"/>
  <c r="AB112" i="45"/>
  <c r="AD132" i="44"/>
  <c r="AD135" i="44" s="1"/>
  <c r="AB157" i="44"/>
  <c r="AA133" i="48"/>
  <c r="AB282" i="48"/>
  <c r="AB279" i="48"/>
  <c r="AB132" i="48"/>
  <c r="AB135" i="48" s="1"/>
  <c r="AB205" i="48"/>
  <c r="AB208" i="48" s="1"/>
  <c r="X136" i="48"/>
  <c r="AG71" i="48"/>
  <c r="AC125" i="48"/>
  <c r="AC203" i="48"/>
  <c r="AC130" i="48" s="1"/>
  <c r="AD287" i="48"/>
  <c r="AD263" i="48"/>
  <c r="AD275" i="48" s="1"/>
  <c r="AD239" i="48"/>
  <c r="AE85" i="48"/>
  <c r="AD286" i="48"/>
  <c r="AD262" i="48"/>
  <c r="AD271" i="48" s="1"/>
  <c r="AD276" i="48" s="1"/>
  <c r="AD238" i="48"/>
  <c r="AE79" i="48"/>
  <c r="AD165" i="48"/>
  <c r="AE76" i="48"/>
  <c r="AD189" i="48"/>
  <c r="AD198" i="48" s="1"/>
  <c r="AC129" i="48"/>
  <c r="AD213" i="48"/>
  <c r="AA208" i="48"/>
  <c r="AA209" i="48" s="1"/>
  <c r="AA206" i="48"/>
  <c r="AC278" i="48"/>
  <c r="AC281" i="48" s="1"/>
  <c r="AF88" i="48"/>
  <c r="AD166" i="48"/>
  <c r="AE82" i="48"/>
  <c r="AD190" i="48"/>
  <c r="AD202" i="48" s="1"/>
  <c r="AD214" i="48"/>
  <c r="AD109" i="45"/>
  <c r="AD133" i="45"/>
  <c r="AE92" i="45"/>
  <c r="AE101" i="45" s="1"/>
  <c r="AE106" i="45" s="1"/>
  <c r="AE108" i="45" s="1"/>
  <c r="AE111" i="45" s="1"/>
  <c r="AF79" i="45"/>
  <c r="AE116" i="45"/>
  <c r="AE125" i="45" s="1"/>
  <c r="AE130" i="45" s="1"/>
  <c r="AE132" i="45" s="1"/>
  <c r="AE135" i="45" s="1"/>
  <c r="AF88" i="45"/>
  <c r="AF71" i="45"/>
  <c r="AG85" i="45"/>
  <c r="AF93" i="45"/>
  <c r="AF105" i="45" s="1"/>
  <c r="AC149" i="45"/>
  <c r="AC154" i="45" s="1"/>
  <c r="AC156" i="45" s="1"/>
  <c r="AC159" i="45" s="1"/>
  <c r="AB136" i="45"/>
  <c r="AB95" i="12" s="1"/>
  <c r="AA72" i="45"/>
  <c r="AB160" i="45"/>
  <c r="AE93" i="44"/>
  <c r="AE105" i="44" s="1"/>
  <c r="AF85" i="44"/>
  <c r="AF141" i="44" s="1"/>
  <c r="AE153" i="44"/>
  <c r="AE117" i="44"/>
  <c r="AE129" i="44" s="1"/>
  <c r="AG71" i="44"/>
  <c r="AB160" i="44"/>
  <c r="AG88" i="44"/>
  <c r="AC133" i="44"/>
  <c r="AE92" i="44"/>
  <c r="AE101" i="44" s="1"/>
  <c r="AE106" i="44" s="1"/>
  <c r="AF79" i="44"/>
  <c r="AF140" i="44" s="1"/>
  <c r="AE116" i="44"/>
  <c r="AE125" i="44" s="1"/>
  <c r="AE130" i="44" s="1"/>
  <c r="AC149" i="44"/>
  <c r="AC154" i="44" s="1"/>
  <c r="AC156" i="44" s="1"/>
  <c r="AC159" i="44" s="1"/>
  <c r="AD108" i="44"/>
  <c r="AD111" i="44" s="1"/>
  <c r="AB136" i="44"/>
  <c r="AB94" i="12" s="1"/>
  <c r="AA72" i="44"/>
  <c r="V109" i="41"/>
  <c r="W132" i="41"/>
  <c r="W135" i="41" s="1"/>
  <c r="Y88" i="41"/>
  <c r="U72" i="41"/>
  <c r="X93" i="41"/>
  <c r="X105" i="41" s="1"/>
  <c r="Y83" i="41"/>
  <c r="X117" i="41"/>
  <c r="X129" i="41" s="1"/>
  <c r="X153" i="41"/>
  <c r="Y92" i="41"/>
  <c r="Y101" i="41" s="1"/>
  <c r="Z77" i="41"/>
  <c r="Y116" i="41"/>
  <c r="Y125" i="41" s="1"/>
  <c r="Y130" i="41" s="1"/>
  <c r="V135" i="41"/>
  <c r="V136" i="41" s="1"/>
  <c r="V133" i="41"/>
  <c r="W108" i="41"/>
  <c r="W111" i="41" s="1"/>
  <c r="S95" i="40"/>
  <c r="T94" i="40"/>
  <c r="S103" i="40"/>
  <c r="P93" i="40"/>
  <c r="R97" i="40"/>
  <c r="P99" i="40"/>
  <c r="P98" i="40"/>
  <c r="O108" i="40"/>
  <c r="Y106" i="41" l="1"/>
  <c r="AG83" i="45"/>
  <c r="AF141" i="45"/>
  <c r="AF153" i="45" s="1"/>
  <c r="AF117" i="45"/>
  <c r="AF129" i="45" s="1"/>
  <c r="AG77" i="45"/>
  <c r="AF140" i="45"/>
  <c r="W112" i="41"/>
  <c r="AA76" i="41"/>
  <c r="Z140" i="41"/>
  <c r="AA87" i="41"/>
  <c r="Z152" i="41"/>
  <c r="Z128" i="41"/>
  <c r="Z104" i="41"/>
  <c r="AA82" i="41"/>
  <c r="Z141" i="41"/>
  <c r="AB106" i="12"/>
  <c r="AB73" i="44"/>
  <c r="AB107" i="12"/>
  <c r="AB73" i="45"/>
  <c r="AC112" i="44"/>
  <c r="AC82" i="12" s="1"/>
  <c r="AB83" i="12"/>
  <c r="AC112" i="45"/>
  <c r="AD133" i="44"/>
  <c r="AE108" i="44"/>
  <c r="AE111" i="44" s="1"/>
  <c r="AC282" i="48"/>
  <c r="AE132" i="44"/>
  <c r="AE135" i="44" s="1"/>
  <c r="AB133" i="48"/>
  <c r="AB206" i="48"/>
  <c r="AB209" i="48"/>
  <c r="AC132" i="48"/>
  <c r="AC135" i="48" s="1"/>
  <c r="AC205" i="48"/>
  <c r="AC208" i="48" s="1"/>
  <c r="AD125" i="48"/>
  <c r="AD203" i="48"/>
  <c r="AD130" i="48" s="1"/>
  <c r="AC279" i="48"/>
  <c r="Y136" i="48"/>
  <c r="AE213" i="48"/>
  <c r="AE165" i="48"/>
  <c r="AF76" i="48"/>
  <c r="AE189" i="48"/>
  <c r="AE198" i="48" s="1"/>
  <c r="AE263" i="48"/>
  <c r="AE275" i="48" s="1"/>
  <c r="AE287" i="48"/>
  <c r="AE239" i="48"/>
  <c r="AF85" i="48"/>
  <c r="AD129" i="48"/>
  <c r="AG88" i="48"/>
  <c r="AE286" i="48"/>
  <c r="AE262" i="48"/>
  <c r="AE271" i="48" s="1"/>
  <c r="AE276" i="48" s="1"/>
  <c r="AE238" i="48"/>
  <c r="AF79" i="48"/>
  <c r="AH71" i="48"/>
  <c r="AE166" i="48"/>
  <c r="AF82" i="48"/>
  <c r="AE214" i="48"/>
  <c r="AE190" i="48"/>
  <c r="AE202" i="48" s="1"/>
  <c r="AD278" i="48"/>
  <c r="AD281" i="48" s="1"/>
  <c r="AF92" i="45"/>
  <c r="AF101" i="45" s="1"/>
  <c r="AF106" i="45" s="1"/>
  <c r="AF108" i="45" s="1"/>
  <c r="AF111" i="45" s="1"/>
  <c r="AG79" i="45"/>
  <c r="AF116" i="45"/>
  <c r="AF125" i="45" s="1"/>
  <c r="AF130" i="45" s="1"/>
  <c r="AC160" i="45"/>
  <c r="AD149" i="45"/>
  <c r="AD154" i="45" s="1"/>
  <c r="AD156" i="45" s="1"/>
  <c r="AD159" i="45" s="1"/>
  <c r="AG93" i="45"/>
  <c r="AG105" i="45" s="1"/>
  <c r="AH85" i="45"/>
  <c r="AG117" i="45"/>
  <c r="AG129" i="45" s="1"/>
  <c r="AC157" i="45"/>
  <c r="AE109" i="45"/>
  <c r="AG71" i="45"/>
  <c r="AC136" i="45"/>
  <c r="AC95" i="12" s="1"/>
  <c r="AB72" i="45"/>
  <c r="AG88" i="45"/>
  <c r="AE133" i="45"/>
  <c r="AF92" i="44"/>
  <c r="AF101" i="44" s="1"/>
  <c r="AF106" i="44" s="1"/>
  <c r="AG79" i="44"/>
  <c r="AG140" i="44" s="1"/>
  <c r="AF116" i="44"/>
  <c r="AF125" i="44" s="1"/>
  <c r="AF130" i="44" s="1"/>
  <c r="AH88" i="44"/>
  <c r="AH71" i="44"/>
  <c r="AD149" i="44"/>
  <c r="AD154" i="44" s="1"/>
  <c r="AD156" i="44" s="1"/>
  <c r="AD159" i="44" s="1"/>
  <c r="AC160" i="44"/>
  <c r="AC136" i="44"/>
  <c r="AC94" i="12" s="1"/>
  <c r="AB72" i="44"/>
  <c r="AD109" i="44"/>
  <c r="AF93" i="44"/>
  <c r="AF105" i="44" s="1"/>
  <c r="AG85" i="44"/>
  <c r="AG141" i="44" s="1"/>
  <c r="AF153" i="44"/>
  <c r="AF117" i="44"/>
  <c r="AF129" i="44" s="1"/>
  <c r="AC157" i="44"/>
  <c r="W133" i="41"/>
  <c r="X132" i="41"/>
  <c r="X135" i="41" s="1"/>
  <c r="Z92" i="41"/>
  <c r="Z101" i="41" s="1"/>
  <c r="AA77" i="41"/>
  <c r="Z116" i="41"/>
  <c r="Z125" i="41" s="1"/>
  <c r="W136" i="41"/>
  <c r="V72" i="41"/>
  <c r="Y93" i="41"/>
  <c r="Y105" i="41" s="1"/>
  <c r="Z83" i="41"/>
  <c r="Y153" i="41"/>
  <c r="Y117" i="41"/>
  <c r="Y129" i="41" s="1"/>
  <c r="X108" i="41"/>
  <c r="X111" i="41" s="1"/>
  <c r="W109" i="41"/>
  <c r="Z88" i="41"/>
  <c r="Q99" i="40"/>
  <c r="Q93" i="40"/>
  <c r="S97" i="40"/>
  <c r="T95" i="40"/>
  <c r="U94" i="40"/>
  <c r="T103" i="40"/>
  <c r="Q98" i="40"/>
  <c r="P108" i="40"/>
  <c r="X112" i="41" l="1"/>
  <c r="AH77" i="45"/>
  <c r="AG140" i="45"/>
  <c r="AF132" i="45"/>
  <c r="AF135" i="45" s="1"/>
  <c r="AH83" i="45"/>
  <c r="AG141" i="45"/>
  <c r="AG153" i="45" s="1"/>
  <c r="Z130" i="41"/>
  <c r="AB82" i="41"/>
  <c r="AA141" i="41"/>
  <c r="AB87" i="41"/>
  <c r="AA152" i="41"/>
  <c r="AA128" i="41"/>
  <c r="AA104" i="41"/>
  <c r="Z106" i="41"/>
  <c r="AB76" i="41"/>
  <c r="AA140" i="41"/>
  <c r="AC107" i="12"/>
  <c r="AC73" i="45"/>
  <c r="AC106" i="12"/>
  <c r="AC73" i="44"/>
  <c r="AE109" i="44"/>
  <c r="AD112" i="44"/>
  <c r="AD82" i="12" s="1"/>
  <c r="AC83" i="12"/>
  <c r="AD112" i="45"/>
  <c r="AC133" i="48"/>
  <c r="AD282" i="48"/>
  <c r="AE133" i="44"/>
  <c r="AD157" i="45"/>
  <c r="AD157" i="44"/>
  <c r="AF132" i="44"/>
  <c r="AF135" i="44" s="1"/>
  <c r="AC209" i="48"/>
  <c r="AC206" i="48"/>
  <c r="AD132" i="48"/>
  <c r="AD135" i="48" s="1"/>
  <c r="AD205" i="48"/>
  <c r="AD208" i="48" s="1"/>
  <c r="AF166" i="48"/>
  <c r="AG82" i="48"/>
  <c r="AF190" i="48"/>
  <c r="AF202" i="48" s="1"/>
  <c r="AF214" i="48"/>
  <c r="AH88" i="48"/>
  <c r="AF165" i="48"/>
  <c r="AG76" i="48"/>
  <c r="AF189" i="48"/>
  <c r="AF198" i="48" s="1"/>
  <c r="AF286" i="48"/>
  <c r="AF262" i="48"/>
  <c r="AF271" i="48" s="1"/>
  <c r="AF276" i="48" s="1"/>
  <c r="AF238" i="48"/>
  <c r="AG79" i="48"/>
  <c r="AE278" i="48"/>
  <c r="AE281" i="48" s="1"/>
  <c r="Z136" i="48"/>
  <c r="AE129" i="48"/>
  <c r="AI71" i="48"/>
  <c r="AF287" i="48"/>
  <c r="AF263" i="48"/>
  <c r="AF275" i="48" s="1"/>
  <c r="AF239" i="48"/>
  <c r="AG85" i="48"/>
  <c r="AF213" i="48"/>
  <c r="AD279" i="48"/>
  <c r="AE125" i="48"/>
  <c r="AE203" i="48"/>
  <c r="AE130" i="48" s="1"/>
  <c r="AD160" i="45"/>
  <c r="AE149" i="45"/>
  <c r="AE154" i="45" s="1"/>
  <c r="AE156" i="45" s="1"/>
  <c r="AE159" i="45" s="1"/>
  <c r="AF109" i="45"/>
  <c r="AH93" i="45"/>
  <c r="AH105" i="45" s="1"/>
  <c r="AI85" i="45"/>
  <c r="AH117" i="45"/>
  <c r="AH129" i="45" s="1"/>
  <c r="AH88" i="45"/>
  <c r="AH71" i="45"/>
  <c r="AD136" i="45"/>
  <c r="AD95" i="12" s="1"/>
  <c r="AC72" i="45"/>
  <c r="AH79" i="45"/>
  <c r="AG92" i="45"/>
  <c r="AG101" i="45" s="1"/>
  <c r="AG106" i="45" s="1"/>
  <c r="AG108" i="45" s="1"/>
  <c r="AG111" i="45" s="1"/>
  <c r="AG116" i="45"/>
  <c r="AG125" i="45" s="1"/>
  <c r="AG130" i="45" s="1"/>
  <c r="AG132" i="45" s="1"/>
  <c r="AH85" i="44"/>
  <c r="AH141" i="44" s="1"/>
  <c r="AG93" i="44"/>
  <c r="AG105" i="44" s="1"/>
  <c r="AG153" i="44"/>
  <c r="AG117" i="44"/>
  <c r="AG129" i="44" s="1"/>
  <c r="AF108" i="44"/>
  <c r="AF111" i="44" s="1"/>
  <c r="AD136" i="44"/>
  <c r="AD94" i="12" s="1"/>
  <c r="AC72" i="44"/>
  <c r="AI88" i="44"/>
  <c r="AE149" i="44"/>
  <c r="AE154" i="44" s="1"/>
  <c r="AE156" i="44" s="1"/>
  <c r="AE159" i="44" s="1"/>
  <c r="AG92" i="44"/>
  <c r="AG101" i="44" s="1"/>
  <c r="AG106" i="44" s="1"/>
  <c r="AH79" i="44"/>
  <c r="AH140" i="44" s="1"/>
  <c r="AG116" i="44"/>
  <c r="AG125" i="44" s="1"/>
  <c r="AG130" i="44" s="1"/>
  <c r="AD160" i="44"/>
  <c r="AI71" i="44"/>
  <c r="X109" i="41"/>
  <c r="X133" i="41"/>
  <c r="Y132" i="41"/>
  <c r="Y135" i="41" s="1"/>
  <c r="AA83" i="41"/>
  <c r="Z93" i="41"/>
  <c r="Z105" i="41" s="1"/>
  <c r="Z153" i="41"/>
  <c r="Z117" i="41"/>
  <c r="Z129" i="41" s="1"/>
  <c r="X136" i="41"/>
  <c r="W72" i="41"/>
  <c r="AA88" i="41"/>
  <c r="Y108" i="41"/>
  <c r="Y111" i="41" s="1"/>
  <c r="AA92" i="41"/>
  <c r="AA101" i="41" s="1"/>
  <c r="AB77" i="41"/>
  <c r="AA116" i="41"/>
  <c r="AA125" i="41" s="1"/>
  <c r="AA130" i="41" s="1"/>
  <c r="R93" i="40"/>
  <c r="R98" i="40"/>
  <c r="Q108" i="40"/>
  <c r="U103" i="40"/>
  <c r="V94" i="40"/>
  <c r="U95" i="40"/>
  <c r="T97" i="40"/>
  <c r="R99" i="40"/>
  <c r="Y112" i="41" l="1"/>
  <c r="AI83" i="45"/>
  <c r="AH141" i="45"/>
  <c r="AH153" i="45" s="1"/>
  <c r="AF133" i="45"/>
  <c r="AG133" i="45" s="1"/>
  <c r="AI77" i="45"/>
  <c r="AH140" i="45"/>
  <c r="AA106" i="41"/>
  <c r="AC76" i="41"/>
  <c r="AB140" i="41"/>
  <c r="AC87" i="41"/>
  <c r="AB152" i="41"/>
  <c r="AB128" i="41"/>
  <c r="AB104" i="41"/>
  <c r="AC82" i="41"/>
  <c r="AB141" i="41"/>
  <c r="AD106" i="12"/>
  <c r="AD73" i="44"/>
  <c r="AD107" i="12"/>
  <c r="AD73" i="45"/>
  <c r="AE112" i="44"/>
  <c r="AE82" i="12" s="1"/>
  <c r="AF278" i="48"/>
  <c r="AF281" i="48" s="1"/>
  <c r="AD83" i="12"/>
  <c r="AE112" i="45"/>
  <c r="AF133" i="44"/>
  <c r="AE282" i="48"/>
  <c r="AD206" i="48"/>
  <c r="AE157" i="45"/>
  <c r="AE279" i="48"/>
  <c r="AG108" i="44"/>
  <c r="AG111" i="44" s="1"/>
  <c r="AD209" i="48"/>
  <c r="AD133" i="48"/>
  <c r="AJ71" i="48"/>
  <c r="AG286" i="48"/>
  <c r="AG262" i="48"/>
  <c r="AG271" i="48" s="1"/>
  <c r="AG276" i="48" s="1"/>
  <c r="AG238" i="48"/>
  <c r="AH79" i="48"/>
  <c r="AI88" i="48"/>
  <c r="AG213" i="48"/>
  <c r="AF125" i="48"/>
  <c r="AF203" i="48"/>
  <c r="AF130" i="48" s="1"/>
  <c r="AE132" i="48"/>
  <c r="AA136" i="48"/>
  <c r="AG165" i="48"/>
  <c r="AH76" i="48"/>
  <c r="AG189" i="48"/>
  <c r="AG198" i="48" s="1"/>
  <c r="AF205" i="48"/>
  <c r="AF208" i="48" s="1"/>
  <c r="AF129" i="48"/>
  <c r="AF132" i="48" s="1"/>
  <c r="AF135" i="48" s="1"/>
  <c r="AG287" i="48"/>
  <c r="AG263" i="48"/>
  <c r="AG275" i="48" s="1"/>
  <c r="AG239" i="48"/>
  <c r="AH85" i="48"/>
  <c r="AE205" i="48"/>
  <c r="AE208" i="48" s="1"/>
  <c r="AG166" i="48"/>
  <c r="AH82" i="48"/>
  <c r="AG214" i="48"/>
  <c r="AG190" i="48"/>
  <c r="AG202" i="48" s="1"/>
  <c r="AG135" i="45"/>
  <c r="AE136" i="45"/>
  <c r="AE95" i="12" s="1"/>
  <c r="AD72" i="45"/>
  <c r="AI88" i="45"/>
  <c r="AI71" i="45"/>
  <c r="AH92" i="45"/>
  <c r="AH101" i="45" s="1"/>
  <c r="AH106" i="45" s="1"/>
  <c r="AH108" i="45" s="1"/>
  <c r="AH111" i="45" s="1"/>
  <c r="AI79" i="45"/>
  <c r="AH116" i="45"/>
  <c r="AH125" i="45" s="1"/>
  <c r="AH130" i="45" s="1"/>
  <c r="AH132" i="45" s="1"/>
  <c r="AH135" i="45" s="1"/>
  <c r="AJ85" i="45"/>
  <c r="AI93" i="45"/>
  <c r="AI105" i="45" s="1"/>
  <c r="AI117" i="45"/>
  <c r="AI129" i="45" s="1"/>
  <c r="AF149" i="45"/>
  <c r="AF154" i="45" s="1"/>
  <c r="AF156" i="45" s="1"/>
  <c r="AF159" i="45" s="1"/>
  <c r="AE160" i="45"/>
  <c r="AG109" i="45"/>
  <c r="AH92" i="44"/>
  <c r="AH101" i="44" s="1"/>
  <c r="AH106" i="44" s="1"/>
  <c r="AI79" i="44"/>
  <c r="AI140" i="44" s="1"/>
  <c r="AH116" i="44"/>
  <c r="AH125" i="44" s="1"/>
  <c r="AH130" i="44" s="1"/>
  <c r="AJ88" i="44"/>
  <c r="AJ71" i="44"/>
  <c r="AE160" i="44"/>
  <c r="AE136" i="44"/>
  <c r="AE94" i="12" s="1"/>
  <c r="AD72" i="44"/>
  <c r="AF149" i="44"/>
  <c r="AF154" i="44" s="1"/>
  <c r="AF156" i="44" s="1"/>
  <c r="AF159" i="44" s="1"/>
  <c r="AE157" i="44"/>
  <c r="AH93" i="44"/>
  <c r="AH105" i="44" s="1"/>
  <c r="AI85" i="44"/>
  <c r="AI141" i="44" s="1"/>
  <c r="AH117" i="44"/>
  <c r="AH129" i="44" s="1"/>
  <c r="AH153" i="44"/>
  <c r="AG132" i="44"/>
  <c r="AG135" i="44" s="1"/>
  <c r="AF109" i="44"/>
  <c r="Y133" i="41"/>
  <c r="AA93" i="41"/>
  <c r="AA105" i="41" s="1"/>
  <c r="AB83" i="41"/>
  <c r="AA153" i="41"/>
  <c r="AA117" i="41"/>
  <c r="AA129" i="41" s="1"/>
  <c r="Z132" i="41"/>
  <c r="Z135" i="41" s="1"/>
  <c r="AB92" i="41"/>
  <c r="AB101" i="41" s="1"/>
  <c r="AC77" i="41"/>
  <c r="AB116" i="41"/>
  <c r="AB125" i="41" s="1"/>
  <c r="AB88" i="41"/>
  <c r="Y109" i="41"/>
  <c r="Y136" i="41"/>
  <c r="X72" i="41"/>
  <c r="Z108" i="41"/>
  <c r="Z111" i="41" s="1"/>
  <c r="U97" i="40"/>
  <c r="S98" i="40"/>
  <c r="R108" i="40"/>
  <c r="W94" i="40"/>
  <c r="V103" i="40"/>
  <c r="V95" i="40"/>
  <c r="S93" i="40"/>
  <c r="S99" i="40"/>
  <c r="Z112" i="41" l="1"/>
  <c r="AJ77" i="45"/>
  <c r="AI140" i="45"/>
  <c r="AJ83" i="45"/>
  <c r="AJ141" i="45" s="1"/>
  <c r="AJ153" i="45" s="1"/>
  <c r="AI141" i="45"/>
  <c r="AI153" i="45" s="1"/>
  <c r="AB106" i="41"/>
  <c r="AD82" i="41"/>
  <c r="AC141" i="41"/>
  <c r="AD87" i="41"/>
  <c r="AC152" i="41"/>
  <c r="AC128" i="41"/>
  <c r="AC104" i="41"/>
  <c r="AB130" i="41"/>
  <c r="AD76" i="41"/>
  <c r="AC140" i="41"/>
  <c r="AE106" i="12"/>
  <c r="AE73" i="44"/>
  <c r="AE107" i="12"/>
  <c r="AE73" i="45"/>
  <c r="AH132" i="44"/>
  <c r="AH135" i="44" s="1"/>
  <c r="AF282" i="48"/>
  <c r="AF112" i="44"/>
  <c r="AF82" i="12" s="1"/>
  <c r="AH108" i="44"/>
  <c r="AH111" i="44" s="1"/>
  <c r="AG109" i="44"/>
  <c r="AF279" i="48"/>
  <c r="AE83" i="12"/>
  <c r="AF112" i="45"/>
  <c r="AG278" i="48"/>
  <c r="AG281" i="48" s="1"/>
  <c r="AF157" i="45"/>
  <c r="AF157" i="44"/>
  <c r="AE209" i="48"/>
  <c r="AF209" i="48" s="1"/>
  <c r="AH213" i="48"/>
  <c r="AJ88" i="48"/>
  <c r="AG129" i="48"/>
  <c r="AH287" i="48"/>
  <c r="AH263" i="48"/>
  <c r="AH275" i="48" s="1"/>
  <c r="AH239" i="48"/>
  <c r="AI85" i="48"/>
  <c r="AE206" i="48"/>
  <c r="AF206" i="48" s="1"/>
  <c r="AH286" i="48"/>
  <c r="AH262" i="48"/>
  <c r="AH271" i="48" s="1"/>
  <c r="AH276" i="48" s="1"/>
  <c r="AH238" i="48"/>
  <c r="AI79" i="48"/>
  <c r="AG125" i="48"/>
  <c r="AG203" i="48"/>
  <c r="AG130" i="48" s="1"/>
  <c r="AB136" i="48"/>
  <c r="AH166" i="48"/>
  <c r="AI82" i="48"/>
  <c r="AH190" i="48"/>
  <c r="AH202" i="48" s="1"/>
  <c r="AH214" i="48"/>
  <c r="AH165" i="48"/>
  <c r="AI76" i="48"/>
  <c r="AH189" i="48"/>
  <c r="AH198" i="48" s="1"/>
  <c r="AE135" i="48"/>
  <c r="AE133" i="48"/>
  <c r="AF133" i="48" s="1"/>
  <c r="AH109" i="45"/>
  <c r="AI92" i="45"/>
  <c r="AI101" i="45" s="1"/>
  <c r="AI106" i="45" s="1"/>
  <c r="AI108" i="45" s="1"/>
  <c r="AI111" i="45" s="1"/>
  <c r="AJ79" i="45"/>
  <c r="AI116" i="45"/>
  <c r="AI125" i="45" s="1"/>
  <c r="AI130" i="45" s="1"/>
  <c r="AI132" i="45" s="1"/>
  <c r="AI135" i="45" s="1"/>
  <c r="AH133" i="45"/>
  <c r="AJ93" i="45"/>
  <c r="AJ105" i="45" s="1"/>
  <c r="AJ71" i="45"/>
  <c r="AF136" i="45"/>
  <c r="AF95" i="12" s="1"/>
  <c r="AE72" i="45"/>
  <c r="AG149" i="45"/>
  <c r="AG154" i="45" s="1"/>
  <c r="AG156" i="45" s="1"/>
  <c r="AG159" i="45" s="1"/>
  <c r="AF160" i="45"/>
  <c r="AJ88" i="45"/>
  <c r="AF160" i="44"/>
  <c r="AG149" i="44"/>
  <c r="AG154" i="44" s="1"/>
  <c r="AG156" i="44" s="1"/>
  <c r="AG159" i="44" s="1"/>
  <c r="AI93" i="44"/>
  <c r="AI105" i="44" s="1"/>
  <c r="AJ85" i="44"/>
  <c r="AI117" i="44"/>
  <c r="AI129" i="44" s="1"/>
  <c r="AI153" i="44"/>
  <c r="AI92" i="44"/>
  <c r="AI101" i="44" s="1"/>
  <c r="AI106" i="44" s="1"/>
  <c r="AJ79" i="44"/>
  <c r="AI116" i="44"/>
  <c r="AI125" i="44" s="1"/>
  <c r="AI130" i="44" s="1"/>
  <c r="AF136" i="44"/>
  <c r="AF94" i="12" s="1"/>
  <c r="AE72" i="44"/>
  <c r="AG133" i="44"/>
  <c r="AA132" i="41"/>
  <c r="AA135" i="41" s="1"/>
  <c r="Z133" i="41"/>
  <c r="Z109" i="41"/>
  <c r="AC88" i="41"/>
  <c r="AC92" i="41"/>
  <c r="AC101" i="41" s="1"/>
  <c r="AD77" i="41"/>
  <c r="AC116" i="41"/>
  <c r="AC125" i="41" s="1"/>
  <c r="Z136" i="41"/>
  <c r="Y72" i="41"/>
  <c r="AB93" i="41"/>
  <c r="AB105" i="41" s="1"/>
  <c r="AC83" i="41"/>
  <c r="AB117" i="41"/>
  <c r="AB129" i="41" s="1"/>
  <c r="AB153" i="41"/>
  <c r="AA108" i="41"/>
  <c r="AA111" i="41" s="1"/>
  <c r="AA112" i="41" s="1"/>
  <c r="W95" i="40"/>
  <c r="T99" i="40"/>
  <c r="T93" i="40"/>
  <c r="V97" i="40"/>
  <c r="T98" i="40"/>
  <c r="S108" i="40"/>
  <c r="X94" i="40"/>
  <c r="W103" i="40"/>
  <c r="AJ140" i="45" l="1"/>
  <c r="AJ149" i="45" s="1"/>
  <c r="AJ154" i="45" s="1"/>
  <c r="AJ156" i="45" s="1"/>
  <c r="AJ117" i="45"/>
  <c r="AJ129" i="45" s="1"/>
  <c r="AJ141" i="44"/>
  <c r="AJ153" i="44" s="1"/>
  <c r="AJ117" i="44"/>
  <c r="AJ129" i="44" s="1"/>
  <c r="AJ140" i="44"/>
  <c r="AJ116" i="44"/>
  <c r="AJ125" i="44" s="1"/>
  <c r="AJ130" i="44" s="1"/>
  <c r="AC130" i="41"/>
  <c r="AC106" i="41"/>
  <c r="AE87" i="41"/>
  <c r="AD152" i="41"/>
  <c r="AD128" i="41"/>
  <c r="AD104" i="41"/>
  <c r="AE82" i="41"/>
  <c r="AD141" i="41"/>
  <c r="AE76" i="41"/>
  <c r="AD140" i="41"/>
  <c r="AH133" i="44"/>
  <c r="AF106" i="12"/>
  <c r="AF73" i="44"/>
  <c r="AF107" i="12"/>
  <c r="AF73" i="45"/>
  <c r="AG282" i="48"/>
  <c r="AG112" i="44"/>
  <c r="AG82" i="12" s="1"/>
  <c r="AH109" i="44"/>
  <c r="AF83" i="12"/>
  <c r="AG112" i="45"/>
  <c r="AG279" i="48"/>
  <c r="AG157" i="45"/>
  <c r="AI132" i="44"/>
  <c r="AI135" i="44" s="1"/>
  <c r="AB108" i="41"/>
  <c r="AB111" i="41" s="1"/>
  <c r="AB112" i="41" s="1"/>
  <c r="AI108" i="44"/>
  <c r="AI111" i="44" s="1"/>
  <c r="AG157" i="44"/>
  <c r="AI166" i="48"/>
  <c r="AJ82" i="48"/>
  <c r="AI190" i="48"/>
  <c r="AI202" i="48" s="1"/>
  <c r="AI214" i="48"/>
  <c r="AC136" i="48"/>
  <c r="AI263" i="48"/>
  <c r="AI275" i="48" s="1"/>
  <c r="AI239" i="48"/>
  <c r="AI287" i="48"/>
  <c r="AJ85" i="48"/>
  <c r="AG132" i="48"/>
  <c r="AG135" i="48" s="1"/>
  <c r="AH125" i="48"/>
  <c r="AH203" i="48"/>
  <c r="AH130" i="48" s="1"/>
  <c r="AG205" i="48"/>
  <c r="AG208" i="48" s="1"/>
  <c r="AG209" i="48" s="1"/>
  <c r="AI165" i="48"/>
  <c r="AJ76" i="48"/>
  <c r="AI189" i="48"/>
  <c r="AI198" i="48" s="1"/>
  <c r="AH278" i="48"/>
  <c r="AI213" i="48"/>
  <c r="AH129" i="48"/>
  <c r="AH132" i="48" s="1"/>
  <c r="AH135" i="48" s="1"/>
  <c r="AI286" i="48"/>
  <c r="AI262" i="48"/>
  <c r="AI271" i="48" s="1"/>
  <c r="AI276" i="48" s="1"/>
  <c r="AI238" i="48"/>
  <c r="AJ79" i="48"/>
  <c r="AG136" i="45"/>
  <c r="AG95" i="12" s="1"/>
  <c r="AF72" i="45"/>
  <c r="AG160" i="45"/>
  <c r="AH149" i="45"/>
  <c r="AH154" i="45" s="1"/>
  <c r="AH156" i="45" s="1"/>
  <c r="AH159" i="45" s="1"/>
  <c r="AJ92" i="45"/>
  <c r="AJ101" i="45" s="1"/>
  <c r="AJ106" i="45" s="1"/>
  <c r="AJ108" i="45" s="1"/>
  <c r="AJ111" i="45" s="1"/>
  <c r="AJ116" i="45"/>
  <c r="AJ125" i="45" s="1"/>
  <c r="AJ130" i="45" s="1"/>
  <c r="AI133" i="45"/>
  <c r="AI109" i="45"/>
  <c r="AJ92" i="44"/>
  <c r="AJ101" i="44" s="1"/>
  <c r="AJ106" i="44" s="1"/>
  <c r="AG136" i="44"/>
  <c r="AG94" i="12" s="1"/>
  <c r="AF72" i="44"/>
  <c r="AJ93" i="44"/>
  <c r="AJ105" i="44" s="1"/>
  <c r="AG160" i="44"/>
  <c r="AH149" i="44"/>
  <c r="AH154" i="44" s="1"/>
  <c r="AH156" i="44" s="1"/>
  <c r="AH159" i="44" s="1"/>
  <c r="AB132" i="41"/>
  <c r="AB135" i="41" s="1"/>
  <c r="AA133" i="41"/>
  <c r="AA109" i="41"/>
  <c r="AD92" i="41"/>
  <c r="AD101" i="41" s="1"/>
  <c r="AE77" i="41"/>
  <c r="AD116" i="41"/>
  <c r="AD125" i="41" s="1"/>
  <c r="AC93" i="41"/>
  <c r="AC105" i="41" s="1"/>
  <c r="AD83" i="41"/>
  <c r="AC117" i="41"/>
  <c r="AC129" i="41" s="1"/>
  <c r="AC153" i="41"/>
  <c r="AD88" i="41"/>
  <c r="AA136" i="41"/>
  <c r="Z72" i="41"/>
  <c r="U98" i="40"/>
  <c r="T108" i="40"/>
  <c r="X95" i="40"/>
  <c r="Y94" i="40"/>
  <c r="X103" i="40"/>
  <c r="U93" i="40"/>
  <c r="U99" i="40"/>
  <c r="W97" i="40"/>
  <c r="AD130" i="41" l="1"/>
  <c r="AJ132" i="45"/>
  <c r="AJ135" i="45" s="1"/>
  <c r="AF76" i="41"/>
  <c r="AE140" i="41"/>
  <c r="AF82" i="41"/>
  <c r="AE141" i="41"/>
  <c r="AF87" i="41"/>
  <c r="AE128" i="41"/>
  <c r="AE152" i="41"/>
  <c r="AE104" i="41"/>
  <c r="AD106" i="41"/>
  <c r="AG106" i="12"/>
  <c r="AG73" i="44"/>
  <c r="AG107" i="12"/>
  <c r="AG73" i="45"/>
  <c r="AH112" i="44"/>
  <c r="AH82" i="12" s="1"/>
  <c r="AB109" i="41"/>
  <c r="AI109" i="44"/>
  <c r="AG83" i="12"/>
  <c r="AH112" i="45"/>
  <c r="AI133" i="44"/>
  <c r="AG133" i="48"/>
  <c r="AH133" i="48" s="1"/>
  <c r="AH205" i="48"/>
  <c r="AH208" i="48" s="1"/>
  <c r="AH209" i="48" s="1"/>
  <c r="AG206" i="48"/>
  <c r="AJ165" i="48"/>
  <c r="AJ189" i="48"/>
  <c r="AJ198" i="48" s="1"/>
  <c r="AI129" i="48"/>
  <c r="AJ166" i="48"/>
  <c r="AJ214" i="48"/>
  <c r="AJ190" i="48"/>
  <c r="AJ202" i="48" s="1"/>
  <c r="AJ213" i="48"/>
  <c r="AH281" i="48"/>
  <c r="AH282" i="48" s="1"/>
  <c r="AH279" i="48"/>
  <c r="AI278" i="48"/>
  <c r="AI281" i="48" s="1"/>
  <c r="AD136" i="48"/>
  <c r="AJ286" i="48"/>
  <c r="AJ262" i="48"/>
  <c r="AJ271" i="48" s="1"/>
  <c r="AJ276" i="48" s="1"/>
  <c r="AJ238" i="48"/>
  <c r="AI125" i="48"/>
  <c r="AI203" i="48"/>
  <c r="AI130" i="48" s="1"/>
  <c r="AJ287" i="48"/>
  <c r="AJ263" i="48"/>
  <c r="AJ275" i="48" s="1"/>
  <c r="AJ239" i="48"/>
  <c r="AH160" i="45"/>
  <c r="AH157" i="45"/>
  <c r="AJ109" i="45"/>
  <c r="AI149" i="45"/>
  <c r="AI154" i="45" s="1"/>
  <c r="AI156" i="45" s="1"/>
  <c r="AI159" i="45" s="1"/>
  <c r="AJ159" i="45"/>
  <c r="AH136" i="45"/>
  <c r="AH95" i="12" s="1"/>
  <c r="AG72" i="45"/>
  <c r="AJ132" i="44"/>
  <c r="AJ135" i="44" s="1"/>
  <c r="AH157" i="44"/>
  <c r="AH160" i="44"/>
  <c r="AJ108" i="44"/>
  <c r="AJ111" i="44" s="1"/>
  <c r="AI149" i="44"/>
  <c r="AI154" i="44" s="1"/>
  <c r="AI156" i="44" s="1"/>
  <c r="AI159" i="44" s="1"/>
  <c r="AJ149" i="44"/>
  <c r="AJ154" i="44" s="1"/>
  <c r="AJ156" i="44" s="1"/>
  <c r="AJ159" i="44" s="1"/>
  <c r="AH136" i="44"/>
  <c r="AH94" i="12" s="1"/>
  <c r="AG72" i="44"/>
  <c r="AB133" i="41"/>
  <c r="AC132" i="41"/>
  <c r="AC135" i="41" s="1"/>
  <c r="AB136" i="41"/>
  <c r="AA72" i="41"/>
  <c r="AD93" i="41"/>
  <c r="AD105" i="41" s="1"/>
  <c r="AE83" i="41"/>
  <c r="AD153" i="41"/>
  <c r="AD117" i="41"/>
  <c r="AD129" i="41" s="1"/>
  <c r="AE88" i="41"/>
  <c r="AC108" i="41"/>
  <c r="AC111" i="41" s="1"/>
  <c r="AC112" i="41" s="1"/>
  <c r="AE92" i="41"/>
  <c r="AE101" i="41" s="1"/>
  <c r="AF77" i="41"/>
  <c r="AE116" i="41"/>
  <c r="AE125" i="41" s="1"/>
  <c r="AE130" i="41" s="1"/>
  <c r="V99" i="40"/>
  <c r="Y95" i="40"/>
  <c r="V93" i="40"/>
  <c r="Y103" i="40"/>
  <c r="Z94" i="40"/>
  <c r="V98" i="40"/>
  <c r="U108" i="40"/>
  <c r="X97" i="40"/>
  <c r="AJ133" i="45" l="1"/>
  <c r="AE106" i="41"/>
  <c r="AG82" i="41"/>
  <c r="AF141" i="41"/>
  <c r="AG87" i="41"/>
  <c r="AF152" i="41"/>
  <c r="AF128" i="41"/>
  <c r="AF104" i="41"/>
  <c r="AG76" i="41"/>
  <c r="AF140" i="41"/>
  <c r="AH107" i="12"/>
  <c r="AH73" i="45"/>
  <c r="AH106" i="12"/>
  <c r="AH73" i="44"/>
  <c r="AI112" i="44"/>
  <c r="AI82" i="12" s="1"/>
  <c r="AH83" i="12"/>
  <c r="AI112" i="45"/>
  <c r="AH206" i="48"/>
  <c r="AI279" i="48"/>
  <c r="AJ278" i="48"/>
  <c r="AJ281" i="48" s="1"/>
  <c r="AJ129" i="48"/>
  <c r="AI132" i="48"/>
  <c r="AI135" i="48" s="1"/>
  <c r="AE136" i="48"/>
  <c r="AI282" i="48"/>
  <c r="AI205" i="48"/>
  <c r="AI208" i="48" s="1"/>
  <c r="AI209" i="48" s="1"/>
  <c r="AJ125" i="48"/>
  <c r="AJ203" i="48"/>
  <c r="AJ130" i="48" s="1"/>
  <c r="AI160" i="45"/>
  <c r="AI136" i="45"/>
  <c r="AI95" i="12" s="1"/>
  <c r="AH72" i="45"/>
  <c r="AI157" i="45"/>
  <c r="AJ157" i="45" s="1"/>
  <c r="AI136" i="44"/>
  <c r="AI94" i="12" s="1"/>
  <c r="AH72" i="44"/>
  <c r="AI160" i="44"/>
  <c r="AJ109" i="44"/>
  <c r="AI157" i="44"/>
  <c r="AJ157" i="44" s="1"/>
  <c r="AJ133" i="44"/>
  <c r="AC133" i="41"/>
  <c r="AD132" i="41"/>
  <c r="AD135" i="41" s="1"/>
  <c r="AD108" i="41"/>
  <c r="AD111" i="41" s="1"/>
  <c r="AD112" i="41" s="1"/>
  <c r="AC109" i="41"/>
  <c r="AF92" i="41"/>
  <c r="AF101" i="41" s="1"/>
  <c r="AG77" i="41"/>
  <c r="AF116" i="41"/>
  <c r="AF125" i="41" s="1"/>
  <c r="AF130" i="41" s="1"/>
  <c r="AC136" i="41"/>
  <c r="AB72" i="41"/>
  <c r="AF88" i="41"/>
  <c r="AE93" i="41"/>
  <c r="AE105" i="41" s="1"/>
  <c r="AF83" i="41"/>
  <c r="AE153" i="41"/>
  <c r="AE117" i="41"/>
  <c r="AE129" i="41" s="1"/>
  <c r="Y97" i="40"/>
  <c r="W93" i="40"/>
  <c r="AA94" i="40"/>
  <c r="Z103" i="40"/>
  <c r="W98" i="40"/>
  <c r="V108" i="40"/>
  <c r="W99" i="40"/>
  <c r="Z95" i="40"/>
  <c r="AH76" i="41" l="1"/>
  <c r="AG140" i="41"/>
  <c r="AH87" i="41"/>
  <c r="AG128" i="41"/>
  <c r="AG152" i="41"/>
  <c r="AG104" i="41"/>
  <c r="AH82" i="41"/>
  <c r="AG141" i="41"/>
  <c r="AF106" i="41"/>
  <c r="AI106" i="12"/>
  <c r="AI73" i="44"/>
  <c r="AI107" i="12"/>
  <c r="AI73" i="45"/>
  <c r="AJ112" i="44"/>
  <c r="AJ82" i="12" s="1"/>
  <c r="AI83" i="12"/>
  <c r="AJ112" i="45"/>
  <c r="AJ83" i="12" s="1"/>
  <c r="AJ279" i="48"/>
  <c r="AJ282" i="48"/>
  <c r="AI206" i="48"/>
  <c r="AF136" i="48"/>
  <c r="AI133" i="48"/>
  <c r="AJ132" i="48"/>
  <c r="AJ135" i="48" s="1"/>
  <c r="AJ205" i="48"/>
  <c r="AJ208" i="48" s="1"/>
  <c r="AJ209" i="48" s="1"/>
  <c r="AJ136" i="45"/>
  <c r="AI72" i="45"/>
  <c r="AJ160" i="45"/>
  <c r="AJ160" i="44"/>
  <c r="AJ136" i="44"/>
  <c r="AI72" i="44"/>
  <c r="AD133" i="41"/>
  <c r="AD109" i="41"/>
  <c r="AE132" i="41"/>
  <c r="AE135" i="41" s="1"/>
  <c r="AG88" i="41"/>
  <c r="AD136" i="41"/>
  <c r="AC72" i="41"/>
  <c r="AE108" i="41"/>
  <c r="AE111" i="41" s="1"/>
  <c r="AE112" i="41" s="1"/>
  <c r="AF93" i="41"/>
  <c r="AF105" i="41" s="1"/>
  <c r="AG83" i="41"/>
  <c r="AF153" i="41"/>
  <c r="AF117" i="41"/>
  <c r="AF129" i="41" s="1"/>
  <c r="AG92" i="41"/>
  <c r="AG101" i="41" s="1"/>
  <c r="AG106" i="41" s="1"/>
  <c r="AH77" i="41"/>
  <c r="AG116" i="41"/>
  <c r="AG125" i="41" s="1"/>
  <c r="X99" i="40"/>
  <c r="X93" i="40"/>
  <c r="X98" i="40"/>
  <c r="W108" i="40"/>
  <c r="AB94" i="40"/>
  <c r="AA103" i="40"/>
  <c r="AA95" i="40"/>
  <c r="Z97" i="40"/>
  <c r="AG130" i="41" l="1"/>
  <c r="AI82" i="41"/>
  <c r="AH141" i="41"/>
  <c r="AI87" i="41"/>
  <c r="AH152" i="41"/>
  <c r="AH128" i="41"/>
  <c r="AH104" i="41"/>
  <c r="AI76" i="41"/>
  <c r="AH140" i="41"/>
  <c r="AJ73" i="45"/>
  <c r="J73" i="45" s="1"/>
  <c r="V43" i="45" s="1"/>
  <c r="AJ73" i="44"/>
  <c r="J73" i="44" s="1"/>
  <c r="V43" i="44" s="1"/>
  <c r="AJ107" i="12"/>
  <c r="AJ72" i="45"/>
  <c r="J72" i="45" s="1"/>
  <c r="V42" i="45" s="1"/>
  <c r="AJ95" i="12"/>
  <c r="AJ106" i="12"/>
  <c r="AJ72" i="44"/>
  <c r="J72" i="44" s="1"/>
  <c r="V42" i="44" s="1"/>
  <c r="AJ94" i="12"/>
  <c r="AJ133" i="48"/>
  <c r="AJ206" i="48"/>
  <c r="AG136" i="48"/>
  <c r="AE133" i="41"/>
  <c r="AF132" i="41"/>
  <c r="AF135" i="41" s="1"/>
  <c r="AH88" i="41"/>
  <c r="AF108" i="41"/>
  <c r="AF111" i="41" s="1"/>
  <c r="AF112" i="41" s="1"/>
  <c r="AG93" i="41"/>
  <c r="AG105" i="41" s="1"/>
  <c r="AH83" i="41"/>
  <c r="AG117" i="41"/>
  <c r="AG129" i="41" s="1"/>
  <c r="AG153" i="41"/>
  <c r="AH92" i="41"/>
  <c r="AH101" i="41" s="1"/>
  <c r="AH106" i="41" s="1"/>
  <c r="AI77" i="41"/>
  <c r="AH116" i="41"/>
  <c r="AH125" i="41" s="1"/>
  <c r="AH130" i="41" s="1"/>
  <c r="AE109" i="41"/>
  <c r="AE136" i="41"/>
  <c r="AD72" i="41"/>
  <c r="AB95" i="40"/>
  <c r="Y99" i="40"/>
  <c r="Y98" i="40"/>
  <c r="X108" i="40"/>
  <c r="Y93" i="40"/>
  <c r="AA97" i="40"/>
  <c r="AC94" i="40"/>
  <c r="AB103" i="40"/>
  <c r="AJ76" i="41" l="1"/>
  <c r="AI140" i="41"/>
  <c r="AJ87" i="41"/>
  <c r="AI152" i="41"/>
  <c r="AI128" i="41"/>
  <c r="AI104" i="41"/>
  <c r="AJ82" i="41"/>
  <c r="AI141" i="41"/>
  <c r="AF109" i="41"/>
  <c r="AH136" i="48"/>
  <c r="AG108" i="41"/>
  <c r="AG111" i="41" s="1"/>
  <c r="AG112" i="41" s="1"/>
  <c r="AG132" i="41"/>
  <c r="AG135" i="41" s="1"/>
  <c r="AF133" i="41"/>
  <c r="AH93" i="41"/>
  <c r="AH105" i="41" s="1"/>
  <c r="AI83" i="41"/>
  <c r="AH117" i="41"/>
  <c r="AH129" i="41" s="1"/>
  <c r="AH153" i="41"/>
  <c r="AF136" i="41"/>
  <c r="AE72" i="41"/>
  <c r="AI92" i="41"/>
  <c r="AI101" i="41" s="1"/>
  <c r="AI106" i="41" s="1"/>
  <c r="AJ77" i="41"/>
  <c r="AI116" i="41"/>
  <c r="AI125" i="41" s="1"/>
  <c r="AI88" i="41"/>
  <c r="AD94" i="40"/>
  <c r="AC103" i="40"/>
  <c r="AC95" i="40"/>
  <c r="Z93" i="40"/>
  <c r="AB97" i="40"/>
  <c r="Z99" i="40"/>
  <c r="Z98" i="40"/>
  <c r="Y108" i="40"/>
  <c r="AJ117" i="41" l="1"/>
  <c r="AJ129" i="41" s="1"/>
  <c r="AJ141" i="41"/>
  <c r="AJ153" i="41" s="1"/>
  <c r="AJ93" i="41"/>
  <c r="AJ105" i="41" s="1"/>
  <c r="AJ152" i="41"/>
  <c r="AJ128" i="41"/>
  <c r="AJ104" i="41"/>
  <c r="AI130" i="41"/>
  <c r="AJ92" i="41"/>
  <c r="AJ101" i="41" s="1"/>
  <c r="AJ140" i="41"/>
  <c r="AJ149" i="41" s="1"/>
  <c r="AI136" i="48"/>
  <c r="AG109" i="41"/>
  <c r="AG133" i="41"/>
  <c r="AI93" i="41"/>
  <c r="AI105" i="41" s="1"/>
  <c r="AJ83" i="41"/>
  <c r="AI153" i="41"/>
  <c r="AI117" i="41"/>
  <c r="AI129" i="41" s="1"/>
  <c r="AH108" i="41"/>
  <c r="AJ88" i="41"/>
  <c r="AH132" i="41"/>
  <c r="AH135" i="41" s="1"/>
  <c r="AJ116" i="41"/>
  <c r="AJ125" i="41" s="1"/>
  <c r="AG136" i="41"/>
  <c r="AF72" i="41"/>
  <c r="AA98" i="40"/>
  <c r="Z108" i="40"/>
  <c r="AC97" i="40"/>
  <c r="AA99" i="40"/>
  <c r="AA93" i="40"/>
  <c r="AD95" i="40"/>
  <c r="AE94" i="40"/>
  <c r="AD103" i="40"/>
  <c r="AJ130" i="41" l="1"/>
  <c r="AJ132" i="41" s="1"/>
  <c r="AJ154" i="41"/>
  <c r="AJ106" i="41"/>
  <c r="AJ108" i="41" s="1"/>
  <c r="AJ111" i="41" s="1"/>
  <c r="AJ136" i="48"/>
  <c r="AI108" i="41"/>
  <c r="AI111" i="41" s="1"/>
  <c r="AI132" i="41"/>
  <c r="AI135" i="41" s="1"/>
  <c r="AH136" i="41"/>
  <c r="AG72" i="41"/>
  <c r="AH133" i="41"/>
  <c r="AH111" i="41"/>
  <c r="AH112" i="41" s="1"/>
  <c r="AH109" i="41"/>
  <c r="AD97" i="40"/>
  <c r="AB93" i="40"/>
  <c r="AE95" i="40"/>
  <c r="AF94" i="40"/>
  <c r="AE103" i="40"/>
  <c r="AB99" i="40"/>
  <c r="AB98" i="40"/>
  <c r="AA108" i="40"/>
  <c r="AI112" i="41" l="1"/>
  <c r="AJ112" i="41" s="1"/>
  <c r="AI109" i="41"/>
  <c r="AJ109" i="41" s="1"/>
  <c r="AI133" i="41"/>
  <c r="AI136" i="41"/>
  <c r="AH72" i="41"/>
  <c r="AJ135" i="41"/>
  <c r="AC98" i="40"/>
  <c r="AB108" i="40"/>
  <c r="AG94" i="40"/>
  <c r="AF103" i="40"/>
  <c r="AF95" i="40"/>
  <c r="AC99" i="40"/>
  <c r="AC93" i="40"/>
  <c r="AE97" i="40"/>
  <c r="AJ136" i="41" l="1"/>
  <c r="L16" i="43"/>
  <c r="AI72" i="41"/>
  <c r="AJ133" i="41"/>
  <c r="AD99" i="40"/>
  <c r="AG103" i="40"/>
  <c r="AH94" i="40"/>
  <c r="AD93" i="40"/>
  <c r="AD98" i="40"/>
  <c r="AC108" i="40"/>
  <c r="AF97" i="40"/>
  <c r="AG95" i="40"/>
  <c r="AJ72" i="41" l="1"/>
  <c r="J72" i="41" s="1"/>
  <c r="V42" i="41" s="1"/>
  <c r="M24" i="43" s="1"/>
  <c r="M16" i="43"/>
  <c r="AE98" i="40"/>
  <c r="AD108" i="40"/>
  <c r="AE93" i="40"/>
  <c r="AH95" i="40"/>
  <c r="AG97" i="40"/>
  <c r="AE99" i="40"/>
  <c r="AI94" i="40"/>
  <c r="AH103" i="40"/>
  <c r="AJ94" i="40" l="1"/>
  <c r="AI103" i="40"/>
  <c r="AF99" i="40"/>
  <c r="AF98" i="40"/>
  <c r="AE108" i="40"/>
  <c r="AH97" i="40"/>
  <c r="AI95" i="40"/>
  <c r="AF93" i="40"/>
  <c r="AG98" i="40" l="1"/>
  <c r="AF108" i="40"/>
  <c r="AG93" i="40"/>
  <c r="AJ95" i="40"/>
  <c r="AI97" i="40"/>
  <c r="AG99" i="40"/>
  <c r="AJ103" i="40"/>
  <c r="AH99" i="40" l="1"/>
  <c r="AJ97" i="40"/>
  <c r="AH98" i="40"/>
  <c r="AG108" i="40"/>
  <c r="AH93" i="40"/>
  <c r="AI93" i="40" l="1"/>
  <c r="AI98" i="40"/>
  <c r="AH108" i="40"/>
  <c r="AI99" i="40"/>
  <c r="AJ98" i="40" l="1"/>
  <c r="AI108" i="40"/>
  <c r="AJ99" i="40"/>
  <c r="AJ93" i="40"/>
  <c r="AJ108" i="40" l="1"/>
  <c r="K120" i="30" l="1"/>
  <c r="L120" i="30" s="1"/>
  <c r="M120" i="30" s="1"/>
  <c r="N120" i="30" s="1"/>
  <c r="O120" i="30" s="1"/>
  <c r="P120" i="30" s="1"/>
  <c r="Q120" i="30" s="1"/>
  <c r="R120" i="30" s="1"/>
  <c r="S120" i="30" s="1"/>
  <c r="T120" i="30" s="1"/>
  <c r="U120" i="30" s="1"/>
  <c r="V120" i="30" s="1"/>
  <c r="W120" i="30" s="1"/>
  <c r="X120" i="30" s="1"/>
  <c r="Y120" i="30" s="1"/>
  <c r="Z120" i="30" s="1"/>
  <c r="AA120" i="30" s="1"/>
  <c r="AB120" i="30" s="1"/>
  <c r="AC120" i="30" s="1"/>
  <c r="AD120" i="30" s="1"/>
  <c r="AE120" i="30" s="1"/>
  <c r="AF120" i="30" s="1"/>
  <c r="AG120" i="30" s="1"/>
  <c r="AH120" i="30" s="1"/>
  <c r="AI120" i="30" s="1"/>
  <c r="AJ120" i="30" s="1"/>
  <c r="K119" i="30"/>
  <c r="L119" i="30" s="1"/>
  <c r="M119" i="30" s="1"/>
  <c r="N119" i="30" s="1"/>
  <c r="O119" i="30" s="1"/>
  <c r="P119" i="30" s="1"/>
  <c r="Q119" i="30" s="1"/>
  <c r="R119" i="30" s="1"/>
  <c r="S119" i="30" s="1"/>
  <c r="T119" i="30" s="1"/>
  <c r="U119" i="30" s="1"/>
  <c r="V119" i="30" s="1"/>
  <c r="W119" i="30" s="1"/>
  <c r="X119" i="30" s="1"/>
  <c r="Y119" i="30" s="1"/>
  <c r="Z119" i="30" s="1"/>
  <c r="AA119" i="30" s="1"/>
  <c r="AB119" i="30" s="1"/>
  <c r="AC119" i="30" s="1"/>
  <c r="AD119" i="30" s="1"/>
  <c r="AE119" i="30" s="1"/>
  <c r="AF119" i="30" s="1"/>
  <c r="AG119" i="30" s="1"/>
  <c r="AH119" i="30" s="1"/>
  <c r="AI119" i="30" s="1"/>
  <c r="AJ119" i="30" s="1"/>
  <c r="K118" i="30"/>
  <c r="L118" i="30" s="1"/>
  <c r="M118" i="30" s="1"/>
  <c r="N118" i="30" s="1"/>
  <c r="O118" i="30" s="1"/>
  <c r="P118" i="30" s="1"/>
  <c r="Q118" i="30" s="1"/>
  <c r="R118" i="30" s="1"/>
  <c r="S118" i="30" s="1"/>
  <c r="T118" i="30" s="1"/>
  <c r="U118" i="30" s="1"/>
  <c r="V118" i="30" s="1"/>
  <c r="W118" i="30" s="1"/>
  <c r="X118" i="30" s="1"/>
  <c r="Y118" i="30" s="1"/>
  <c r="Z118" i="30" s="1"/>
  <c r="AA118" i="30" s="1"/>
  <c r="AB118" i="30" s="1"/>
  <c r="AC118" i="30" s="1"/>
  <c r="AD118" i="30" s="1"/>
  <c r="AE118" i="30" s="1"/>
  <c r="AF118" i="30" s="1"/>
  <c r="AG118" i="30" s="1"/>
  <c r="AH118" i="30" s="1"/>
  <c r="AI118" i="30" s="1"/>
  <c r="AJ118" i="30" s="1"/>
  <c r="K116" i="30"/>
  <c r="L116" i="30" s="1"/>
  <c r="M116" i="30" s="1"/>
  <c r="N116" i="30" s="1"/>
  <c r="O116" i="30" s="1"/>
  <c r="P116" i="30" s="1"/>
  <c r="Q116" i="30" s="1"/>
  <c r="R116" i="30" s="1"/>
  <c r="S116" i="30" s="1"/>
  <c r="T116" i="30" s="1"/>
  <c r="U116" i="30" s="1"/>
  <c r="V116" i="30" s="1"/>
  <c r="W116" i="30" s="1"/>
  <c r="X116" i="30" s="1"/>
  <c r="Y116" i="30" s="1"/>
  <c r="Z116" i="30" s="1"/>
  <c r="AA116" i="30" s="1"/>
  <c r="AB116" i="30" s="1"/>
  <c r="AC116" i="30" s="1"/>
  <c r="AD116" i="30" s="1"/>
  <c r="AE116" i="30" s="1"/>
  <c r="AF116" i="30" s="1"/>
  <c r="AG116" i="30" s="1"/>
  <c r="AH116" i="30" s="1"/>
  <c r="AI116" i="30" s="1"/>
  <c r="AJ116" i="30" s="1"/>
  <c r="K115" i="30"/>
  <c r="L115" i="30" s="1"/>
  <c r="M115" i="30" s="1"/>
  <c r="N115" i="30" s="1"/>
  <c r="O115" i="30" s="1"/>
  <c r="P115" i="30" s="1"/>
  <c r="Q115" i="30" s="1"/>
  <c r="R115" i="30" s="1"/>
  <c r="S115" i="30" s="1"/>
  <c r="T115" i="30" s="1"/>
  <c r="U115" i="30" s="1"/>
  <c r="V115" i="30" s="1"/>
  <c r="W115" i="30" s="1"/>
  <c r="X115" i="30" s="1"/>
  <c r="Y115" i="30" s="1"/>
  <c r="Z115" i="30" s="1"/>
  <c r="AA115" i="30" s="1"/>
  <c r="AB115" i="30" s="1"/>
  <c r="AC115" i="30" s="1"/>
  <c r="AD115" i="30" s="1"/>
  <c r="AE115" i="30" s="1"/>
  <c r="AF115" i="30" s="1"/>
  <c r="AG115" i="30" s="1"/>
  <c r="AH115" i="30" s="1"/>
  <c r="AI115" i="30" s="1"/>
  <c r="AJ115" i="30" s="1"/>
  <c r="K114" i="30"/>
  <c r="L114" i="30" s="1"/>
  <c r="M114" i="30" s="1"/>
  <c r="N114" i="30" s="1"/>
  <c r="O114" i="30" s="1"/>
  <c r="P114" i="30" s="1"/>
  <c r="Q114" i="30" s="1"/>
  <c r="R114" i="30" s="1"/>
  <c r="S114" i="30" s="1"/>
  <c r="T114" i="30" s="1"/>
  <c r="U114" i="30" s="1"/>
  <c r="V114" i="30" s="1"/>
  <c r="W114" i="30" s="1"/>
  <c r="X114" i="30" s="1"/>
  <c r="Y114" i="30" s="1"/>
  <c r="Z114" i="30" s="1"/>
  <c r="AA114" i="30" s="1"/>
  <c r="AB114" i="30" s="1"/>
  <c r="AC114" i="30" s="1"/>
  <c r="AD114" i="30" s="1"/>
  <c r="AE114" i="30" s="1"/>
  <c r="AF114" i="30" s="1"/>
  <c r="AG114" i="30" s="1"/>
  <c r="AH114" i="30" s="1"/>
  <c r="AI114" i="30" s="1"/>
  <c r="AJ114" i="30" s="1"/>
  <c r="K111" i="30"/>
  <c r="L111" i="30" s="1"/>
  <c r="M111" i="30" s="1"/>
  <c r="N111" i="30" s="1"/>
  <c r="O111" i="30" s="1"/>
  <c r="P111" i="30" s="1"/>
  <c r="Q111" i="30" s="1"/>
  <c r="R111" i="30" s="1"/>
  <c r="S111" i="30" s="1"/>
  <c r="T111" i="30" s="1"/>
  <c r="U111" i="30" s="1"/>
  <c r="V111" i="30" s="1"/>
  <c r="W111" i="30" s="1"/>
  <c r="X111" i="30" s="1"/>
  <c r="Y111" i="30" s="1"/>
  <c r="Z111" i="30" s="1"/>
  <c r="AA111" i="30" s="1"/>
  <c r="AB111" i="30" s="1"/>
  <c r="AC111" i="30" s="1"/>
  <c r="AD111" i="30" s="1"/>
  <c r="AE111" i="30" s="1"/>
  <c r="AF111" i="30" s="1"/>
  <c r="AG111" i="30" s="1"/>
  <c r="AH111" i="30" s="1"/>
  <c r="AI111" i="30" s="1"/>
  <c r="AJ111" i="30" s="1"/>
  <c r="AC25" i="25"/>
  <c r="AC42" i="25"/>
  <c r="AC41" i="25"/>
  <c r="AC40" i="25"/>
  <c r="L87" i="27"/>
  <c r="L103" i="27" s="1"/>
  <c r="K85" i="27"/>
  <c r="L85" i="27" s="1"/>
  <c r="M85" i="27" s="1"/>
  <c r="N85" i="27" s="1"/>
  <c r="O85" i="27" s="1"/>
  <c r="P85" i="27" s="1"/>
  <c r="Q85" i="27" s="1"/>
  <c r="R85" i="27" s="1"/>
  <c r="S85" i="27" s="1"/>
  <c r="T85" i="27" s="1"/>
  <c r="U85" i="27" s="1"/>
  <c r="V85" i="27" s="1"/>
  <c r="W85" i="27" s="1"/>
  <c r="X85" i="27" s="1"/>
  <c r="Y85" i="27" s="1"/>
  <c r="Z85" i="27" s="1"/>
  <c r="AA85" i="27" s="1"/>
  <c r="AB85" i="27" s="1"/>
  <c r="AC85" i="27" s="1"/>
  <c r="AD85" i="27" s="1"/>
  <c r="AE85" i="27" s="1"/>
  <c r="AF85" i="27" s="1"/>
  <c r="AG85" i="27" s="1"/>
  <c r="AH85" i="27" s="1"/>
  <c r="AI85" i="27" s="1"/>
  <c r="AJ85" i="27" s="1"/>
  <c r="AJ141" i="27" s="1"/>
  <c r="K83" i="27"/>
  <c r="L83" i="27" s="1"/>
  <c r="M83" i="27" s="1"/>
  <c r="N83" i="27" s="1"/>
  <c r="O83" i="27" s="1"/>
  <c r="P83" i="27" s="1"/>
  <c r="Q83" i="27" s="1"/>
  <c r="R83" i="27" s="1"/>
  <c r="S83" i="27" s="1"/>
  <c r="T83" i="27" s="1"/>
  <c r="U83" i="27" s="1"/>
  <c r="V83" i="27" s="1"/>
  <c r="W83" i="27" s="1"/>
  <c r="X83" i="27" s="1"/>
  <c r="Y83" i="27" s="1"/>
  <c r="Z83" i="27" s="1"/>
  <c r="AA83" i="27" s="1"/>
  <c r="AB83" i="27" s="1"/>
  <c r="AC83" i="27" s="1"/>
  <c r="AD83" i="27" s="1"/>
  <c r="AE83" i="27" s="1"/>
  <c r="AF83" i="27" s="1"/>
  <c r="AG83" i="27" s="1"/>
  <c r="AH83" i="27" s="1"/>
  <c r="AI83" i="27" s="1"/>
  <c r="AJ83" i="27" s="1"/>
  <c r="K82" i="27"/>
  <c r="L82" i="27" s="1"/>
  <c r="M82" i="27" s="1"/>
  <c r="N82" i="27" s="1"/>
  <c r="O82" i="27" s="1"/>
  <c r="P82" i="27" s="1"/>
  <c r="Q82" i="27" s="1"/>
  <c r="R82" i="27" s="1"/>
  <c r="S82" i="27" s="1"/>
  <c r="T82" i="27" s="1"/>
  <c r="U82" i="27" s="1"/>
  <c r="V82" i="27" s="1"/>
  <c r="W82" i="27" s="1"/>
  <c r="X82" i="27" s="1"/>
  <c r="Y82" i="27" s="1"/>
  <c r="Z82" i="27" s="1"/>
  <c r="AA82" i="27" s="1"/>
  <c r="AB82" i="27" s="1"/>
  <c r="AC82" i="27" s="1"/>
  <c r="AD82" i="27" s="1"/>
  <c r="AE82" i="27" s="1"/>
  <c r="AF82" i="27" s="1"/>
  <c r="AG82" i="27" s="1"/>
  <c r="AH82" i="27" s="1"/>
  <c r="AI82" i="27" s="1"/>
  <c r="AJ82" i="27" s="1"/>
  <c r="K81" i="27"/>
  <c r="L81" i="27" s="1"/>
  <c r="M81" i="27" s="1"/>
  <c r="N81" i="27" s="1"/>
  <c r="O81" i="27" s="1"/>
  <c r="P81" i="27" s="1"/>
  <c r="Q81" i="27" s="1"/>
  <c r="R81" i="27" s="1"/>
  <c r="S81" i="27" s="1"/>
  <c r="T81" i="27" s="1"/>
  <c r="U81" i="27" s="1"/>
  <c r="V81" i="27" s="1"/>
  <c r="W81" i="27" s="1"/>
  <c r="X81" i="27" s="1"/>
  <c r="Y81" i="27" s="1"/>
  <c r="Z81" i="27" s="1"/>
  <c r="AA81" i="27" s="1"/>
  <c r="AB81" i="27" s="1"/>
  <c r="AC81" i="27" s="1"/>
  <c r="AD81" i="27" s="1"/>
  <c r="AE81" i="27" s="1"/>
  <c r="AF81" i="27" s="1"/>
  <c r="AG81" i="27" s="1"/>
  <c r="AH81" i="27" s="1"/>
  <c r="AI81" i="27" s="1"/>
  <c r="AJ81" i="27" s="1"/>
  <c r="K88" i="27"/>
  <c r="L88" i="27" s="1"/>
  <c r="M88" i="27" s="1"/>
  <c r="N88" i="27" s="1"/>
  <c r="O88" i="27" s="1"/>
  <c r="P88" i="27" s="1"/>
  <c r="Q88" i="27" s="1"/>
  <c r="R88" i="27" s="1"/>
  <c r="S88" i="27" s="1"/>
  <c r="T88" i="27" s="1"/>
  <c r="U88" i="27" s="1"/>
  <c r="V88" i="27" s="1"/>
  <c r="W88" i="27" s="1"/>
  <c r="X88" i="27" s="1"/>
  <c r="Y88" i="27" s="1"/>
  <c r="Z88" i="27" s="1"/>
  <c r="AA88" i="27" s="1"/>
  <c r="AB88" i="27" s="1"/>
  <c r="AC88" i="27" s="1"/>
  <c r="AD88" i="27" s="1"/>
  <c r="AE88" i="27" s="1"/>
  <c r="AF88" i="27" s="1"/>
  <c r="AG88" i="27" s="1"/>
  <c r="AH88" i="27" s="1"/>
  <c r="AI88" i="27" s="1"/>
  <c r="AJ88" i="27" s="1"/>
  <c r="K79" i="27"/>
  <c r="K77" i="27"/>
  <c r="L77" i="27" s="1"/>
  <c r="M77" i="27" s="1"/>
  <c r="N77" i="27" s="1"/>
  <c r="O77" i="27" s="1"/>
  <c r="P77" i="27" s="1"/>
  <c r="Q77" i="27" s="1"/>
  <c r="R77" i="27" s="1"/>
  <c r="S77" i="27" s="1"/>
  <c r="T77" i="27" s="1"/>
  <c r="U77" i="27" s="1"/>
  <c r="V77" i="27" s="1"/>
  <c r="W77" i="27" s="1"/>
  <c r="X77" i="27" s="1"/>
  <c r="Y77" i="27" s="1"/>
  <c r="Z77" i="27" s="1"/>
  <c r="AA77" i="27" s="1"/>
  <c r="AB77" i="27" s="1"/>
  <c r="AC77" i="27" s="1"/>
  <c r="AD77" i="27" s="1"/>
  <c r="AE77" i="27" s="1"/>
  <c r="AF77" i="27" s="1"/>
  <c r="AG77" i="27" s="1"/>
  <c r="AH77" i="27" s="1"/>
  <c r="AI77" i="27" s="1"/>
  <c r="AJ77" i="27" s="1"/>
  <c r="K76" i="27"/>
  <c r="L76" i="27" s="1"/>
  <c r="M76" i="27" s="1"/>
  <c r="N76" i="27" s="1"/>
  <c r="O76" i="27" s="1"/>
  <c r="P76" i="27" s="1"/>
  <c r="Q76" i="27" s="1"/>
  <c r="R76" i="27" s="1"/>
  <c r="S76" i="27" s="1"/>
  <c r="T76" i="27" s="1"/>
  <c r="U76" i="27" s="1"/>
  <c r="V76" i="27" s="1"/>
  <c r="W76" i="27" s="1"/>
  <c r="X76" i="27" s="1"/>
  <c r="Y76" i="27" s="1"/>
  <c r="Z76" i="27" s="1"/>
  <c r="AA76" i="27" s="1"/>
  <c r="AB76" i="27" s="1"/>
  <c r="AC76" i="27" s="1"/>
  <c r="AD76" i="27" s="1"/>
  <c r="AE76" i="27" s="1"/>
  <c r="AF76" i="27" s="1"/>
  <c r="AG76" i="27" s="1"/>
  <c r="AH76" i="27" s="1"/>
  <c r="AI76" i="27" s="1"/>
  <c r="AJ76" i="27" s="1"/>
  <c r="K75" i="27"/>
  <c r="L75" i="27" s="1"/>
  <c r="M75" i="27" s="1"/>
  <c r="N75" i="27" s="1"/>
  <c r="O75" i="27" s="1"/>
  <c r="P75" i="27" s="1"/>
  <c r="Q75" i="27" s="1"/>
  <c r="R75" i="27" s="1"/>
  <c r="S75" i="27" s="1"/>
  <c r="T75" i="27" s="1"/>
  <c r="U75" i="27" s="1"/>
  <c r="V75" i="27" s="1"/>
  <c r="W75" i="27" s="1"/>
  <c r="X75" i="27" s="1"/>
  <c r="Y75" i="27" s="1"/>
  <c r="Z75" i="27" s="1"/>
  <c r="AA75" i="27" s="1"/>
  <c r="AB75" i="27" s="1"/>
  <c r="AC75" i="27" s="1"/>
  <c r="AD75" i="27" s="1"/>
  <c r="AE75" i="27" s="1"/>
  <c r="AF75" i="27" s="1"/>
  <c r="AG75" i="27" s="1"/>
  <c r="AH75" i="27" s="1"/>
  <c r="AI75" i="27" s="1"/>
  <c r="AJ75" i="27" s="1"/>
  <c r="L87" i="26"/>
  <c r="L104" i="26" s="1"/>
  <c r="K85" i="26"/>
  <c r="K83" i="26"/>
  <c r="L83" i="26" s="1"/>
  <c r="M83" i="26" s="1"/>
  <c r="N83" i="26" s="1"/>
  <c r="O83" i="26" s="1"/>
  <c r="P83" i="26" s="1"/>
  <c r="Q83" i="26" s="1"/>
  <c r="R83" i="26" s="1"/>
  <c r="S83" i="26" s="1"/>
  <c r="T83" i="26" s="1"/>
  <c r="U83" i="26" s="1"/>
  <c r="V83" i="26" s="1"/>
  <c r="W83" i="26" s="1"/>
  <c r="X83" i="26" s="1"/>
  <c r="Y83" i="26" s="1"/>
  <c r="Z83" i="26" s="1"/>
  <c r="AA83" i="26" s="1"/>
  <c r="AB83" i="26" s="1"/>
  <c r="AC83" i="26" s="1"/>
  <c r="AD83" i="26" s="1"/>
  <c r="AE83" i="26" s="1"/>
  <c r="AF83" i="26" s="1"/>
  <c r="AG83" i="26" s="1"/>
  <c r="AH83" i="26" s="1"/>
  <c r="AI83" i="26" s="1"/>
  <c r="AJ83" i="26" s="1"/>
  <c r="K82" i="26"/>
  <c r="L82" i="26" s="1"/>
  <c r="M82" i="26" s="1"/>
  <c r="N82" i="26" s="1"/>
  <c r="O82" i="26" s="1"/>
  <c r="P82" i="26" s="1"/>
  <c r="Q82" i="26" s="1"/>
  <c r="R82" i="26" s="1"/>
  <c r="S82" i="26" s="1"/>
  <c r="T82" i="26" s="1"/>
  <c r="U82" i="26" s="1"/>
  <c r="V82" i="26" s="1"/>
  <c r="W82" i="26" s="1"/>
  <c r="X82" i="26" s="1"/>
  <c r="Y82" i="26" s="1"/>
  <c r="Z82" i="26" s="1"/>
  <c r="AA82" i="26" s="1"/>
  <c r="AB82" i="26" s="1"/>
  <c r="AC82" i="26" s="1"/>
  <c r="AD82" i="26" s="1"/>
  <c r="AE82" i="26" s="1"/>
  <c r="AF82" i="26" s="1"/>
  <c r="AG82" i="26" s="1"/>
  <c r="AH82" i="26" s="1"/>
  <c r="AI82" i="26" s="1"/>
  <c r="AJ82" i="26" s="1"/>
  <c r="K81" i="26"/>
  <c r="L81" i="26" s="1"/>
  <c r="M81" i="26" s="1"/>
  <c r="N81" i="26" s="1"/>
  <c r="O81" i="26" s="1"/>
  <c r="P81" i="26" s="1"/>
  <c r="Q81" i="26" s="1"/>
  <c r="R81" i="26" s="1"/>
  <c r="S81" i="26" s="1"/>
  <c r="T81" i="26" s="1"/>
  <c r="U81" i="26" s="1"/>
  <c r="V81" i="26" s="1"/>
  <c r="W81" i="26" s="1"/>
  <c r="X81" i="26" s="1"/>
  <c r="Y81" i="26" s="1"/>
  <c r="Z81" i="26" s="1"/>
  <c r="AA81" i="26" s="1"/>
  <c r="AB81" i="26" s="1"/>
  <c r="AC81" i="26" s="1"/>
  <c r="AD81" i="26" s="1"/>
  <c r="AE81" i="26" s="1"/>
  <c r="AF81" i="26" s="1"/>
  <c r="AG81" i="26" s="1"/>
  <c r="AH81" i="26" s="1"/>
  <c r="AI81" i="26" s="1"/>
  <c r="AJ81" i="26" s="1"/>
  <c r="K88" i="26"/>
  <c r="L88" i="26" s="1"/>
  <c r="M88" i="26" s="1"/>
  <c r="N88" i="26" s="1"/>
  <c r="O88" i="26" s="1"/>
  <c r="P88" i="26" s="1"/>
  <c r="Q88" i="26" s="1"/>
  <c r="R88" i="26" s="1"/>
  <c r="S88" i="26" s="1"/>
  <c r="T88" i="26" s="1"/>
  <c r="U88" i="26" s="1"/>
  <c r="V88" i="26" s="1"/>
  <c r="W88" i="26" s="1"/>
  <c r="X88" i="26" s="1"/>
  <c r="Y88" i="26" s="1"/>
  <c r="Z88" i="26" s="1"/>
  <c r="AA88" i="26" s="1"/>
  <c r="AB88" i="26" s="1"/>
  <c r="AC88" i="26" s="1"/>
  <c r="AD88" i="26" s="1"/>
  <c r="AE88" i="26" s="1"/>
  <c r="AF88" i="26" s="1"/>
  <c r="AG88" i="26" s="1"/>
  <c r="AH88" i="26" s="1"/>
  <c r="AI88" i="26" s="1"/>
  <c r="AJ88" i="26" s="1"/>
  <c r="K79" i="26"/>
  <c r="K77" i="26"/>
  <c r="L77" i="26" s="1"/>
  <c r="M77" i="26" s="1"/>
  <c r="N77" i="26" s="1"/>
  <c r="O77" i="26" s="1"/>
  <c r="P77" i="26" s="1"/>
  <c r="Q77" i="26" s="1"/>
  <c r="R77" i="26" s="1"/>
  <c r="S77" i="26" s="1"/>
  <c r="T77" i="26" s="1"/>
  <c r="U77" i="26" s="1"/>
  <c r="V77" i="26" s="1"/>
  <c r="W77" i="26" s="1"/>
  <c r="X77" i="26" s="1"/>
  <c r="Y77" i="26" s="1"/>
  <c r="Z77" i="26" s="1"/>
  <c r="AA77" i="26" s="1"/>
  <c r="AB77" i="26" s="1"/>
  <c r="AC77" i="26" s="1"/>
  <c r="AD77" i="26" s="1"/>
  <c r="AE77" i="26" s="1"/>
  <c r="AF77" i="26" s="1"/>
  <c r="AG77" i="26" s="1"/>
  <c r="AH77" i="26" s="1"/>
  <c r="AI77" i="26" s="1"/>
  <c r="AJ77" i="26" s="1"/>
  <c r="K76" i="26"/>
  <c r="L76" i="26" s="1"/>
  <c r="M76" i="26" s="1"/>
  <c r="N76" i="26" s="1"/>
  <c r="O76" i="26" s="1"/>
  <c r="P76" i="26" s="1"/>
  <c r="Q76" i="26" s="1"/>
  <c r="R76" i="26" s="1"/>
  <c r="S76" i="26" s="1"/>
  <c r="T76" i="26" s="1"/>
  <c r="U76" i="26" s="1"/>
  <c r="V76" i="26" s="1"/>
  <c r="W76" i="26" s="1"/>
  <c r="X76" i="26" s="1"/>
  <c r="Y76" i="26" s="1"/>
  <c r="Z76" i="26" s="1"/>
  <c r="AA76" i="26" s="1"/>
  <c r="AB76" i="26" s="1"/>
  <c r="AC76" i="26" s="1"/>
  <c r="AD76" i="26" s="1"/>
  <c r="AE76" i="26" s="1"/>
  <c r="AF76" i="26" s="1"/>
  <c r="AG76" i="26" s="1"/>
  <c r="AH76" i="26" s="1"/>
  <c r="AI76" i="26" s="1"/>
  <c r="AJ76" i="26" s="1"/>
  <c r="K75" i="26"/>
  <c r="L75" i="26" s="1"/>
  <c r="M75" i="26" s="1"/>
  <c r="N75" i="26" s="1"/>
  <c r="O75" i="26" s="1"/>
  <c r="P75" i="26" s="1"/>
  <c r="Q75" i="26" s="1"/>
  <c r="R75" i="26" s="1"/>
  <c r="S75" i="26" s="1"/>
  <c r="T75" i="26" s="1"/>
  <c r="U75" i="26" s="1"/>
  <c r="V75" i="26" s="1"/>
  <c r="W75" i="26" s="1"/>
  <c r="X75" i="26" s="1"/>
  <c r="Y75" i="26" s="1"/>
  <c r="Z75" i="26" s="1"/>
  <c r="AA75" i="26" s="1"/>
  <c r="AB75" i="26" s="1"/>
  <c r="AC75" i="26" s="1"/>
  <c r="AD75" i="26" s="1"/>
  <c r="AE75" i="26" s="1"/>
  <c r="AF75" i="26" s="1"/>
  <c r="AG75" i="26" s="1"/>
  <c r="AH75" i="26" s="1"/>
  <c r="AI75" i="26" s="1"/>
  <c r="AJ75" i="26" s="1"/>
  <c r="L90" i="25"/>
  <c r="K88" i="25"/>
  <c r="L88" i="25" s="1"/>
  <c r="M88" i="25" s="1"/>
  <c r="N88" i="25" s="1"/>
  <c r="O88" i="25" s="1"/>
  <c r="P88" i="25" s="1"/>
  <c r="Q88" i="25" s="1"/>
  <c r="R88" i="25" s="1"/>
  <c r="S88" i="25" s="1"/>
  <c r="T88" i="25" s="1"/>
  <c r="U88" i="25" s="1"/>
  <c r="V88" i="25" s="1"/>
  <c r="W88" i="25" s="1"/>
  <c r="X88" i="25" s="1"/>
  <c r="Y88" i="25" s="1"/>
  <c r="Z88" i="25" s="1"/>
  <c r="AA88" i="25" s="1"/>
  <c r="AB88" i="25" s="1"/>
  <c r="AC88" i="25" s="1"/>
  <c r="AD88" i="25" s="1"/>
  <c r="AE88" i="25" s="1"/>
  <c r="AF88" i="25" s="1"/>
  <c r="AG88" i="25" s="1"/>
  <c r="AH88" i="25" s="1"/>
  <c r="AI88" i="25" s="1"/>
  <c r="AJ88" i="25" s="1"/>
  <c r="AJ242" i="25" s="1"/>
  <c r="K86" i="25"/>
  <c r="L86" i="25" s="1"/>
  <c r="M86" i="25" s="1"/>
  <c r="N86" i="25" s="1"/>
  <c r="O86" i="25" s="1"/>
  <c r="P86" i="25" s="1"/>
  <c r="Q86" i="25" s="1"/>
  <c r="R86" i="25" s="1"/>
  <c r="S86" i="25" s="1"/>
  <c r="T86" i="25" s="1"/>
  <c r="U86" i="25" s="1"/>
  <c r="V86" i="25" s="1"/>
  <c r="W86" i="25" s="1"/>
  <c r="X86" i="25" s="1"/>
  <c r="Y86" i="25" s="1"/>
  <c r="Z86" i="25" s="1"/>
  <c r="AA86" i="25" s="1"/>
  <c r="AB86" i="25" s="1"/>
  <c r="AC86" i="25" s="1"/>
  <c r="AD86" i="25" s="1"/>
  <c r="AE86" i="25" s="1"/>
  <c r="AF86" i="25" s="1"/>
  <c r="AG86" i="25" s="1"/>
  <c r="AH86" i="25" s="1"/>
  <c r="AI86" i="25" s="1"/>
  <c r="AJ86" i="25" s="1"/>
  <c r="K85" i="25"/>
  <c r="K84" i="25"/>
  <c r="L84" i="25" s="1"/>
  <c r="M84" i="25" s="1"/>
  <c r="N84" i="25" s="1"/>
  <c r="O84" i="25" s="1"/>
  <c r="P84" i="25" s="1"/>
  <c r="Q84" i="25" s="1"/>
  <c r="R84" i="25" s="1"/>
  <c r="S84" i="25" s="1"/>
  <c r="T84" i="25" s="1"/>
  <c r="U84" i="25" s="1"/>
  <c r="V84" i="25" s="1"/>
  <c r="W84" i="25" s="1"/>
  <c r="X84" i="25" s="1"/>
  <c r="Y84" i="25" s="1"/>
  <c r="Z84" i="25" s="1"/>
  <c r="AA84" i="25" s="1"/>
  <c r="AB84" i="25" s="1"/>
  <c r="AC84" i="25" s="1"/>
  <c r="AD84" i="25" s="1"/>
  <c r="AE84" i="25" s="1"/>
  <c r="AF84" i="25" s="1"/>
  <c r="AG84" i="25" s="1"/>
  <c r="AH84" i="25" s="1"/>
  <c r="AI84" i="25" s="1"/>
  <c r="AJ84" i="25" s="1"/>
  <c r="K91" i="25"/>
  <c r="L91" i="25" s="1"/>
  <c r="M91" i="25" s="1"/>
  <c r="N91" i="25" s="1"/>
  <c r="O91" i="25" s="1"/>
  <c r="P91" i="25" s="1"/>
  <c r="Q91" i="25" s="1"/>
  <c r="R91" i="25" s="1"/>
  <c r="S91" i="25" s="1"/>
  <c r="T91" i="25" s="1"/>
  <c r="U91" i="25" s="1"/>
  <c r="V91" i="25" s="1"/>
  <c r="W91" i="25" s="1"/>
  <c r="X91" i="25" s="1"/>
  <c r="Y91" i="25" s="1"/>
  <c r="Z91" i="25" s="1"/>
  <c r="AA91" i="25" s="1"/>
  <c r="AB91" i="25" s="1"/>
  <c r="AC91" i="25" s="1"/>
  <c r="AD91" i="25" s="1"/>
  <c r="AE91" i="25" s="1"/>
  <c r="AF91" i="25" s="1"/>
  <c r="AG91" i="25" s="1"/>
  <c r="AH91" i="25" s="1"/>
  <c r="AI91" i="25" s="1"/>
  <c r="AJ91" i="25" s="1"/>
  <c r="K82" i="25"/>
  <c r="L82" i="25" s="1"/>
  <c r="M82" i="25" s="1"/>
  <c r="N82" i="25" s="1"/>
  <c r="O82" i="25" s="1"/>
  <c r="P82" i="25" s="1"/>
  <c r="Q82" i="25" s="1"/>
  <c r="R82" i="25" s="1"/>
  <c r="S82" i="25" s="1"/>
  <c r="T82" i="25" s="1"/>
  <c r="U82" i="25" s="1"/>
  <c r="V82" i="25" s="1"/>
  <c r="W82" i="25" s="1"/>
  <c r="X82" i="25" s="1"/>
  <c r="Y82" i="25" s="1"/>
  <c r="Z82" i="25" s="1"/>
  <c r="AA82" i="25" s="1"/>
  <c r="AB82" i="25" s="1"/>
  <c r="AC82" i="25" s="1"/>
  <c r="AD82" i="25" s="1"/>
  <c r="AE82" i="25" s="1"/>
  <c r="AF82" i="25" s="1"/>
  <c r="AG82" i="25" s="1"/>
  <c r="AH82" i="25" s="1"/>
  <c r="AI82" i="25" s="1"/>
  <c r="AJ82" i="25" s="1"/>
  <c r="AJ289" i="25" s="1"/>
  <c r="K80" i="25"/>
  <c r="L80" i="25" s="1"/>
  <c r="M80" i="25" s="1"/>
  <c r="N80" i="25" s="1"/>
  <c r="O80" i="25" s="1"/>
  <c r="P80" i="25" s="1"/>
  <c r="Q80" i="25" s="1"/>
  <c r="R80" i="25" s="1"/>
  <c r="S80" i="25" s="1"/>
  <c r="T80" i="25" s="1"/>
  <c r="U80" i="25" s="1"/>
  <c r="V80" i="25" s="1"/>
  <c r="W80" i="25" s="1"/>
  <c r="X80" i="25" s="1"/>
  <c r="Y80" i="25" s="1"/>
  <c r="Z80" i="25" s="1"/>
  <c r="AA80" i="25" s="1"/>
  <c r="AB80" i="25" s="1"/>
  <c r="AC80" i="25" s="1"/>
  <c r="AD80" i="25" s="1"/>
  <c r="AE80" i="25" s="1"/>
  <c r="AF80" i="25" s="1"/>
  <c r="AG80" i="25" s="1"/>
  <c r="AH80" i="25" s="1"/>
  <c r="AI80" i="25" s="1"/>
  <c r="AJ80" i="25" s="1"/>
  <c r="K79" i="25"/>
  <c r="K216" i="25" s="1"/>
  <c r="K78" i="25"/>
  <c r="L78" i="25" s="1"/>
  <c r="M78" i="25" s="1"/>
  <c r="N78" i="25" s="1"/>
  <c r="O78" i="25" s="1"/>
  <c r="P78" i="25" s="1"/>
  <c r="Q78" i="25" s="1"/>
  <c r="R78" i="25" s="1"/>
  <c r="S78" i="25" s="1"/>
  <c r="T78" i="25" s="1"/>
  <c r="U78" i="25" s="1"/>
  <c r="V78" i="25" s="1"/>
  <c r="W78" i="25" s="1"/>
  <c r="X78" i="25" s="1"/>
  <c r="Y78" i="25" s="1"/>
  <c r="Z78" i="25" s="1"/>
  <c r="AA78" i="25" s="1"/>
  <c r="AB78" i="25" s="1"/>
  <c r="AC78" i="25" s="1"/>
  <c r="AD78" i="25" s="1"/>
  <c r="AE78" i="25" s="1"/>
  <c r="AF78" i="25" s="1"/>
  <c r="AG78" i="25" s="1"/>
  <c r="AH78" i="25" s="1"/>
  <c r="AI78" i="25" s="1"/>
  <c r="AJ78" i="25" s="1"/>
  <c r="L87" i="19"/>
  <c r="K85" i="19"/>
  <c r="L85" i="19" s="1"/>
  <c r="M85" i="19" s="1"/>
  <c r="N85" i="19" s="1"/>
  <c r="O85" i="19" s="1"/>
  <c r="P85" i="19" s="1"/>
  <c r="Q85" i="19" s="1"/>
  <c r="R85" i="19" s="1"/>
  <c r="S85" i="19" s="1"/>
  <c r="T85" i="19" s="1"/>
  <c r="U85" i="19" s="1"/>
  <c r="V85" i="19" s="1"/>
  <c r="W85" i="19" s="1"/>
  <c r="X85" i="19" s="1"/>
  <c r="Y85" i="19" s="1"/>
  <c r="Z85" i="19" s="1"/>
  <c r="AA85" i="19" s="1"/>
  <c r="AB85" i="19" s="1"/>
  <c r="AC85" i="19" s="1"/>
  <c r="AD85" i="19" s="1"/>
  <c r="AE85" i="19" s="1"/>
  <c r="AF85" i="19" s="1"/>
  <c r="AG85" i="19" s="1"/>
  <c r="AH85" i="19" s="1"/>
  <c r="AI85" i="19" s="1"/>
  <c r="AJ85" i="19" s="1"/>
  <c r="K83" i="19"/>
  <c r="L83" i="19" s="1"/>
  <c r="M83" i="19" s="1"/>
  <c r="N83" i="19" s="1"/>
  <c r="O83" i="19" s="1"/>
  <c r="P83" i="19" s="1"/>
  <c r="Q83" i="19" s="1"/>
  <c r="R83" i="19" s="1"/>
  <c r="S83" i="19" s="1"/>
  <c r="T83" i="19" s="1"/>
  <c r="U83" i="19" s="1"/>
  <c r="V83" i="19" s="1"/>
  <c r="W83" i="19" s="1"/>
  <c r="X83" i="19" s="1"/>
  <c r="Y83" i="19" s="1"/>
  <c r="Z83" i="19" s="1"/>
  <c r="AA83" i="19" s="1"/>
  <c r="AB83" i="19" s="1"/>
  <c r="AC83" i="19" s="1"/>
  <c r="AD83" i="19" s="1"/>
  <c r="AE83" i="19" s="1"/>
  <c r="AF83" i="19" s="1"/>
  <c r="AG83" i="19" s="1"/>
  <c r="AH83" i="19" s="1"/>
  <c r="AI83" i="19" s="1"/>
  <c r="AJ83" i="19" s="1"/>
  <c r="K82" i="19"/>
  <c r="K81" i="19"/>
  <c r="L81" i="19" s="1"/>
  <c r="M81" i="19" s="1"/>
  <c r="N81" i="19" s="1"/>
  <c r="O81" i="19" s="1"/>
  <c r="P81" i="19" s="1"/>
  <c r="Q81" i="19" s="1"/>
  <c r="R81" i="19" s="1"/>
  <c r="S81" i="19" s="1"/>
  <c r="T81" i="19" s="1"/>
  <c r="U81" i="19" s="1"/>
  <c r="V81" i="19" s="1"/>
  <c r="W81" i="19" s="1"/>
  <c r="X81" i="19" s="1"/>
  <c r="Y81" i="19" s="1"/>
  <c r="Z81" i="19" s="1"/>
  <c r="AA81" i="19" s="1"/>
  <c r="AB81" i="19" s="1"/>
  <c r="AC81" i="19" s="1"/>
  <c r="AD81" i="19" s="1"/>
  <c r="AE81" i="19" s="1"/>
  <c r="AF81" i="19" s="1"/>
  <c r="AG81" i="19" s="1"/>
  <c r="AH81" i="19" s="1"/>
  <c r="AI81" i="19" s="1"/>
  <c r="AJ81" i="19" s="1"/>
  <c r="K88" i="19"/>
  <c r="L88" i="19" s="1"/>
  <c r="M88" i="19" s="1"/>
  <c r="N88" i="19" s="1"/>
  <c r="O88" i="19" s="1"/>
  <c r="P88" i="19" s="1"/>
  <c r="Q88" i="19" s="1"/>
  <c r="R88" i="19" s="1"/>
  <c r="S88" i="19" s="1"/>
  <c r="T88" i="19" s="1"/>
  <c r="U88" i="19" s="1"/>
  <c r="V88" i="19" s="1"/>
  <c r="W88" i="19" s="1"/>
  <c r="X88" i="19" s="1"/>
  <c r="Y88" i="19" s="1"/>
  <c r="Z88" i="19" s="1"/>
  <c r="AA88" i="19" s="1"/>
  <c r="AB88" i="19" s="1"/>
  <c r="AC88" i="19" s="1"/>
  <c r="AD88" i="19" s="1"/>
  <c r="AE88" i="19" s="1"/>
  <c r="AF88" i="19" s="1"/>
  <c r="AG88" i="19" s="1"/>
  <c r="AH88" i="19" s="1"/>
  <c r="AI88" i="19" s="1"/>
  <c r="AJ88" i="19" s="1"/>
  <c r="K79" i="19"/>
  <c r="L79" i="19" s="1"/>
  <c r="M79" i="19" s="1"/>
  <c r="N79" i="19" s="1"/>
  <c r="O79" i="19" s="1"/>
  <c r="P79" i="19" s="1"/>
  <c r="Q79" i="19" s="1"/>
  <c r="R79" i="19" s="1"/>
  <c r="S79" i="19" s="1"/>
  <c r="T79" i="19" s="1"/>
  <c r="U79" i="19" s="1"/>
  <c r="V79" i="19" s="1"/>
  <c r="W79" i="19" s="1"/>
  <c r="X79" i="19" s="1"/>
  <c r="Y79" i="19" s="1"/>
  <c r="Z79" i="19" s="1"/>
  <c r="AA79" i="19" s="1"/>
  <c r="AB79" i="19" s="1"/>
  <c r="AC79" i="19" s="1"/>
  <c r="AD79" i="19" s="1"/>
  <c r="AE79" i="19" s="1"/>
  <c r="AF79" i="19" s="1"/>
  <c r="AG79" i="19" s="1"/>
  <c r="AH79" i="19" s="1"/>
  <c r="AI79" i="19" s="1"/>
  <c r="AJ79" i="19" s="1"/>
  <c r="K77" i="19"/>
  <c r="L77" i="19" s="1"/>
  <c r="M77" i="19" s="1"/>
  <c r="N77" i="19" s="1"/>
  <c r="O77" i="19" s="1"/>
  <c r="P77" i="19" s="1"/>
  <c r="Q77" i="19" s="1"/>
  <c r="R77" i="19" s="1"/>
  <c r="S77" i="19" s="1"/>
  <c r="T77" i="19" s="1"/>
  <c r="U77" i="19" s="1"/>
  <c r="V77" i="19" s="1"/>
  <c r="W77" i="19" s="1"/>
  <c r="X77" i="19" s="1"/>
  <c r="Y77" i="19" s="1"/>
  <c r="Z77" i="19" s="1"/>
  <c r="AA77" i="19" s="1"/>
  <c r="AB77" i="19" s="1"/>
  <c r="AC77" i="19" s="1"/>
  <c r="AD77" i="19" s="1"/>
  <c r="AE77" i="19" s="1"/>
  <c r="AF77" i="19" s="1"/>
  <c r="AG77" i="19" s="1"/>
  <c r="AH77" i="19" s="1"/>
  <c r="AI77" i="19" s="1"/>
  <c r="AJ77" i="19" s="1"/>
  <c r="K76" i="19"/>
  <c r="K75" i="19"/>
  <c r="L75" i="19" s="1"/>
  <c r="M75" i="19" s="1"/>
  <c r="N75" i="19" s="1"/>
  <c r="O75" i="19" s="1"/>
  <c r="P75" i="19" s="1"/>
  <c r="Q75" i="19" s="1"/>
  <c r="R75" i="19" s="1"/>
  <c r="S75" i="19" s="1"/>
  <c r="T75" i="19" s="1"/>
  <c r="U75" i="19" s="1"/>
  <c r="V75" i="19" s="1"/>
  <c r="W75" i="19" s="1"/>
  <c r="X75" i="19" s="1"/>
  <c r="Y75" i="19" s="1"/>
  <c r="Z75" i="19" s="1"/>
  <c r="AA75" i="19" s="1"/>
  <c r="AB75" i="19" s="1"/>
  <c r="AC75" i="19" s="1"/>
  <c r="AD75" i="19" s="1"/>
  <c r="AE75" i="19" s="1"/>
  <c r="AF75" i="19" s="1"/>
  <c r="AG75" i="19" s="1"/>
  <c r="AH75" i="19" s="1"/>
  <c r="AI75" i="19" s="1"/>
  <c r="AJ75" i="19" s="1"/>
  <c r="L87" i="29"/>
  <c r="M87" i="29" s="1"/>
  <c r="N87" i="29" s="1"/>
  <c r="O87" i="29" s="1"/>
  <c r="P87" i="29" s="1"/>
  <c r="Q87" i="29" s="1"/>
  <c r="R87" i="29" s="1"/>
  <c r="S87" i="29" s="1"/>
  <c r="T87" i="29" s="1"/>
  <c r="U87" i="29" s="1"/>
  <c r="V87" i="29" s="1"/>
  <c r="W87" i="29" s="1"/>
  <c r="X87" i="29" s="1"/>
  <c r="Y87" i="29" s="1"/>
  <c r="Z87" i="29" s="1"/>
  <c r="AA87" i="29" s="1"/>
  <c r="AB87" i="29" s="1"/>
  <c r="AC87" i="29" s="1"/>
  <c r="AD87" i="29" s="1"/>
  <c r="AE87" i="29" s="1"/>
  <c r="AF87" i="29" s="1"/>
  <c r="AG87" i="29" s="1"/>
  <c r="AH87" i="29" s="1"/>
  <c r="AI87" i="29" s="1"/>
  <c r="AJ87" i="29" s="1"/>
  <c r="K85" i="29"/>
  <c r="L85" i="29" s="1"/>
  <c r="M85" i="29" s="1"/>
  <c r="N85" i="29" s="1"/>
  <c r="O85" i="29" s="1"/>
  <c r="P85" i="29" s="1"/>
  <c r="Q85" i="29" s="1"/>
  <c r="R85" i="29" s="1"/>
  <c r="S85" i="29" s="1"/>
  <c r="T85" i="29" s="1"/>
  <c r="U85" i="29" s="1"/>
  <c r="V85" i="29" s="1"/>
  <c r="W85" i="29" s="1"/>
  <c r="X85" i="29" s="1"/>
  <c r="Y85" i="29" s="1"/>
  <c r="Z85" i="29" s="1"/>
  <c r="AA85" i="29" s="1"/>
  <c r="AB85" i="29" s="1"/>
  <c r="AC85" i="29" s="1"/>
  <c r="AD85" i="29" s="1"/>
  <c r="AE85" i="29" s="1"/>
  <c r="AF85" i="29" s="1"/>
  <c r="AG85" i="29" s="1"/>
  <c r="AH85" i="29" s="1"/>
  <c r="AI85" i="29" s="1"/>
  <c r="AJ85" i="29" s="1"/>
  <c r="K83" i="29"/>
  <c r="K82" i="29"/>
  <c r="L82" i="29" s="1"/>
  <c r="M82" i="29" s="1"/>
  <c r="N82" i="29" s="1"/>
  <c r="O82" i="29" s="1"/>
  <c r="P82" i="29" s="1"/>
  <c r="Q82" i="29" s="1"/>
  <c r="R82" i="29" s="1"/>
  <c r="S82" i="29" s="1"/>
  <c r="T82" i="29" s="1"/>
  <c r="U82" i="29" s="1"/>
  <c r="V82" i="29" s="1"/>
  <c r="W82" i="29" s="1"/>
  <c r="X82" i="29" s="1"/>
  <c r="Y82" i="29" s="1"/>
  <c r="Z82" i="29" s="1"/>
  <c r="AA82" i="29" s="1"/>
  <c r="AB82" i="29" s="1"/>
  <c r="AC82" i="29" s="1"/>
  <c r="AD82" i="29" s="1"/>
  <c r="AE82" i="29" s="1"/>
  <c r="AF82" i="29" s="1"/>
  <c r="AG82" i="29" s="1"/>
  <c r="AH82" i="29" s="1"/>
  <c r="AI82" i="29" s="1"/>
  <c r="AJ82" i="29" s="1"/>
  <c r="K81" i="29"/>
  <c r="L81" i="29" s="1"/>
  <c r="M81" i="29" s="1"/>
  <c r="N81" i="29" s="1"/>
  <c r="O81" i="29" s="1"/>
  <c r="P81" i="29" s="1"/>
  <c r="Q81" i="29" s="1"/>
  <c r="R81" i="29" s="1"/>
  <c r="S81" i="29" s="1"/>
  <c r="T81" i="29" s="1"/>
  <c r="U81" i="29" s="1"/>
  <c r="V81" i="29" s="1"/>
  <c r="W81" i="29" s="1"/>
  <c r="X81" i="29" s="1"/>
  <c r="Y81" i="29" s="1"/>
  <c r="Z81" i="29" s="1"/>
  <c r="AA81" i="29" s="1"/>
  <c r="AB81" i="29" s="1"/>
  <c r="AC81" i="29" s="1"/>
  <c r="AD81" i="29" s="1"/>
  <c r="AE81" i="29" s="1"/>
  <c r="AF81" i="29" s="1"/>
  <c r="AG81" i="29" s="1"/>
  <c r="AH81" i="29" s="1"/>
  <c r="AI81" i="29" s="1"/>
  <c r="AJ81" i="29" s="1"/>
  <c r="K88" i="29"/>
  <c r="K79" i="29"/>
  <c r="L79" i="29" s="1"/>
  <c r="M79" i="29" s="1"/>
  <c r="N79" i="29" s="1"/>
  <c r="O79" i="29" s="1"/>
  <c r="P79" i="29" s="1"/>
  <c r="Q79" i="29" s="1"/>
  <c r="R79" i="29" s="1"/>
  <c r="S79" i="29" s="1"/>
  <c r="T79" i="29" s="1"/>
  <c r="U79" i="29" s="1"/>
  <c r="V79" i="29" s="1"/>
  <c r="W79" i="29" s="1"/>
  <c r="X79" i="29" s="1"/>
  <c r="Y79" i="29" s="1"/>
  <c r="Z79" i="29" s="1"/>
  <c r="AA79" i="29" s="1"/>
  <c r="AB79" i="29" s="1"/>
  <c r="AC79" i="29" s="1"/>
  <c r="AD79" i="29" s="1"/>
  <c r="AE79" i="29" s="1"/>
  <c r="AF79" i="29" s="1"/>
  <c r="AG79" i="29" s="1"/>
  <c r="AH79" i="29" s="1"/>
  <c r="AI79" i="29" s="1"/>
  <c r="AJ79" i="29" s="1"/>
  <c r="K77" i="29"/>
  <c r="K76" i="29"/>
  <c r="L76" i="29" s="1"/>
  <c r="M76" i="29" s="1"/>
  <c r="N76" i="29" s="1"/>
  <c r="O76" i="29" s="1"/>
  <c r="P76" i="29" s="1"/>
  <c r="Q76" i="29" s="1"/>
  <c r="R76" i="29" s="1"/>
  <c r="S76" i="29" s="1"/>
  <c r="T76" i="29" s="1"/>
  <c r="U76" i="29" s="1"/>
  <c r="V76" i="29" s="1"/>
  <c r="W76" i="29" s="1"/>
  <c r="X76" i="29" s="1"/>
  <c r="Y76" i="29" s="1"/>
  <c r="Z76" i="29" s="1"/>
  <c r="AA76" i="29" s="1"/>
  <c r="AB76" i="29" s="1"/>
  <c r="AC76" i="29" s="1"/>
  <c r="AD76" i="29" s="1"/>
  <c r="AE76" i="29" s="1"/>
  <c r="AF76" i="29" s="1"/>
  <c r="AG76" i="29" s="1"/>
  <c r="AH76" i="29" s="1"/>
  <c r="AI76" i="29" s="1"/>
  <c r="AJ76" i="29" s="1"/>
  <c r="K75" i="29"/>
  <c r="L75" i="29" s="1"/>
  <c r="M75" i="29" s="1"/>
  <c r="N75" i="29" s="1"/>
  <c r="O75" i="29" s="1"/>
  <c r="P75" i="29" s="1"/>
  <c r="Q75" i="29" s="1"/>
  <c r="R75" i="29" s="1"/>
  <c r="S75" i="29" s="1"/>
  <c r="T75" i="29" s="1"/>
  <c r="U75" i="29" s="1"/>
  <c r="V75" i="29" s="1"/>
  <c r="W75" i="29" s="1"/>
  <c r="X75" i="29" s="1"/>
  <c r="Y75" i="29" s="1"/>
  <c r="Z75" i="29" s="1"/>
  <c r="AA75" i="29" s="1"/>
  <c r="AB75" i="29" s="1"/>
  <c r="AC75" i="29" s="1"/>
  <c r="AD75" i="29" s="1"/>
  <c r="AE75" i="29" s="1"/>
  <c r="AF75" i="29" s="1"/>
  <c r="AG75" i="29" s="1"/>
  <c r="AH75" i="29" s="1"/>
  <c r="AI75" i="29" s="1"/>
  <c r="AJ75" i="29" s="1"/>
  <c r="K213" i="26" l="1"/>
  <c r="K165" i="26"/>
  <c r="K116" i="26"/>
  <c r="K189" i="26"/>
  <c r="K140" i="26"/>
  <c r="K92" i="26"/>
  <c r="K263" i="26"/>
  <c r="K117" i="26"/>
  <c r="K190" i="26"/>
  <c r="K141" i="26"/>
  <c r="K93" i="26"/>
  <c r="K214" i="26"/>
  <c r="K166" i="26"/>
  <c r="L79" i="27"/>
  <c r="M79" i="27" s="1"/>
  <c r="N79" i="27" s="1"/>
  <c r="O79" i="27" s="1"/>
  <c r="P79" i="27" s="1"/>
  <c r="Q79" i="27" s="1"/>
  <c r="R79" i="27" s="1"/>
  <c r="S79" i="27" s="1"/>
  <c r="T79" i="27" s="1"/>
  <c r="U79" i="27" s="1"/>
  <c r="V79" i="27" s="1"/>
  <c r="W79" i="27" s="1"/>
  <c r="X79" i="27" s="1"/>
  <c r="Y79" i="27" s="1"/>
  <c r="Z79" i="27" s="1"/>
  <c r="AA79" i="27" s="1"/>
  <c r="AB79" i="27" s="1"/>
  <c r="AC79" i="27" s="1"/>
  <c r="AD79" i="27" s="1"/>
  <c r="AE79" i="27" s="1"/>
  <c r="AF79" i="27" s="1"/>
  <c r="AG79" i="27" s="1"/>
  <c r="AH79" i="27" s="1"/>
  <c r="AI79" i="27" s="1"/>
  <c r="AJ79" i="27" s="1"/>
  <c r="AJ92" i="27" s="1"/>
  <c r="K92" i="27"/>
  <c r="AC32" i="25"/>
  <c r="AB32" i="25" s="1"/>
  <c r="L155" i="25"/>
  <c r="L82" i="19"/>
  <c r="M87" i="26"/>
  <c r="M104" i="26" s="1"/>
  <c r="L128" i="26"/>
  <c r="L152" i="26"/>
  <c r="L77" i="29"/>
  <c r="K92" i="29"/>
  <c r="L76" i="19"/>
  <c r="M87" i="19"/>
  <c r="M87" i="27"/>
  <c r="L104" i="27"/>
  <c r="L128" i="27"/>
  <c r="L152" i="27"/>
  <c r="L83" i="29"/>
  <c r="K93" i="29"/>
  <c r="L85" i="25"/>
  <c r="L217" i="25" s="1"/>
  <c r="K169" i="25"/>
  <c r="L79" i="25"/>
  <c r="L216" i="25" s="1"/>
  <c r="K168" i="25"/>
  <c r="M90" i="25"/>
  <c r="L107" i="25"/>
  <c r="AI141" i="27"/>
  <c r="AE141" i="27"/>
  <c r="AA141" i="27"/>
  <c r="W141" i="27"/>
  <c r="S141" i="27"/>
  <c r="O141" i="27"/>
  <c r="X140" i="27"/>
  <c r="T140" i="27"/>
  <c r="P140" i="27"/>
  <c r="L140" i="27"/>
  <c r="N116" i="27"/>
  <c r="R116" i="27"/>
  <c r="V116" i="27"/>
  <c r="Z116" i="27"/>
  <c r="AD116" i="27"/>
  <c r="L117" i="27"/>
  <c r="P117" i="27"/>
  <c r="T117" i="27"/>
  <c r="X117" i="27"/>
  <c r="AB117" i="27"/>
  <c r="AF117" i="27"/>
  <c r="AJ117" i="27"/>
  <c r="N92" i="27"/>
  <c r="R92" i="27"/>
  <c r="V92" i="27"/>
  <c r="Z92" i="27"/>
  <c r="AD92" i="27"/>
  <c r="AH92" i="27"/>
  <c r="L93" i="27"/>
  <c r="P93" i="27"/>
  <c r="T93" i="27"/>
  <c r="X93" i="27"/>
  <c r="AB93" i="27"/>
  <c r="AF93" i="27"/>
  <c r="AJ93" i="27"/>
  <c r="K140" i="27"/>
  <c r="AH141" i="27"/>
  <c r="AD141" i="27"/>
  <c r="Z141" i="27"/>
  <c r="V141" i="27"/>
  <c r="R141" i="27"/>
  <c r="N141" i="27"/>
  <c r="AI140" i="27"/>
  <c r="AE140" i="27"/>
  <c r="AA140" i="27"/>
  <c r="W140" i="27"/>
  <c r="S140" i="27"/>
  <c r="O140" i="27"/>
  <c r="K116" i="27"/>
  <c r="O116" i="27"/>
  <c r="S116" i="27"/>
  <c r="W116" i="27"/>
  <c r="AA116" i="27"/>
  <c r="AE116" i="27"/>
  <c r="AI116" i="27"/>
  <c r="M117" i="27"/>
  <c r="Q117" i="27"/>
  <c r="U117" i="27"/>
  <c r="Y117" i="27"/>
  <c r="AC117" i="27"/>
  <c r="AG117" i="27"/>
  <c r="O92" i="27"/>
  <c r="S92" i="27"/>
  <c r="W92" i="27"/>
  <c r="AA92" i="27"/>
  <c r="AE92" i="27"/>
  <c r="AI92" i="27"/>
  <c r="M93" i="27"/>
  <c r="Q93" i="27"/>
  <c r="U93" i="27"/>
  <c r="Y93" i="27"/>
  <c r="AC93" i="27"/>
  <c r="AG93" i="27"/>
  <c r="K141" i="27"/>
  <c r="AG141" i="27"/>
  <c r="AC141" i="27"/>
  <c r="Y141" i="27"/>
  <c r="U141" i="27"/>
  <c r="Q141" i="27"/>
  <c r="M141" i="27"/>
  <c r="AH140" i="27"/>
  <c r="AD140" i="27"/>
  <c r="Z140" i="27"/>
  <c r="V140" i="27"/>
  <c r="R140" i="27"/>
  <c r="N140" i="27"/>
  <c r="L116" i="27"/>
  <c r="P116" i="27"/>
  <c r="T116" i="27"/>
  <c r="X116" i="27"/>
  <c r="AB116" i="27"/>
  <c r="AF116" i="27"/>
  <c r="AJ116" i="27"/>
  <c r="N117" i="27"/>
  <c r="R117" i="27"/>
  <c r="V117" i="27"/>
  <c r="Z117" i="27"/>
  <c r="AD117" i="27"/>
  <c r="AH117" i="27"/>
  <c r="L92" i="27"/>
  <c r="P92" i="27"/>
  <c r="T92" i="27"/>
  <c r="X92" i="27"/>
  <c r="AB92" i="27"/>
  <c r="AF92" i="27"/>
  <c r="N93" i="27"/>
  <c r="R93" i="27"/>
  <c r="V93" i="27"/>
  <c r="Z93" i="27"/>
  <c r="AD93" i="27"/>
  <c r="AH93" i="27"/>
  <c r="AF141" i="27"/>
  <c r="AB141" i="27"/>
  <c r="X141" i="27"/>
  <c r="T141" i="27"/>
  <c r="P141" i="27"/>
  <c r="L141" i="27"/>
  <c r="AG140" i="27"/>
  <c r="AC140" i="27"/>
  <c r="Y140" i="27"/>
  <c r="U140" i="27"/>
  <c r="Q140" i="27"/>
  <c r="M140" i="27"/>
  <c r="M116" i="27"/>
  <c r="Q116" i="27"/>
  <c r="U116" i="27"/>
  <c r="Y116" i="27"/>
  <c r="AC116" i="27"/>
  <c r="AG116" i="27"/>
  <c r="K117" i="27"/>
  <c r="O117" i="27"/>
  <c r="S117" i="27"/>
  <c r="W117" i="27"/>
  <c r="AA117" i="27"/>
  <c r="AE117" i="27"/>
  <c r="AI117" i="27"/>
  <c r="M92" i="27"/>
  <c r="Q92" i="27"/>
  <c r="U92" i="27"/>
  <c r="Y92" i="27"/>
  <c r="AC92" i="27"/>
  <c r="AG92" i="27"/>
  <c r="K93" i="27"/>
  <c r="O93" i="27"/>
  <c r="S93" i="27"/>
  <c r="W93" i="27"/>
  <c r="AA93" i="27"/>
  <c r="AE93" i="27"/>
  <c r="AI93" i="27"/>
  <c r="K239" i="26"/>
  <c r="K287" i="26"/>
  <c r="L79" i="26"/>
  <c r="L85" i="26"/>
  <c r="K238" i="26"/>
  <c r="K262" i="26"/>
  <c r="K286" i="26"/>
  <c r="AI242" i="25"/>
  <c r="AE242" i="25"/>
  <c r="AA242" i="25"/>
  <c r="W242" i="25"/>
  <c r="S242" i="25"/>
  <c r="O242" i="25"/>
  <c r="AJ241" i="25"/>
  <c r="AF241" i="25"/>
  <c r="AB241" i="25"/>
  <c r="X241" i="25"/>
  <c r="T241" i="25"/>
  <c r="P241" i="25"/>
  <c r="L241" i="25"/>
  <c r="N265" i="25"/>
  <c r="R265" i="25"/>
  <c r="V265" i="25"/>
  <c r="Z265" i="25"/>
  <c r="AD265" i="25"/>
  <c r="AH265" i="25"/>
  <c r="L266" i="25"/>
  <c r="P266" i="25"/>
  <c r="T266" i="25"/>
  <c r="X266" i="25"/>
  <c r="AB266" i="25"/>
  <c r="AF266" i="25"/>
  <c r="AJ266" i="25"/>
  <c r="N289" i="25"/>
  <c r="R289" i="25"/>
  <c r="V289" i="25"/>
  <c r="Z289" i="25"/>
  <c r="AD289" i="25"/>
  <c r="AH289" i="25"/>
  <c r="L290" i="25"/>
  <c r="P290" i="25"/>
  <c r="T290" i="25"/>
  <c r="X290" i="25"/>
  <c r="AB290" i="25"/>
  <c r="AF290" i="25"/>
  <c r="AJ290" i="25"/>
  <c r="K241" i="25"/>
  <c r="AH242" i="25"/>
  <c r="AD242" i="25"/>
  <c r="Z242" i="25"/>
  <c r="V242" i="25"/>
  <c r="R242" i="25"/>
  <c r="N242" i="25"/>
  <c r="AI241" i="25"/>
  <c r="AE241" i="25"/>
  <c r="AA241" i="25"/>
  <c r="W241" i="25"/>
  <c r="S241" i="25"/>
  <c r="O241" i="25"/>
  <c r="K265" i="25"/>
  <c r="O265" i="25"/>
  <c r="S265" i="25"/>
  <c r="W265" i="25"/>
  <c r="AA265" i="25"/>
  <c r="AE265" i="25"/>
  <c r="AI265" i="25"/>
  <c r="M266" i="25"/>
  <c r="Q266" i="25"/>
  <c r="U266" i="25"/>
  <c r="Y266" i="25"/>
  <c r="AC266" i="25"/>
  <c r="AG266" i="25"/>
  <c r="K289" i="25"/>
  <c r="O289" i="25"/>
  <c r="S289" i="25"/>
  <c r="W289" i="25"/>
  <c r="AA289" i="25"/>
  <c r="AE289" i="25"/>
  <c r="AI289" i="25"/>
  <c r="M290" i="25"/>
  <c r="Q290" i="25"/>
  <c r="U290" i="25"/>
  <c r="Y290" i="25"/>
  <c r="AC290" i="25"/>
  <c r="AG290" i="25"/>
  <c r="K242" i="25"/>
  <c r="AG242" i="25"/>
  <c r="AC242" i="25"/>
  <c r="Y242" i="25"/>
  <c r="U242" i="25"/>
  <c r="Q242" i="25"/>
  <c r="M242" i="25"/>
  <c r="AH241" i="25"/>
  <c r="AD241" i="25"/>
  <c r="Z241" i="25"/>
  <c r="V241" i="25"/>
  <c r="R241" i="25"/>
  <c r="N241" i="25"/>
  <c r="L265" i="25"/>
  <c r="P265" i="25"/>
  <c r="T265" i="25"/>
  <c r="X265" i="25"/>
  <c r="AB265" i="25"/>
  <c r="AF265" i="25"/>
  <c r="AJ265" i="25"/>
  <c r="N266" i="25"/>
  <c r="R266" i="25"/>
  <c r="V266" i="25"/>
  <c r="Z266" i="25"/>
  <c r="AD266" i="25"/>
  <c r="AH266" i="25"/>
  <c r="L289" i="25"/>
  <c r="P289" i="25"/>
  <c r="T289" i="25"/>
  <c r="X289" i="25"/>
  <c r="AB289" i="25"/>
  <c r="AF289" i="25"/>
  <c r="N290" i="25"/>
  <c r="R290" i="25"/>
  <c r="V290" i="25"/>
  <c r="Z290" i="25"/>
  <c r="AD290" i="25"/>
  <c r="AH290" i="25"/>
  <c r="AF242" i="25"/>
  <c r="AB242" i="25"/>
  <c r="X242" i="25"/>
  <c r="T242" i="25"/>
  <c r="P242" i="25"/>
  <c r="L242" i="25"/>
  <c r="AG241" i="25"/>
  <c r="AC241" i="25"/>
  <c r="Y241" i="25"/>
  <c r="U241" i="25"/>
  <c r="Q241" i="25"/>
  <c r="M241" i="25"/>
  <c r="M265" i="25"/>
  <c r="Q265" i="25"/>
  <c r="U265" i="25"/>
  <c r="Y265" i="25"/>
  <c r="AC265" i="25"/>
  <c r="AG265" i="25"/>
  <c r="K266" i="25"/>
  <c r="O266" i="25"/>
  <c r="S266" i="25"/>
  <c r="W266" i="25"/>
  <c r="AA266" i="25"/>
  <c r="AE266" i="25"/>
  <c r="AI266" i="25"/>
  <c r="M289" i="25"/>
  <c r="Q289" i="25"/>
  <c r="U289" i="25"/>
  <c r="Y289" i="25"/>
  <c r="AC289" i="25"/>
  <c r="AG289" i="25"/>
  <c r="K290" i="25"/>
  <c r="O290" i="25"/>
  <c r="S290" i="25"/>
  <c r="W290" i="25"/>
  <c r="AA290" i="25"/>
  <c r="AE290" i="25"/>
  <c r="AI290" i="25"/>
  <c r="K31" i="25"/>
  <c r="K30" i="25"/>
  <c r="K29" i="25"/>
  <c r="K28" i="25"/>
  <c r="AJ140" i="27" l="1"/>
  <c r="AH116" i="27"/>
  <c r="AB140" i="27"/>
  <c r="AF140" i="27"/>
  <c r="M103" i="27"/>
  <c r="M127" i="27"/>
  <c r="M155" i="25"/>
  <c r="M76" i="19"/>
  <c r="M77" i="29"/>
  <c r="L92" i="29"/>
  <c r="N87" i="27"/>
  <c r="M128" i="27"/>
  <c r="M152" i="27"/>
  <c r="M104" i="27"/>
  <c r="N87" i="26"/>
  <c r="N104" i="26" s="1"/>
  <c r="M128" i="26"/>
  <c r="M152" i="26"/>
  <c r="M83" i="29"/>
  <c r="L93" i="29"/>
  <c r="N87" i="19"/>
  <c r="M82" i="19"/>
  <c r="M79" i="25"/>
  <c r="M216" i="25" s="1"/>
  <c r="L168" i="25"/>
  <c r="N90" i="25"/>
  <c r="M107" i="25"/>
  <c r="M85" i="25"/>
  <c r="M217" i="25" s="1"/>
  <c r="L169" i="25"/>
  <c r="M85" i="26"/>
  <c r="L117" i="26"/>
  <c r="L93" i="26"/>
  <c r="L141" i="26"/>
  <c r="L214" i="26"/>
  <c r="L190" i="26"/>
  <c r="L263" i="26"/>
  <c r="L166" i="26"/>
  <c r="L287" i="26"/>
  <c r="L239" i="26"/>
  <c r="M79" i="26"/>
  <c r="L140" i="26"/>
  <c r="L213" i="26"/>
  <c r="L189" i="26"/>
  <c r="L116" i="26"/>
  <c r="L92" i="26"/>
  <c r="L165" i="26"/>
  <c r="L238" i="26"/>
  <c r="L286" i="26"/>
  <c r="L262" i="26"/>
  <c r="AC36" i="26"/>
  <c r="AC35" i="26"/>
  <c r="Q36" i="26"/>
  <c r="Q35" i="26"/>
  <c r="K36" i="26"/>
  <c r="K35" i="26"/>
  <c r="N103" i="27" l="1"/>
  <c r="N127" i="27"/>
  <c r="N155" i="25"/>
  <c r="N83" i="29"/>
  <c r="M93" i="29"/>
  <c r="O87" i="27"/>
  <c r="N152" i="27"/>
  <c r="N104" i="27"/>
  <c r="N128" i="27"/>
  <c r="N82" i="19"/>
  <c r="N77" i="29"/>
  <c r="M92" i="29"/>
  <c r="O87" i="26"/>
  <c r="O104" i="26" s="1"/>
  <c r="N152" i="26"/>
  <c r="N128" i="26"/>
  <c r="O87" i="19"/>
  <c r="N76" i="19"/>
  <c r="N79" i="25"/>
  <c r="N216" i="25" s="1"/>
  <c r="M168" i="25"/>
  <c r="O90" i="25"/>
  <c r="N107" i="25"/>
  <c r="N85" i="25"/>
  <c r="N217" i="25" s="1"/>
  <c r="M169" i="25"/>
  <c r="N79" i="26"/>
  <c r="M140" i="26"/>
  <c r="M116" i="26"/>
  <c r="M92" i="26"/>
  <c r="M213" i="26"/>
  <c r="M189" i="26"/>
  <c r="M165" i="26"/>
  <c r="M286" i="26"/>
  <c r="M262" i="26"/>
  <c r="M238" i="26"/>
  <c r="N85" i="26"/>
  <c r="M117" i="26"/>
  <c r="M93" i="26"/>
  <c r="M166" i="26"/>
  <c r="M141" i="26"/>
  <c r="M214" i="26"/>
  <c r="M190" i="26"/>
  <c r="M263" i="26"/>
  <c r="M287" i="26"/>
  <c r="M239" i="26"/>
  <c r="AC27" i="26"/>
  <c r="AC26" i="26"/>
  <c r="AC25" i="26"/>
  <c r="AB33" i="26" l="1"/>
  <c r="O127" i="27"/>
  <c r="O103" i="27"/>
  <c r="O155" i="25"/>
  <c r="P87" i="19"/>
  <c r="P151" i="19" s="1"/>
  <c r="P87" i="26"/>
  <c r="O152" i="26"/>
  <c r="O128" i="26"/>
  <c r="P87" i="27"/>
  <c r="P103" i="27" s="1"/>
  <c r="O128" i="27"/>
  <c r="O104" i="27"/>
  <c r="O152" i="27"/>
  <c r="O76" i="19"/>
  <c r="O82" i="19"/>
  <c r="O77" i="29"/>
  <c r="N92" i="29"/>
  <c r="O83" i="29"/>
  <c r="N93" i="29"/>
  <c r="O79" i="25"/>
  <c r="O216" i="25" s="1"/>
  <c r="N168" i="25"/>
  <c r="P90" i="25"/>
  <c r="O107" i="25"/>
  <c r="O85" i="25"/>
  <c r="O217" i="25" s="1"/>
  <c r="N169" i="25"/>
  <c r="O85" i="26"/>
  <c r="N141" i="26"/>
  <c r="N214" i="26"/>
  <c r="N190" i="26"/>
  <c r="N287" i="26"/>
  <c r="N117" i="26"/>
  <c r="N93" i="26"/>
  <c r="N166" i="26"/>
  <c r="N239" i="26"/>
  <c r="N263" i="26"/>
  <c r="O79" i="26"/>
  <c r="N116" i="26"/>
  <c r="N92" i="26"/>
  <c r="N165" i="26"/>
  <c r="N140" i="26"/>
  <c r="N213" i="26"/>
  <c r="N189" i="26"/>
  <c r="N286" i="26"/>
  <c r="N262" i="26"/>
  <c r="N238" i="26"/>
  <c r="K19" i="23"/>
  <c r="J2" i="37"/>
  <c r="I2" i="37"/>
  <c r="H2" i="37"/>
  <c r="G2" i="37"/>
  <c r="F2" i="37"/>
  <c r="E2" i="37"/>
  <c r="C2" i="37"/>
  <c r="D2" i="37"/>
  <c r="N2" i="37"/>
  <c r="J47" i="37"/>
  <c r="J49" i="37" s="1"/>
  <c r="I47" i="37"/>
  <c r="I49" i="37" s="1"/>
  <c r="H47" i="37"/>
  <c r="H49" i="37" s="1"/>
  <c r="G47" i="37"/>
  <c r="G49" i="37" s="1"/>
  <c r="F47" i="37"/>
  <c r="F49" i="37" s="1"/>
  <c r="E47" i="37"/>
  <c r="E49" i="37" s="1"/>
  <c r="D47" i="37"/>
  <c r="D49" i="37" s="1"/>
  <c r="C47" i="37"/>
  <c r="C49" i="37" s="1"/>
  <c r="P104" i="26" l="1"/>
  <c r="P151" i="26"/>
  <c r="P103" i="26"/>
  <c r="P77" i="29"/>
  <c r="O92" i="29"/>
  <c r="Q87" i="27"/>
  <c r="P104" i="27"/>
  <c r="P128" i="27"/>
  <c r="P152" i="27"/>
  <c r="P155" i="25"/>
  <c r="Q87" i="26"/>
  <c r="Q104" i="26" s="1"/>
  <c r="P128" i="26"/>
  <c r="P152" i="26"/>
  <c r="P83" i="29"/>
  <c r="O93" i="29"/>
  <c r="P76" i="19"/>
  <c r="P82" i="19"/>
  <c r="Q87" i="19"/>
  <c r="P152" i="19"/>
  <c r="P79" i="25"/>
  <c r="P216" i="25" s="1"/>
  <c r="O168" i="25"/>
  <c r="Q90" i="25"/>
  <c r="P107" i="25"/>
  <c r="P85" i="25"/>
  <c r="P217" i="25" s="1"/>
  <c r="O169" i="25"/>
  <c r="P79" i="26"/>
  <c r="O140" i="26"/>
  <c r="O116" i="26"/>
  <c r="O92" i="26"/>
  <c r="O213" i="26"/>
  <c r="O189" i="26"/>
  <c r="O165" i="26"/>
  <c r="O286" i="26"/>
  <c r="O262" i="26"/>
  <c r="O238" i="26"/>
  <c r="P85" i="26"/>
  <c r="O141" i="26"/>
  <c r="O214" i="26"/>
  <c r="O190" i="26"/>
  <c r="O117" i="26"/>
  <c r="O93" i="26"/>
  <c r="O166" i="26"/>
  <c r="O287" i="26"/>
  <c r="O239" i="26"/>
  <c r="O263" i="26"/>
  <c r="I7" i="37"/>
  <c r="I11" i="37" s="1"/>
  <c r="I19" i="37" s="1"/>
  <c r="G7" i="37"/>
  <c r="G9" i="37" s="1"/>
  <c r="E7" i="37"/>
  <c r="E11" i="37" s="1"/>
  <c r="E21" i="37" s="1"/>
  <c r="J7" i="37"/>
  <c r="D7" i="37"/>
  <c r="H7" i="37"/>
  <c r="F7" i="37"/>
  <c r="C7" i="37"/>
  <c r="Q127" i="27" l="1"/>
  <c r="Q103" i="27"/>
  <c r="Q155" i="25"/>
  <c r="Q83" i="29"/>
  <c r="P93" i="29"/>
  <c r="R87" i="19"/>
  <c r="Q152" i="19"/>
  <c r="R87" i="27"/>
  <c r="R103" i="27" s="1"/>
  <c r="Q152" i="27"/>
  <c r="Q104" i="27"/>
  <c r="Q128" i="27"/>
  <c r="Q82" i="19"/>
  <c r="Q76" i="19"/>
  <c r="R87" i="26"/>
  <c r="R104" i="26" s="1"/>
  <c r="Q152" i="26"/>
  <c r="Q128" i="26"/>
  <c r="Q77" i="29"/>
  <c r="P92" i="29"/>
  <c r="Q79" i="25"/>
  <c r="Q216" i="25" s="1"/>
  <c r="P168" i="25"/>
  <c r="R90" i="25"/>
  <c r="Q107" i="25"/>
  <c r="Q85" i="25"/>
  <c r="Q217" i="25" s="1"/>
  <c r="P169" i="25"/>
  <c r="Q85" i="26"/>
  <c r="P117" i="26"/>
  <c r="P93" i="26"/>
  <c r="P141" i="26"/>
  <c r="P214" i="26"/>
  <c r="P190" i="26"/>
  <c r="P263" i="26"/>
  <c r="P239" i="26"/>
  <c r="P166" i="26"/>
  <c r="P287" i="26"/>
  <c r="Q79" i="26"/>
  <c r="P140" i="26"/>
  <c r="P213" i="26"/>
  <c r="P189" i="26"/>
  <c r="P116" i="26"/>
  <c r="P92" i="26"/>
  <c r="P165" i="26"/>
  <c r="P238" i="26"/>
  <c r="P286" i="26"/>
  <c r="P262" i="26"/>
  <c r="I9" i="37"/>
  <c r="I13" i="37" s="1"/>
  <c r="I22" i="37"/>
  <c r="I21" i="37"/>
  <c r="I24" i="37"/>
  <c r="I23" i="37"/>
  <c r="I20" i="37"/>
  <c r="I16" i="37"/>
  <c r="G11" i="37"/>
  <c r="G20" i="37" s="1"/>
  <c r="E22" i="37"/>
  <c r="E9" i="37"/>
  <c r="E14" i="37" s="1"/>
  <c r="E23" i="37"/>
  <c r="E20" i="37"/>
  <c r="G10" i="37"/>
  <c r="G16" i="37" s="1"/>
  <c r="E24" i="37"/>
  <c r="E10" i="37"/>
  <c r="E16" i="37" s="1"/>
  <c r="E19" i="37"/>
  <c r="F10" i="37"/>
  <c r="F9" i="37"/>
  <c r="F11" i="37"/>
  <c r="I17" i="37"/>
  <c r="H11" i="37"/>
  <c r="H9" i="37"/>
  <c r="H10" i="37"/>
  <c r="J9" i="37"/>
  <c r="J11" i="37"/>
  <c r="G13" i="37"/>
  <c r="G14" i="37"/>
  <c r="C9" i="37"/>
  <c r="C11" i="37"/>
  <c r="C10" i="37"/>
  <c r="D11" i="37"/>
  <c r="D10" i="37"/>
  <c r="D9" i="37"/>
  <c r="R155" i="25" l="1"/>
  <c r="R77" i="29"/>
  <c r="Q92" i="29"/>
  <c r="S87" i="26"/>
  <c r="R128" i="26"/>
  <c r="R152" i="26"/>
  <c r="R76" i="19"/>
  <c r="S87" i="19"/>
  <c r="R152" i="19"/>
  <c r="S87" i="27"/>
  <c r="R128" i="27"/>
  <c r="R104" i="27"/>
  <c r="R152" i="27"/>
  <c r="I14" i="37"/>
  <c r="R82" i="19"/>
  <c r="R83" i="29"/>
  <c r="Q93" i="29"/>
  <c r="R79" i="25"/>
  <c r="R216" i="25" s="1"/>
  <c r="Q168" i="25"/>
  <c r="R85" i="25"/>
  <c r="R217" i="25" s="1"/>
  <c r="Q169" i="25"/>
  <c r="S90" i="25"/>
  <c r="R107" i="25"/>
  <c r="R79" i="26"/>
  <c r="Q140" i="26"/>
  <c r="Q116" i="26"/>
  <c r="Q92" i="26"/>
  <c r="Q213" i="26"/>
  <c r="Q189" i="26"/>
  <c r="Q165" i="26"/>
  <c r="Q286" i="26"/>
  <c r="Q262" i="26"/>
  <c r="Q238" i="26"/>
  <c r="R85" i="26"/>
  <c r="Q117" i="26"/>
  <c r="Q93" i="26"/>
  <c r="Q166" i="26"/>
  <c r="Q141" i="26"/>
  <c r="Q214" i="26"/>
  <c r="Q190" i="26"/>
  <c r="Q263" i="26"/>
  <c r="Q287" i="26"/>
  <c r="Q239" i="26"/>
  <c r="E13" i="37"/>
  <c r="G23" i="37"/>
  <c r="E17" i="37"/>
  <c r="G22" i="37"/>
  <c r="G17" i="37"/>
  <c r="G19" i="37"/>
  <c r="G24" i="37"/>
  <c r="G21" i="37"/>
  <c r="D13" i="37"/>
  <c r="D14" i="37"/>
  <c r="C20" i="37"/>
  <c r="C22" i="37"/>
  <c r="L11" i="37"/>
  <c r="C24" i="37"/>
  <c r="C19" i="37"/>
  <c r="C23" i="37"/>
  <c r="C21" i="37"/>
  <c r="J23" i="37"/>
  <c r="J21" i="37"/>
  <c r="J20" i="37"/>
  <c r="J24" i="37"/>
  <c r="J22" i="37"/>
  <c r="J19" i="37"/>
  <c r="H13" i="37"/>
  <c r="H14" i="37"/>
  <c r="F23" i="37"/>
  <c r="F21" i="37"/>
  <c r="F24" i="37"/>
  <c r="F22" i="37"/>
  <c r="F19" i="37"/>
  <c r="F20" i="37"/>
  <c r="D16" i="37"/>
  <c r="D17" i="37"/>
  <c r="L9" i="37"/>
  <c r="C14" i="37"/>
  <c r="C13" i="37"/>
  <c r="J14" i="37"/>
  <c r="J13" i="37"/>
  <c r="H24" i="37"/>
  <c r="H22" i="37"/>
  <c r="H19" i="37"/>
  <c r="H23" i="37"/>
  <c r="H21" i="37"/>
  <c r="H20" i="37"/>
  <c r="F14" i="37"/>
  <c r="F13" i="37"/>
  <c r="D24" i="37"/>
  <c r="D22" i="37"/>
  <c r="D19" i="37"/>
  <c r="D23" i="37"/>
  <c r="D21" i="37"/>
  <c r="D20" i="37"/>
  <c r="J17" i="37"/>
  <c r="J16" i="37"/>
  <c r="F17" i="37"/>
  <c r="F16" i="37"/>
  <c r="C17" i="37"/>
  <c r="L10" i="37"/>
  <c r="C16" i="37"/>
  <c r="H16" i="37"/>
  <c r="H17" i="37"/>
  <c r="S127" i="26" l="1"/>
  <c r="S104" i="26"/>
  <c r="S103" i="27"/>
  <c r="S127" i="27"/>
  <c r="S155" i="25"/>
  <c r="S76" i="19"/>
  <c r="S83" i="29"/>
  <c r="R93" i="29"/>
  <c r="T87" i="26"/>
  <c r="T104" i="26" s="1"/>
  <c r="S152" i="26"/>
  <c r="S128" i="26"/>
  <c r="T87" i="27"/>
  <c r="S128" i="27"/>
  <c r="S104" i="27"/>
  <c r="S152" i="27"/>
  <c r="T87" i="19"/>
  <c r="S152" i="19"/>
  <c r="S82" i="19"/>
  <c r="S77" i="29"/>
  <c r="R92" i="29"/>
  <c r="S79" i="25"/>
  <c r="S216" i="25" s="1"/>
  <c r="R168" i="25"/>
  <c r="S85" i="25"/>
  <c r="S217" i="25" s="1"/>
  <c r="R169" i="25"/>
  <c r="T90" i="25"/>
  <c r="S107" i="25"/>
  <c r="S85" i="26"/>
  <c r="R141" i="26"/>
  <c r="R214" i="26"/>
  <c r="R190" i="26"/>
  <c r="R287" i="26"/>
  <c r="R117" i="26"/>
  <c r="R93" i="26"/>
  <c r="R166" i="26"/>
  <c r="R239" i="26"/>
  <c r="R263" i="26"/>
  <c r="S79" i="26"/>
  <c r="R116" i="26"/>
  <c r="R92" i="26"/>
  <c r="R165" i="26"/>
  <c r="R140" i="26"/>
  <c r="R213" i="26"/>
  <c r="R189" i="26"/>
  <c r="R286" i="26"/>
  <c r="R262" i="26"/>
  <c r="R238" i="26"/>
  <c r="L16" i="37"/>
  <c r="M37" i="23" s="1"/>
  <c r="L14" i="37"/>
  <c r="M36" i="23" s="1"/>
  <c r="L19" i="37"/>
  <c r="M39" i="23" s="1"/>
  <c r="L20" i="37"/>
  <c r="M40" i="23" s="1"/>
  <c r="L24" i="37"/>
  <c r="M44" i="23" s="1"/>
  <c r="L17" i="37"/>
  <c r="M38" i="23" s="1"/>
  <c r="L21" i="37"/>
  <c r="M41" i="23" s="1"/>
  <c r="L13" i="37"/>
  <c r="M35" i="23" s="1"/>
  <c r="L23" i="37"/>
  <c r="M43" i="23" s="1"/>
  <c r="L22" i="37"/>
  <c r="M42" i="23" s="1"/>
  <c r="I2" i="38"/>
  <c r="H2" i="38"/>
  <c r="T103" i="27" l="1"/>
  <c r="T127" i="27"/>
  <c r="T155" i="25"/>
  <c r="U87" i="27"/>
  <c r="T104" i="27"/>
  <c r="T152" i="27"/>
  <c r="T128" i="27"/>
  <c r="T82" i="19"/>
  <c r="U87" i="26"/>
  <c r="T128" i="26"/>
  <c r="T152" i="26"/>
  <c r="T83" i="29"/>
  <c r="S93" i="29"/>
  <c r="T77" i="29"/>
  <c r="S92" i="29"/>
  <c r="U87" i="19"/>
  <c r="T152" i="19"/>
  <c r="T76" i="19"/>
  <c r="T79" i="25"/>
  <c r="T216" i="25" s="1"/>
  <c r="S168" i="25"/>
  <c r="T85" i="25"/>
  <c r="T217" i="25" s="1"/>
  <c r="S169" i="25"/>
  <c r="U90" i="25"/>
  <c r="T107" i="25"/>
  <c r="T79" i="26"/>
  <c r="S140" i="26"/>
  <c r="S116" i="26"/>
  <c r="S92" i="26"/>
  <c r="S213" i="26"/>
  <c r="S189" i="26"/>
  <c r="S165" i="26"/>
  <c r="S286" i="26"/>
  <c r="S262" i="26"/>
  <c r="S238" i="26"/>
  <c r="T85" i="26"/>
  <c r="S141" i="26"/>
  <c r="S214" i="26"/>
  <c r="S190" i="26"/>
  <c r="S117" i="26"/>
  <c r="S93" i="26"/>
  <c r="S166" i="26"/>
  <c r="S287" i="26"/>
  <c r="S239" i="26"/>
  <c r="S263" i="26"/>
  <c r="M21" i="23"/>
  <c r="M20" i="23"/>
  <c r="M22" i="23"/>
  <c r="N22" i="37"/>
  <c r="N23" i="37"/>
  <c r="N24" i="37"/>
  <c r="N21" i="37"/>
  <c r="N17" i="37"/>
  <c r="N16" i="37"/>
  <c r="N14" i="37"/>
  <c r="N13" i="37"/>
  <c r="U104" i="26" l="1"/>
  <c r="U151" i="26"/>
  <c r="U103" i="26"/>
  <c r="U154" i="25"/>
  <c r="U106" i="25"/>
  <c r="U127" i="27"/>
  <c r="U103" i="27"/>
  <c r="U151" i="27"/>
  <c r="U155" i="25"/>
  <c r="V87" i="19"/>
  <c r="U152" i="19"/>
  <c r="U82" i="19"/>
  <c r="V87" i="26"/>
  <c r="V104" i="26" s="1"/>
  <c r="U128" i="26"/>
  <c r="U152" i="26"/>
  <c r="U83" i="29"/>
  <c r="T93" i="29"/>
  <c r="U76" i="19"/>
  <c r="U77" i="29"/>
  <c r="T92" i="29"/>
  <c r="V87" i="27"/>
  <c r="V103" i="27" s="1"/>
  <c r="U104" i="27"/>
  <c r="U152" i="27"/>
  <c r="U128" i="27"/>
  <c r="U79" i="25"/>
  <c r="U216" i="25" s="1"/>
  <c r="T168" i="25"/>
  <c r="U85" i="25"/>
  <c r="U217" i="25" s="1"/>
  <c r="T169" i="25"/>
  <c r="V90" i="25"/>
  <c r="U107" i="25"/>
  <c r="U85" i="26"/>
  <c r="T117" i="26"/>
  <c r="T93" i="26"/>
  <c r="T141" i="26"/>
  <c r="T214" i="26"/>
  <c r="T190" i="26"/>
  <c r="T166" i="26"/>
  <c r="T287" i="26"/>
  <c r="T263" i="26"/>
  <c r="T239" i="26"/>
  <c r="U79" i="26"/>
  <c r="T140" i="26"/>
  <c r="T213" i="26"/>
  <c r="T189" i="26"/>
  <c r="T116" i="26"/>
  <c r="T92" i="26"/>
  <c r="T165" i="26"/>
  <c r="T238" i="26"/>
  <c r="T286" i="26"/>
  <c r="T262" i="26"/>
  <c r="V155" i="25" l="1"/>
  <c r="W87" i="27"/>
  <c r="V152" i="27"/>
  <c r="V104" i="27"/>
  <c r="V128" i="27"/>
  <c r="W87" i="19"/>
  <c r="V152" i="19"/>
  <c r="V76" i="19"/>
  <c r="V83" i="29"/>
  <c r="U93" i="29"/>
  <c r="W87" i="26"/>
  <c r="W104" i="26" s="1"/>
  <c r="V152" i="26"/>
  <c r="V128" i="26"/>
  <c r="V82" i="19"/>
  <c r="V77" i="29"/>
  <c r="U92" i="29"/>
  <c r="V79" i="25"/>
  <c r="V216" i="25" s="1"/>
  <c r="U168" i="25"/>
  <c r="V85" i="25"/>
  <c r="V217" i="25" s="1"/>
  <c r="U169" i="25"/>
  <c r="W90" i="25"/>
  <c r="V107" i="25"/>
  <c r="V79" i="26"/>
  <c r="U140" i="26"/>
  <c r="U116" i="26"/>
  <c r="U92" i="26"/>
  <c r="U213" i="26"/>
  <c r="U189" i="26"/>
  <c r="U165" i="26"/>
  <c r="U286" i="26"/>
  <c r="U262" i="26"/>
  <c r="U238" i="26"/>
  <c r="V85" i="26"/>
  <c r="U117" i="26"/>
  <c r="U93" i="26"/>
  <c r="U166" i="26"/>
  <c r="U141" i="26"/>
  <c r="U214" i="26"/>
  <c r="U190" i="26"/>
  <c r="U263" i="26"/>
  <c r="U287" i="26"/>
  <c r="U239" i="26"/>
  <c r="Q25" i="25"/>
  <c r="M25" i="25"/>
  <c r="AB24" i="19"/>
  <c r="AB23" i="19"/>
  <c r="K11" i="26"/>
  <c r="W103" i="27" l="1"/>
  <c r="W127" i="27"/>
  <c r="W155" i="25"/>
  <c r="W77" i="29"/>
  <c r="V92" i="29"/>
  <c r="W82" i="19"/>
  <c r="X87" i="26"/>
  <c r="W128" i="26"/>
  <c r="W152" i="26"/>
  <c r="X87" i="19"/>
  <c r="W152" i="19"/>
  <c r="W76" i="19"/>
  <c r="W83" i="29"/>
  <c r="V93" i="29"/>
  <c r="X87" i="27"/>
  <c r="X103" i="27" s="1"/>
  <c r="W152" i="27"/>
  <c r="W128" i="27"/>
  <c r="W104" i="27"/>
  <c r="X90" i="25"/>
  <c r="W107" i="25"/>
  <c r="W79" i="25"/>
  <c r="W216" i="25" s="1"/>
  <c r="V168" i="25"/>
  <c r="W85" i="25"/>
  <c r="W217" i="25" s="1"/>
  <c r="V169" i="25"/>
  <c r="W85" i="26"/>
  <c r="V141" i="26"/>
  <c r="V214" i="26"/>
  <c r="V190" i="26"/>
  <c r="V287" i="26"/>
  <c r="V117" i="26"/>
  <c r="V93" i="26"/>
  <c r="V166" i="26"/>
  <c r="V239" i="26"/>
  <c r="V263" i="26"/>
  <c r="W79" i="26"/>
  <c r="V116" i="26"/>
  <c r="V92" i="26"/>
  <c r="V165" i="26"/>
  <c r="V140" i="26"/>
  <c r="V213" i="26"/>
  <c r="V189" i="26"/>
  <c r="V286" i="26"/>
  <c r="V262" i="26"/>
  <c r="V238" i="26"/>
  <c r="X127" i="26" l="1"/>
  <c r="X104" i="26"/>
  <c r="X155" i="25"/>
  <c r="Y87" i="26"/>
  <c r="Y104" i="26" s="1"/>
  <c r="X152" i="26"/>
  <c r="X128" i="26"/>
  <c r="Y87" i="27"/>
  <c r="X128" i="27"/>
  <c r="X152" i="27"/>
  <c r="X104" i="27"/>
  <c r="X82" i="19"/>
  <c r="Y87" i="19"/>
  <c r="X152" i="19"/>
  <c r="X83" i="29"/>
  <c r="W93" i="29"/>
  <c r="X76" i="19"/>
  <c r="X77" i="29"/>
  <c r="W92" i="29"/>
  <c r="Y90" i="25"/>
  <c r="X107" i="25"/>
  <c r="X79" i="25"/>
  <c r="X216" i="25" s="1"/>
  <c r="W168" i="25"/>
  <c r="X85" i="25"/>
  <c r="X217" i="25" s="1"/>
  <c r="W169" i="25"/>
  <c r="X79" i="26"/>
  <c r="W140" i="26"/>
  <c r="W116" i="26"/>
  <c r="W92" i="26"/>
  <c r="W213" i="26"/>
  <c r="W189" i="26"/>
  <c r="W165" i="26"/>
  <c r="W286" i="26"/>
  <c r="W262" i="26"/>
  <c r="W238" i="26"/>
  <c r="X85" i="26"/>
  <c r="W141" i="26"/>
  <c r="W214" i="26"/>
  <c r="W190" i="26"/>
  <c r="W117" i="26"/>
  <c r="W93" i="26"/>
  <c r="W166" i="26"/>
  <c r="W239" i="26"/>
  <c r="W287" i="26"/>
  <c r="W263" i="26"/>
  <c r="M19" i="23"/>
  <c r="P14" i="23"/>
  <c r="Y103" i="27" l="1"/>
  <c r="Y127" i="27"/>
  <c r="Y155" i="25"/>
  <c r="Y76" i="19"/>
  <c r="Z87" i="27"/>
  <c r="Y152" i="27"/>
  <c r="Y128" i="27"/>
  <c r="Y104" i="27"/>
  <c r="Y77" i="29"/>
  <c r="X92" i="29"/>
  <c r="Z87" i="19"/>
  <c r="Y152" i="19"/>
  <c r="Y82" i="19"/>
  <c r="Y83" i="29"/>
  <c r="X93" i="29"/>
  <c r="Z87" i="26"/>
  <c r="Y152" i="26"/>
  <c r="Y128" i="26"/>
  <c r="Z90" i="25"/>
  <c r="Z154" i="25" s="1"/>
  <c r="Y107" i="25"/>
  <c r="Y79" i="25"/>
  <c r="Y216" i="25" s="1"/>
  <c r="X168" i="25"/>
  <c r="Y85" i="25"/>
  <c r="Y217" i="25" s="1"/>
  <c r="X169" i="25"/>
  <c r="Y85" i="26"/>
  <c r="X117" i="26"/>
  <c r="X93" i="26"/>
  <c r="X141" i="26"/>
  <c r="X214" i="26"/>
  <c r="X190" i="26"/>
  <c r="X166" i="26"/>
  <c r="X287" i="26"/>
  <c r="X263" i="26"/>
  <c r="X239" i="26"/>
  <c r="Y79" i="26"/>
  <c r="X140" i="26"/>
  <c r="X213" i="26"/>
  <c r="X189" i="26"/>
  <c r="X116" i="26"/>
  <c r="X92" i="26"/>
  <c r="X165" i="26"/>
  <c r="X238" i="26"/>
  <c r="X286" i="26"/>
  <c r="X262" i="26"/>
  <c r="Z103" i="27" l="1"/>
  <c r="Z127" i="27"/>
  <c r="Z104" i="26"/>
  <c r="Z127" i="26"/>
  <c r="Z103" i="26"/>
  <c r="Z151" i="26"/>
  <c r="Z83" i="29"/>
  <c r="Y93" i="29"/>
  <c r="AA87" i="26"/>
  <c r="AA104" i="26" s="1"/>
  <c r="Z152" i="26"/>
  <c r="Z128" i="26"/>
  <c r="Z82" i="19"/>
  <c r="AA87" i="27"/>
  <c r="Z152" i="27"/>
  <c r="Z104" i="27"/>
  <c r="Z128" i="27"/>
  <c r="Z77" i="29"/>
  <c r="Y92" i="29"/>
  <c r="Z155" i="25"/>
  <c r="AA87" i="19"/>
  <c r="Z152" i="19"/>
  <c r="Z76" i="19"/>
  <c r="AA90" i="25"/>
  <c r="Z107" i="25"/>
  <c r="Z79" i="25"/>
  <c r="Z216" i="25" s="1"/>
  <c r="Y168" i="25"/>
  <c r="Z85" i="25"/>
  <c r="Z217" i="25" s="1"/>
  <c r="Y169" i="25"/>
  <c r="Z79" i="26"/>
  <c r="Y140" i="26"/>
  <c r="Y116" i="26"/>
  <c r="Y92" i="26"/>
  <c r="Y213" i="26"/>
  <c r="Y189" i="26"/>
  <c r="Y286" i="26"/>
  <c r="Y262" i="26"/>
  <c r="Y238" i="26"/>
  <c r="Y165" i="26"/>
  <c r="Z85" i="26"/>
  <c r="Y117" i="26"/>
  <c r="Y93" i="26"/>
  <c r="Y166" i="26"/>
  <c r="Y141" i="26"/>
  <c r="Y214" i="26"/>
  <c r="Y190" i="26"/>
  <c r="Y287" i="26"/>
  <c r="Y263" i="26"/>
  <c r="Y239" i="26"/>
  <c r="AA103" i="27" l="1"/>
  <c r="AA127" i="27"/>
  <c r="AA155" i="25"/>
  <c r="AA76" i="19"/>
  <c r="AB87" i="27"/>
  <c r="AB103" i="27" s="1"/>
  <c r="AA152" i="27"/>
  <c r="AA128" i="27"/>
  <c r="AA104" i="27"/>
  <c r="AB87" i="26"/>
  <c r="AB104" i="26" s="1"/>
  <c r="AA152" i="26"/>
  <c r="AA128" i="26"/>
  <c r="AA77" i="29"/>
  <c r="Z92" i="29"/>
  <c r="AB87" i="19"/>
  <c r="AA152" i="19"/>
  <c r="AA82" i="19"/>
  <c r="AA83" i="29"/>
  <c r="Z93" i="29"/>
  <c r="AB90" i="25"/>
  <c r="AA107" i="25"/>
  <c r="AA79" i="25"/>
  <c r="AA216" i="25" s="1"/>
  <c r="Z168" i="25"/>
  <c r="AA85" i="25"/>
  <c r="AA217" i="25" s="1"/>
  <c r="Z169" i="25"/>
  <c r="AA85" i="26"/>
  <c r="Z141" i="26"/>
  <c r="Z214" i="26"/>
  <c r="Z190" i="26"/>
  <c r="Z287" i="26"/>
  <c r="Z117" i="26"/>
  <c r="Z93" i="26"/>
  <c r="Z166" i="26"/>
  <c r="Z239" i="26"/>
  <c r="Z263" i="26"/>
  <c r="AA79" i="26"/>
  <c r="Z116" i="26"/>
  <c r="Z92" i="26"/>
  <c r="Z165" i="26"/>
  <c r="Z140" i="26"/>
  <c r="Z213" i="26"/>
  <c r="Z189" i="26"/>
  <c r="Z286" i="26"/>
  <c r="Z262" i="26"/>
  <c r="Z238" i="26"/>
  <c r="P114" i="40"/>
  <c r="L114" i="40"/>
  <c r="N114" i="40"/>
  <c r="K114" i="40"/>
  <c r="Q114" i="40"/>
  <c r="O114" i="40"/>
  <c r="M114" i="40"/>
  <c r="R114" i="40"/>
  <c r="S114" i="40"/>
  <c r="T114" i="40"/>
  <c r="U114" i="40"/>
  <c r="V114" i="40"/>
  <c r="W114" i="40"/>
  <c r="X114" i="40"/>
  <c r="Y114" i="40"/>
  <c r="Z114" i="40"/>
  <c r="AA114" i="40"/>
  <c r="AB114" i="40"/>
  <c r="AC114" i="40"/>
  <c r="AD114" i="40"/>
  <c r="AE114" i="40"/>
  <c r="AF114" i="40"/>
  <c r="AG114" i="40"/>
  <c r="AH114" i="40"/>
  <c r="AI114" i="40"/>
  <c r="AJ114" i="40"/>
  <c r="K119" i="40"/>
  <c r="L119" i="40"/>
  <c r="M119" i="40"/>
  <c r="N119" i="40"/>
  <c r="O119" i="40"/>
  <c r="P119" i="40"/>
  <c r="Q119" i="40"/>
  <c r="R119" i="40"/>
  <c r="S119" i="40"/>
  <c r="T119" i="40"/>
  <c r="U119" i="40"/>
  <c r="V119" i="40"/>
  <c r="W119" i="40"/>
  <c r="X119" i="40"/>
  <c r="Y119" i="40"/>
  <c r="Z119" i="40"/>
  <c r="AA119" i="40"/>
  <c r="AB119" i="40"/>
  <c r="AC119" i="40"/>
  <c r="AD119" i="40"/>
  <c r="AE119" i="40"/>
  <c r="AF119" i="40"/>
  <c r="AG119" i="40"/>
  <c r="AH119" i="40"/>
  <c r="AI119" i="40"/>
  <c r="AJ119" i="40"/>
  <c r="AB155" i="25" l="1"/>
  <c r="AB82" i="19"/>
  <c r="AB83" i="29"/>
  <c r="AA93" i="29"/>
  <c r="AC87" i="26"/>
  <c r="AB128" i="26"/>
  <c r="AB152" i="26"/>
  <c r="AC87" i="27"/>
  <c r="AB128" i="27"/>
  <c r="AB152" i="27"/>
  <c r="AB104" i="27"/>
  <c r="AC87" i="19"/>
  <c r="AB152" i="19"/>
  <c r="AB77" i="29"/>
  <c r="AA92" i="29"/>
  <c r="AB76" i="19"/>
  <c r="AB79" i="25"/>
  <c r="AB216" i="25" s="1"/>
  <c r="AA168" i="25"/>
  <c r="AC90" i="25"/>
  <c r="AB107" i="25"/>
  <c r="AB85" i="25"/>
  <c r="AB217" i="25" s="1"/>
  <c r="AA169" i="25"/>
  <c r="AB79" i="26"/>
  <c r="AA140" i="26"/>
  <c r="AA116" i="26"/>
  <c r="AA92" i="26"/>
  <c r="AA213" i="26"/>
  <c r="AA189" i="26"/>
  <c r="AA165" i="26"/>
  <c r="AA286" i="26"/>
  <c r="AA262" i="26"/>
  <c r="AA238" i="26"/>
  <c r="AB85" i="26"/>
  <c r="AA141" i="26"/>
  <c r="AA214" i="26"/>
  <c r="AA190" i="26"/>
  <c r="AA117" i="26"/>
  <c r="AA93" i="26"/>
  <c r="AA166" i="26"/>
  <c r="AA239" i="26"/>
  <c r="AA263" i="26"/>
  <c r="AA287" i="26"/>
  <c r="AC127" i="26" l="1"/>
  <c r="AC104" i="26"/>
  <c r="AC103" i="27"/>
  <c r="AC127" i="27"/>
  <c r="AC155" i="25"/>
  <c r="AD87" i="27"/>
  <c r="AD103" i="27" s="1"/>
  <c r="AC128" i="27"/>
  <c r="AC152" i="27"/>
  <c r="AC104" i="27"/>
  <c r="AD87" i="19"/>
  <c r="AC152" i="19"/>
  <c r="AD87" i="26"/>
  <c r="AD104" i="26" s="1"/>
  <c r="AC128" i="26"/>
  <c r="AC152" i="26"/>
  <c r="AC83" i="29"/>
  <c r="AB93" i="29"/>
  <c r="AC77" i="29"/>
  <c r="AB92" i="29"/>
  <c r="AC76" i="19"/>
  <c r="AC82" i="19"/>
  <c r="AC79" i="25"/>
  <c r="AC216" i="25" s="1"/>
  <c r="AB168" i="25"/>
  <c r="AD90" i="25"/>
  <c r="AC107" i="25"/>
  <c r="AC85" i="25"/>
  <c r="AC217" i="25" s="1"/>
  <c r="AB169" i="25"/>
  <c r="AC85" i="26"/>
  <c r="AB117" i="26"/>
  <c r="AB93" i="26"/>
  <c r="AB141" i="26"/>
  <c r="AB214" i="26"/>
  <c r="AB190" i="26"/>
  <c r="AB263" i="26"/>
  <c r="AB166" i="26"/>
  <c r="AB287" i="26"/>
  <c r="AB239" i="26"/>
  <c r="AC79" i="26"/>
  <c r="AB140" i="26"/>
  <c r="AB213" i="26"/>
  <c r="AB189" i="26"/>
  <c r="AB116" i="26"/>
  <c r="AB92" i="26"/>
  <c r="AB165" i="26"/>
  <c r="AB238" i="26"/>
  <c r="AB286" i="26"/>
  <c r="AB262" i="26"/>
  <c r="AD155" i="25" l="1"/>
  <c r="AD82" i="19"/>
  <c r="AE87" i="26"/>
  <c r="AD152" i="26"/>
  <c r="AD128" i="26"/>
  <c r="AE87" i="19"/>
  <c r="AD152" i="19"/>
  <c r="AD77" i="29"/>
  <c r="AC92" i="29"/>
  <c r="AD76" i="19"/>
  <c r="AD83" i="29"/>
  <c r="AC93" i="29"/>
  <c r="AE87" i="27"/>
  <c r="AD152" i="27"/>
  <c r="AD128" i="27"/>
  <c r="AD104" i="27"/>
  <c r="AD79" i="25"/>
  <c r="AD216" i="25" s="1"/>
  <c r="AC168" i="25"/>
  <c r="AE90" i="25"/>
  <c r="AD107" i="25"/>
  <c r="AD85" i="25"/>
  <c r="AD217" i="25" s="1"/>
  <c r="AC169" i="25"/>
  <c r="AD79" i="26"/>
  <c r="AC140" i="26"/>
  <c r="AC116" i="26"/>
  <c r="AC92" i="26"/>
  <c r="AC213" i="26"/>
  <c r="AC189" i="26"/>
  <c r="AC165" i="26"/>
  <c r="AC286" i="26"/>
  <c r="AC262" i="26"/>
  <c r="AC238" i="26"/>
  <c r="AD85" i="26"/>
  <c r="AC117" i="26"/>
  <c r="AC93" i="26"/>
  <c r="AC166" i="26"/>
  <c r="AC141" i="26"/>
  <c r="AC214" i="26"/>
  <c r="AC190" i="26"/>
  <c r="AC263" i="26"/>
  <c r="AC287" i="26"/>
  <c r="AC239" i="26"/>
  <c r="AE104" i="26" l="1"/>
  <c r="AE151" i="26"/>
  <c r="AE103" i="26"/>
  <c r="AE154" i="25"/>
  <c r="AE106" i="25"/>
  <c r="AE151" i="27"/>
  <c r="AE127" i="27"/>
  <c r="AE103" i="27"/>
  <c r="AE77" i="29"/>
  <c r="AD92" i="29"/>
  <c r="AF87" i="27"/>
  <c r="AE152" i="27"/>
  <c r="AE128" i="27"/>
  <c r="AE104" i="27"/>
  <c r="AF87" i="19"/>
  <c r="AE152" i="19"/>
  <c r="AE155" i="25"/>
  <c r="AF87" i="26"/>
  <c r="AF104" i="26" s="1"/>
  <c r="AE128" i="26"/>
  <c r="AE152" i="26"/>
  <c r="AE76" i="19"/>
  <c r="AE83" i="29"/>
  <c r="AD93" i="29"/>
  <c r="AE82" i="19"/>
  <c r="AE79" i="25"/>
  <c r="AE216" i="25" s="1"/>
  <c r="AD168" i="25"/>
  <c r="AF90" i="25"/>
  <c r="AE107" i="25"/>
  <c r="AE85" i="25"/>
  <c r="AE217" i="25" s="1"/>
  <c r="AD169" i="25"/>
  <c r="AE85" i="26"/>
  <c r="AD141" i="26"/>
  <c r="AD214" i="26"/>
  <c r="AD190" i="26"/>
  <c r="AD287" i="26"/>
  <c r="AD117" i="26"/>
  <c r="AD93" i="26"/>
  <c r="AD166" i="26"/>
  <c r="AD239" i="26"/>
  <c r="AD263" i="26"/>
  <c r="AE79" i="26"/>
  <c r="AD116" i="26"/>
  <c r="AD92" i="26"/>
  <c r="AD165" i="26"/>
  <c r="AD140" i="26"/>
  <c r="AD213" i="26"/>
  <c r="AD189" i="26"/>
  <c r="AD286" i="26"/>
  <c r="AD262" i="26"/>
  <c r="AD238" i="26"/>
  <c r="K84" i="28"/>
  <c r="K78" i="28"/>
  <c r="AF103" i="27" l="1"/>
  <c r="AF127" i="27"/>
  <c r="L84" i="28"/>
  <c r="K166" i="28"/>
  <c r="K190" i="28"/>
  <c r="K214" i="28"/>
  <c r="L78" i="28"/>
  <c r="K165" i="28"/>
  <c r="K189" i="28"/>
  <c r="K213" i="28"/>
  <c r="AF155" i="25"/>
  <c r="K84" i="41"/>
  <c r="L84" i="41" s="1"/>
  <c r="M84" i="41" s="1"/>
  <c r="N84" i="41" s="1"/>
  <c r="O84" i="41" s="1"/>
  <c r="P84" i="41" s="1"/>
  <c r="Q84" i="41" s="1"/>
  <c r="R84" i="41" s="1"/>
  <c r="S84" i="41" s="1"/>
  <c r="T84" i="41" s="1"/>
  <c r="U84" i="41" s="1"/>
  <c r="V84" i="41" s="1"/>
  <c r="W84" i="41" s="1"/>
  <c r="X84" i="41" s="1"/>
  <c r="Y84" i="41" s="1"/>
  <c r="Z84" i="41" s="1"/>
  <c r="AA84" i="41" s="1"/>
  <c r="AB84" i="41" s="1"/>
  <c r="AC84" i="41" s="1"/>
  <c r="AD84" i="41" s="1"/>
  <c r="AE84" i="41" s="1"/>
  <c r="AF84" i="41" s="1"/>
  <c r="AG84" i="41" s="1"/>
  <c r="AH84" i="41" s="1"/>
  <c r="AI84" i="41" s="1"/>
  <c r="AJ84" i="41" s="1"/>
  <c r="K84" i="48"/>
  <c r="L84" i="48" s="1"/>
  <c r="M84" i="48" s="1"/>
  <c r="N84" i="48" s="1"/>
  <c r="O84" i="48" s="1"/>
  <c r="P84" i="48" s="1"/>
  <c r="Q84" i="48" s="1"/>
  <c r="R84" i="48" s="1"/>
  <c r="S84" i="48" s="1"/>
  <c r="T84" i="48" s="1"/>
  <c r="U84" i="48" s="1"/>
  <c r="V84" i="48" s="1"/>
  <c r="W84" i="48" s="1"/>
  <c r="X84" i="48" s="1"/>
  <c r="Y84" i="48" s="1"/>
  <c r="Z84" i="48" s="1"/>
  <c r="AA84" i="48" s="1"/>
  <c r="AB84" i="48" s="1"/>
  <c r="AC84" i="48" s="1"/>
  <c r="AD84" i="48" s="1"/>
  <c r="AE84" i="48" s="1"/>
  <c r="AF84" i="48" s="1"/>
  <c r="AG84" i="48" s="1"/>
  <c r="AH84" i="48" s="1"/>
  <c r="AI84" i="48" s="1"/>
  <c r="AJ84" i="48" s="1"/>
  <c r="K84" i="45"/>
  <c r="L84" i="45" s="1"/>
  <c r="M84" i="45" s="1"/>
  <c r="N84" i="45" s="1"/>
  <c r="O84" i="45" s="1"/>
  <c r="P84" i="45" s="1"/>
  <c r="Q84" i="45" s="1"/>
  <c r="R84" i="45" s="1"/>
  <c r="S84" i="45" s="1"/>
  <c r="T84" i="45" s="1"/>
  <c r="U84" i="45" s="1"/>
  <c r="V84" i="45" s="1"/>
  <c r="W84" i="45" s="1"/>
  <c r="X84" i="45" s="1"/>
  <c r="Y84" i="45" s="1"/>
  <c r="Z84" i="45" s="1"/>
  <c r="AA84" i="45" s="1"/>
  <c r="AB84" i="45" s="1"/>
  <c r="AC84" i="45" s="1"/>
  <c r="AD84" i="45" s="1"/>
  <c r="AE84" i="45" s="1"/>
  <c r="AF84" i="45" s="1"/>
  <c r="AG84" i="45" s="1"/>
  <c r="AH84" i="45" s="1"/>
  <c r="AI84" i="45" s="1"/>
  <c r="AJ84" i="45" s="1"/>
  <c r="K84" i="44"/>
  <c r="L84" i="44" s="1"/>
  <c r="M84" i="44" s="1"/>
  <c r="N84" i="44" s="1"/>
  <c r="O84" i="44" s="1"/>
  <c r="P84" i="44" s="1"/>
  <c r="Q84" i="44" s="1"/>
  <c r="R84" i="44" s="1"/>
  <c r="S84" i="44" s="1"/>
  <c r="T84" i="44" s="1"/>
  <c r="U84" i="44" s="1"/>
  <c r="V84" i="44" s="1"/>
  <c r="W84" i="44" s="1"/>
  <c r="X84" i="44" s="1"/>
  <c r="Y84" i="44" s="1"/>
  <c r="Z84" i="44" s="1"/>
  <c r="AA84" i="44" s="1"/>
  <c r="AB84" i="44" s="1"/>
  <c r="AC84" i="44" s="1"/>
  <c r="AD84" i="44" s="1"/>
  <c r="AE84" i="44" s="1"/>
  <c r="AF84" i="44" s="1"/>
  <c r="AG84" i="44" s="1"/>
  <c r="AH84" i="44" s="1"/>
  <c r="AI84" i="44" s="1"/>
  <c r="AJ84" i="44" s="1"/>
  <c r="K78" i="41"/>
  <c r="K140" i="41" s="1"/>
  <c r="K149" i="41" s="1"/>
  <c r="K154" i="41" s="1"/>
  <c r="K78" i="45"/>
  <c r="L78" i="45" s="1"/>
  <c r="M78" i="45" s="1"/>
  <c r="N78" i="45" s="1"/>
  <c r="O78" i="45" s="1"/>
  <c r="P78" i="45" s="1"/>
  <c r="Q78" i="45" s="1"/>
  <c r="R78" i="45" s="1"/>
  <c r="S78" i="45" s="1"/>
  <c r="T78" i="45" s="1"/>
  <c r="U78" i="45" s="1"/>
  <c r="V78" i="45" s="1"/>
  <c r="W78" i="45" s="1"/>
  <c r="X78" i="45" s="1"/>
  <c r="Y78" i="45" s="1"/>
  <c r="Z78" i="45" s="1"/>
  <c r="AA78" i="45" s="1"/>
  <c r="AB78" i="45" s="1"/>
  <c r="AC78" i="45" s="1"/>
  <c r="AD78" i="45" s="1"/>
  <c r="AE78" i="45" s="1"/>
  <c r="AF78" i="45" s="1"/>
  <c r="AG78" i="45" s="1"/>
  <c r="AH78" i="45" s="1"/>
  <c r="AI78" i="45" s="1"/>
  <c r="AJ78" i="45" s="1"/>
  <c r="K78" i="48"/>
  <c r="L78" i="48" s="1"/>
  <c r="M78" i="48" s="1"/>
  <c r="N78" i="48" s="1"/>
  <c r="O78" i="48" s="1"/>
  <c r="P78" i="48" s="1"/>
  <c r="Q78" i="48" s="1"/>
  <c r="R78" i="48" s="1"/>
  <c r="S78" i="48" s="1"/>
  <c r="T78" i="48" s="1"/>
  <c r="U78" i="48" s="1"/>
  <c r="V78" i="48" s="1"/>
  <c r="W78" i="48" s="1"/>
  <c r="X78" i="48" s="1"/>
  <c r="Y78" i="48" s="1"/>
  <c r="Z78" i="48" s="1"/>
  <c r="AA78" i="48" s="1"/>
  <c r="AB78" i="48" s="1"/>
  <c r="AC78" i="48" s="1"/>
  <c r="AD78" i="48" s="1"/>
  <c r="AE78" i="48" s="1"/>
  <c r="AF78" i="48" s="1"/>
  <c r="AG78" i="48" s="1"/>
  <c r="AH78" i="48" s="1"/>
  <c r="AI78" i="48" s="1"/>
  <c r="AJ78" i="48" s="1"/>
  <c r="K78" i="44"/>
  <c r="L78" i="44" s="1"/>
  <c r="M78" i="44" s="1"/>
  <c r="N78" i="44" s="1"/>
  <c r="O78" i="44" s="1"/>
  <c r="P78" i="44" s="1"/>
  <c r="Q78" i="44" s="1"/>
  <c r="R78" i="44" s="1"/>
  <c r="S78" i="44" s="1"/>
  <c r="T78" i="44" s="1"/>
  <c r="U78" i="44" s="1"/>
  <c r="V78" i="44" s="1"/>
  <c r="W78" i="44" s="1"/>
  <c r="X78" i="44" s="1"/>
  <c r="Y78" i="44" s="1"/>
  <c r="Z78" i="44" s="1"/>
  <c r="AA78" i="44" s="1"/>
  <c r="AB78" i="44" s="1"/>
  <c r="AC78" i="44" s="1"/>
  <c r="AD78" i="44" s="1"/>
  <c r="AE78" i="44" s="1"/>
  <c r="AF78" i="44" s="1"/>
  <c r="AG78" i="44" s="1"/>
  <c r="AH78" i="44" s="1"/>
  <c r="AI78" i="44" s="1"/>
  <c r="AJ78" i="44" s="1"/>
  <c r="AF82" i="19"/>
  <c r="AG87" i="26"/>
  <c r="AG104" i="26" s="1"/>
  <c r="AF128" i="26"/>
  <c r="AF152" i="26"/>
  <c r="AG87" i="27"/>
  <c r="AF152" i="27"/>
  <c r="AF104" i="27"/>
  <c r="AF128" i="27"/>
  <c r="AG87" i="19"/>
  <c r="AF152" i="19"/>
  <c r="AF76" i="19"/>
  <c r="AF83" i="29"/>
  <c r="AE93" i="29"/>
  <c r="AF77" i="29"/>
  <c r="AE92" i="29"/>
  <c r="AF79" i="25"/>
  <c r="AF216" i="25" s="1"/>
  <c r="AE168" i="25"/>
  <c r="AG90" i="25"/>
  <c r="AF107" i="25"/>
  <c r="AF85" i="25"/>
  <c r="AF217" i="25" s="1"/>
  <c r="AE169" i="25"/>
  <c r="AF79" i="26"/>
  <c r="AE140" i="26"/>
  <c r="AE116" i="26"/>
  <c r="AE92" i="26"/>
  <c r="AE213" i="26"/>
  <c r="AE189" i="26"/>
  <c r="AE165" i="26"/>
  <c r="AE286" i="26"/>
  <c r="AE262" i="26"/>
  <c r="AE238" i="26"/>
  <c r="AF85" i="26"/>
  <c r="AE141" i="26"/>
  <c r="AE214" i="26"/>
  <c r="AE190" i="26"/>
  <c r="AE117" i="26"/>
  <c r="AE93" i="26"/>
  <c r="AE166" i="26"/>
  <c r="AE287" i="26"/>
  <c r="AE239" i="26"/>
  <c r="AE263" i="26"/>
  <c r="K78" i="27"/>
  <c r="L78" i="27" s="1"/>
  <c r="M78" i="27" s="1"/>
  <c r="N78" i="27" s="1"/>
  <c r="O78" i="27" s="1"/>
  <c r="P78" i="27" s="1"/>
  <c r="Q78" i="27" s="1"/>
  <c r="R78" i="27" s="1"/>
  <c r="S78" i="27" s="1"/>
  <c r="T78" i="27" s="1"/>
  <c r="U78" i="27" s="1"/>
  <c r="V78" i="27" s="1"/>
  <c r="W78" i="27" s="1"/>
  <c r="X78" i="27" s="1"/>
  <c r="Y78" i="27" s="1"/>
  <c r="Z78" i="27" s="1"/>
  <c r="AA78" i="27" s="1"/>
  <c r="AB78" i="27" s="1"/>
  <c r="AC78" i="27" s="1"/>
  <c r="AD78" i="27" s="1"/>
  <c r="AE78" i="27" s="1"/>
  <c r="AF78" i="27" s="1"/>
  <c r="AG78" i="27" s="1"/>
  <c r="AH78" i="27" s="1"/>
  <c r="AI78" i="27" s="1"/>
  <c r="AJ78" i="27" s="1"/>
  <c r="K78" i="26"/>
  <c r="L78" i="26" s="1"/>
  <c r="M78" i="26" s="1"/>
  <c r="N78" i="26" s="1"/>
  <c r="O78" i="26" s="1"/>
  <c r="P78" i="26" s="1"/>
  <c r="Q78" i="26" s="1"/>
  <c r="R78" i="26" s="1"/>
  <c r="S78" i="26" s="1"/>
  <c r="T78" i="26" s="1"/>
  <c r="U78" i="26" s="1"/>
  <c r="V78" i="26" s="1"/>
  <c r="W78" i="26" s="1"/>
  <c r="X78" i="26" s="1"/>
  <c r="Y78" i="26" s="1"/>
  <c r="Z78" i="26" s="1"/>
  <c r="AA78" i="26" s="1"/>
  <c r="AB78" i="26" s="1"/>
  <c r="AC78" i="26" s="1"/>
  <c r="AD78" i="26" s="1"/>
  <c r="AE78" i="26" s="1"/>
  <c r="AF78" i="26" s="1"/>
  <c r="AG78" i="26" s="1"/>
  <c r="AH78" i="26" s="1"/>
  <c r="AI78" i="26" s="1"/>
  <c r="AJ78" i="26" s="1"/>
  <c r="K81" i="25"/>
  <c r="L81" i="25" s="1"/>
  <c r="M81" i="25" s="1"/>
  <c r="N81" i="25" s="1"/>
  <c r="O81" i="25" s="1"/>
  <c r="P81" i="25" s="1"/>
  <c r="Q81" i="25" s="1"/>
  <c r="R81" i="25" s="1"/>
  <c r="S81" i="25" s="1"/>
  <c r="T81" i="25" s="1"/>
  <c r="U81" i="25" s="1"/>
  <c r="V81" i="25" s="1"/>
  <c r="W81" i="25" s="1"/>
  <c r="X81" i="25" s="1"/>
  <c r="Y81" i="25" s="1"/>
  <c r="Z81" i="25" s="1"/>
  <c r="AA81" i="25" s="1"/>
  <c r="AB81" i="25" s="1"/>
  <c r="AC81" i="25" s="1"/>
  <c r="AD81" i="25" s="1"/>
  <c r="AE81" i="25" s="1"/>
  <c r="AF81" i="25" s="1"/>
  <c r="AG81" i="25" s="1"/>
  <c r="AH81" i="25" s="1"/>
  <c r="AI81" i="25" s="1"/>
  <c r="AJ81" i="25" s="1"/>
  <c r="K78" i="19"/>
  <c r="K78" i="29"/>
  <c r="K84" i="27"/>
  <c r="L84" i="27" s="1"/>
  <c r="M84" i="27" s="1"/>
  <c r="N84" i="27" s="1"/>
  <c r="O84" i="27" s="1"/>
  <c r="P84" i="27" s="1"/>
  <c r="Q84" i="27" s="1"/>
  <c r="R84" i="27" s="1"/>
  <c r="S84" i="27" s="1"/>
  <c r="T84" i="27" s="1"/>
  <c r="U84" i="27" s="1"/>
  <c r="V84" i="27" s="1"/>
  <c r="W84" i="27" s="1"/>
  <c r="X84" i="27" s="1"/>
  <c r="Y84" i="27" s="1"/>
  <c r="Z84" i="27" s="1"/>
  <c r="AA84" i="27" s="1"/>
  <c r="AB84" i="27" s="1"/>
  <c r="AC84" i="27" s="1"/>
  <c r="AD84" i="27" s="1"/>
  <c r="AE84" i="27" s="1"/>
  <c r="AF84" i="27" s="1"/>
  <c r="AG84" i="27" s="1"/>
  <c r="AH84" i="27" s="1"/>
  <c r="AI84" i="27" s="1"/>
  <c r="AJ84" i="27" s="1"/>
  <c r="K84" i="26"/>
  <c r="L84" i="26" s="1"/>
  <c r="M84" i="26" s="1"/>
  <c r="N84" i="26" s="1"/>
  <c r="O84" i="26" s="1"/>
  <c r="P84" i="26" s="1"/>
  <c r="Q84" i="26" s="1"/>
  <c r="R84" i="26" s="1"/>
  <c r="S84" i="26" s="1"/>
  <c r="T84" i="26" s="1"/>
  <c r="U84" i="26" s="1"/>
  <c r="V84" i="26" s="1"/>
  <c r="W84" i="26" s="1"/>
  <c r="X84" i="26" s="1"/>
  <c r="Y84" i="26" s="1"/>
  <c r="Z84" i="26" s="1"/>
  <c r="AA84" i="26" s="1"/>
  <c r="AB84" i="26" s="1"/>
  <c r="AC84" i="26" s="1"/>
  <c r="AD84" i="26" s="1"/>
  <c r="AE84" i="26" s="1"/>
  <c r="AF84" i="26" s="1"/>
  <c r="AG84" i="26" s="1"/>
  <c r="AH84" i="26" s="1"/>
  <c r="AI84" i="26" s="1"/>
  <c r="AJ84" i="26" s="1"/>
  <c r="K87" i="25"/>
  <c r="L87" i="25" s="1"/>
  <c r="M87" i="25" s="1"/>
  <c r="N87" i="25" s="1"/>
  <c r="O87" i="25" s="1"/>
  <c r="P87" i="25" s="1"/>
  <c r="Q87" i="25" s="1"/>
  <c r="R87" i="25" s="1"/>
  <c r="S87" i="25" s="1"/>
  <c r="T87" i="25" s="1"/>
  <c r="U87" i="25" s="1"/>
  <c r="V87" i="25" s="1"/>
  <c r="W87" i="25" s="1"/>
  <c r="X87" i="25" s="1"/>
  <c r="Y87" i="25" s="1"/>
  <c r="Z87" i="25" s="1"/>
  <c r="AA87" i="25" s="1"/>
  <c r="AB87" i="25" s="1"/>
  <c r="AC87" i="25" s="1"/>
  <c r="AD87" i="25" s="1"/>
  <c r="AE87" i="25" s="1"/>
  <c r="AF87" i="25" s="1"/>
  <c r="AG87" i="25" s="1"/>
  <c r="AH87" i="25" s="1"/>
  <c r="AI87" i="25" s="1"/>
  <c r="AJ87" i="25" s="1"/>
  <c r="K84" i="19"/>
  <c r="K84" i="29"/>
  <c r="L84" i="29" s="1"/>
  <c r="M84" i="29" s="1"/>
  <c r="N84" i="29" s="1"/>
  <c r="O84" i="29" s="1"/>
  <c r="P84" i="29" s="1"/>
  <c r="M78" i="28" l="1"/>
  <c r="L213" i="28"/>
  <c r="L165" i="28"/>
  <c r="L189" i="28"/>
  <c r="M84" i="28"/>
  <c r="L214" i="28"/>
  <c r="L166" i="28"/>
  <c r="L190" i="28"/>
  <c r="AG103" i="27"/>
  <c r="AG127" i="27"/>
  <c r="K141" i="41"/>
  <c r="K153" i="41" s="1"/>
  <c r="AG155" i="25"/>
  <c r="L78" i="41"/>
  <c r="M78" i="41" s="1"/>
  <c r="N78" i="41" s="1"/>
  <c r="O78" i="41" s="1"/>
  <c r="P78" i="41" s="1"/>
  <c r="Q78" i="41" s="1"/>
  <c r="R78" i="41" s="1"/>
  <c r="S78" i="41" s="1"/>
  <c r="T78" i="41" s="1"/>
  <c r="U78" i="41" s="1"/>
  <c r="V78" i="41" s="1"/>
  <c r="W78" i="41" s="1"/>
  <c r="X78" i="41" s="1"/>
  <c r="Y78" i="41" s="1"/>
  <c r="Z78" i="41" s="1"/>
  <c r="AA78" i="41" s="1"/>
  <c r="AB78" i="41" s="1"/>
  <c r="AC78" i="41" s="1"/>
  <c r="AD78" i="41" s="1"/>
  <c r="AE78" i="41" s="1"/>
  <c r="AF78" i="41" s="1"/>
  <c r="AG78" i="41" s="1"/>
  <c r="AH78" i="41" s="1"/>
  <c r="AI78" i="41" s="1"/>
  <c r="AJ78" i="41" s="1"/>
  <c r="L84" i="19"/>
  <c r="L141" i="19" s="1"/>
  <c r="K93" i="19"/>
  <c r="L78" i="19"/>
  <c r="K92" i="19"/>
  <c r="AG83" i="29"/>
  <c r="AF93" i="29"/>
  <c r="AH87" i="19"/>
  <c r="AG152" i="19"/>
  <c r="AH87" i="26"/>
  <c r="AG152" i="26"/>
  <c r="AG128" i="26"/>
  <c r="AG76" i="19"/>
  <c r="AH87" i="27"/>
  <c r="AH103" i="27" s="1"/>
  <c r="AG128" i="27"/>
  <c r="AG152" i="27"/>
  <c r="AG104" i="27"/>
  <c r="AG77" i="29"/>
  <c r="AF92" i="29"/>
  <c r="AG82" i="19"/>
  <c r="AG79" i="25"/>
  <c r="AG216" i="25" s="1"/>
  <c r="AF168" i="25"/>
  <c r="AG85" i="25"/>
  <c r="AG217" i="25" s="1"/>
  <c r="AF169" i="25"/>
  <c r="AH90" i="25"/>
  <c r="AG107" i="25"/>
  <c r="L78" i="29"/>
  <c r="M78" i="29" s="1"/>
  <c r="N78" i="29" s="1"/>
  <c r="O78" i="29" s="1"/>
  <c r="P78" i="29" s="1"/>
  <c r="Q78" i="29" s="1"/>
  <c r="AG85" i="26"/>
  <c r="AF117" i="26"/>
  <c r="AF93" i="26"/>
  <c r="AF141" i="26"/>
  <c r="AF214" i="26"/>
  <c r="AF190" i="26"/>
  <c r="AF263" i="26"/>
  <c r="AF239" i="26"/>
  <c r="AF166" i="26"/>
  <c r="AF287" i="26"/>
  <c r="AG79" i="26"/>
  <c r="AF140" i="26"/>
  <c r="AF213" i="26"/>
  <c r="AF189" i="26"/>
  <c r="AF116" i="26"/>
  <c r="AF92" i="26"/>
  <c r="AF165" i="26"/>
  <c r="AF238" i="26"/>
  <c r="AF286" i="26"/>
  <c r="AF262" i="26"/>
  <c r="Q84" i="29"/>
  <c r="AC36" i="27"/>
  <c r="Q36" i="27"/>
  <c r="Q33" i="27"/>
  <c r="K33" i="27"/>
  <c r="AC33" i="27"/>
  <c r="AH127" i="26" l="1"/>
  <c r="AH104" i="26"/>
  <c r="N84" i="28"/>
  <c r="M214" i="28"/>
  <c r="M166" i="28"/>
  <c r="M190" i="28"/>
  <c r="N78" i="28"/>
  <c r="M213" i="28"/>
  <c r="M165" i="28"/>
  <c r="M189" i="28"/>
  <c r="L140" i="19"/>
  <c r="K156" i="41"/>
  <c r="K157" i="41" s="1"/>
  <c r="AH155" i="25"/>
  <c r="M78" i="19"/>
  <c r="L92" i="19"/>
  <c r="M84" i="19"/>
  <c r="M141" i="19" s="1"/>
  <c r="L93" i="19"/>
  <c r="AI87" i="26"/>
  <c r="AI104" i="26" s="1"/>
  <c r="AH152" i="26"/>
  <c r="AH128" i="26"/>
  <c r="L149" i="41"/>
  <c r="AI87" i="19"/>
  <c r="AH152" i="19"/>
  <c r="AH76" i="19"/>
  <c r="AH83" i="29"/>
  <c r="AG93" i="29"/>
  <c r="AH82" i="19"/>
  <c r="AH77" i="29"/>
  <c r="AG92" i="29"/>
  <c r="AI87" i="27"/>
  <c r="AH152" i="27"/>
  <c r="AH128" i="27"/>
  <c r="AH104" i="27"/>
  <c r="AH85" i="25"/>
  <c r="AH217" i="25" s="1"/>
  <c r="AG169" i="25"/>
  <c r="AI90" i="25"/>
  <c r="AH107" i="25"/>
  <c r="AH79" i="25"/>
  <c r="AH216" i="25" s="1"/>
  <c r="AG168" i="25"/>
  <c r="AH79" i="26"/>
  <c r="AG140" i="26"/>
  <c r="AG116" i="26"/>
  <c r="AG92" i="26"/>
  <c r="AG213" i="26"/>
  <c r="AG189" i="26"/>
  <c r="AG165" i="26"/>
  <c r="AG286" i="26"/>
  <c r="AG262" i="26"/>
  <c r="AG238" i="26"/>
  <c r="AH85" i="26"/>
  <c r="AG117" i="26"/>
  <c r="AG93" i="26"/>
  <c r="AG166" i="26"/>
  <c r="AG141" i="26"/>
  <c r="AG214" i="26"/>
  <c r="AG190" i="26"/>
  <c r="AG287" i="26"/>
  <c r="AG263" i="26"/>
  <c r="AG239" i="26"/>
  <c r="R78" i="29"/>
  <c r="R84" i="29"/>
  <c r="K38" i="19"/>
  <c r="Q37" i="19"/>
  <c r="Q40" i="29"/>
  <c r="Q39" i="29"/>
  <c r="Q36" i="29"/>
  <c r="Q42" i="29"/>
  <c r="Q37" i="29"/>
  <c r="Q30" i="29"/>
  <c r="L154" i="41" l="1"/>
  <c r="L156" i="41" s="1"/>
  <c r="O78" i="28"/>
  <c r="N189" i="28"/>
  <c r="N213" i="28"/>
  <c r="N165" i="28"/>
  <c r="O84" i="28"/>
  <c r="N166" i="28"/>
  <c r="N190" i="28"/>
  <c r="N214" i="28"/>
  <c r="L145" i="29"/>
  <c r="T145" i="29"/>
  <c r="AB145" i="29"/>
  <c r="AJ145" i="29"/>
  <c r="R141" i="29"/>
  <c r="Z141" i="29"/>
  <c r="AH141" i="29"/>
  <c r="Q140" i="29"/>
  <c r="Y140" i="29"/>
  <c r="AG140" i="29"/>
  <c r="Y145" i="29"/>
  <c r="Z145" i="29"/>
  <c r="AA145" i="29"/>
  <c r="M145" i="29"/>
  <c r="U145" i="29"/>
  <c r="AC145" i="29"/>
  <c r="K145" i="29"/>
  <c r="S141" i="29"/>
  <c r="AA141" i="29"/>
  <c r="AI141" i="29"/>
  <c r="R140" i="29"/>
  <c r="Z140" i="29"/>
  <c r="AH140" i="29"/>
  <c r="O141" i="29"/>
  <c r="P141" i="29"/>
  <c r="AI145" i="29"/>
  <c r="N145" i="29"/>
  <c r="V145" i="29"/>
  <c r="AD145" i="29"/>
  <c r="L141" i="29"/>
  <c r="T141" i="29"/>
  <c r="AB141" i="29"/>
  <c r="AJ141" i="29"/>
  <c r="S140" i="29"/>
  <c r="AA140" i="29"/>
  <c r="AI140" i="29"/>
  <c r="AG145" i="29"/>
  <c r="AH145" i="29"/>
  <c r="Q141" i="29"/>
  <c r="O145" i="29"/>
  <c r="W145" i="29"/>
  <c r="AE145" i="29"/>
  <c r="M141" i="29"/>
  <c r="U141" i="29"/>
  <c r="AC141" i="29"/>
  <c r="L140" i="29"/>
  <c r="T140" i="29"/>
  <c r="AB140" i="29"/>
  <c r="AJ140" i="29"/>
  <c r="P145" i="29"/>
  <c r="X145" i="29"/>
  <c r="AF145" i="29"/>
  <c r="N141" i="29"/>
  <c r="V141" i="29"/>
  <c r="AD141" i="29"/>
  <c r="M140" i="29"/>
  <c r="U140" i="29"/>
  <c r="AC140" i="29"/>
  <c r="Q145" i="29"/>
  <c r="W141" i="29"/>
  <c r="AE141" i="29"/>
  <c r="N140" i="29"/>
  <c r="V140" i="29"/>
  <c r="AD140" i="29"/>
  <c r="R145" i="29"/>
  <c r="X141" i="29"/>
  <c r="AF141" i="29"/>
  <c r="O140" i="29"/>
  <c r="W140" i="29"/>
  <c r="AE140" i="29"/>
  <c r="S145" i="29"/>
  <c r="Y141" i="29"/>
  <c r="AG141" i="29"/>
  <c r="P140" i="29"/>
  <c r="X140" i="29"/>
  <c r="AF140" i="29"/>
  <c r="M140" i="19"/>
  <c r="K159" i="41"/>
  <c r="K160" i="41" s="1"/>
  <c r="K73" i="41" s="1"/>
  <c r="AI127" i="27"/>
  <c r="AI103" i="27"/>
  <c r="N151" i="29"/>
  <c r="V151" i="29"/>
  <c r="AD151" i="29"/>
  <c r="W151" i="29"/>
  <c r="AE151" i="29"/>
  <c r="P151" i="29"/>
  <c r="X151" i="29"/>
  <c r="AF151" i="29"/>
  <c r="Q151" i="29"/>
  <c r="Y151" i="29"/>
  <c r="AG151" i="29"/>
  <c r="R151" i="29"/>
  <c r="Z151" i="29"/>
  <c r="AH151" i="29"/>
  <c r="AA151" i="29"/>
  <c r="AI151" i="29"/>
  <c r="L151" i="29"/>
  <c r="AB151" i="29"/>
  <c r="M151" i="29"/>
  <c r="AC151" i="29"/>
  <c r="O151" i="29"/>
  <c r="S151" i="29"/>
  <c r="T151" i="29"/>
  <c r="AJ151" i="29"/>
  <c r="U151" i="29"/>
  <c r="K151" i="29"/>
  <c r="O103" i="19"/>
  <c r="AI103" i="19"/>
  <c r="K103" i="19"/>
  <c r="AF103" i="19"/>
  <c r="Y103" i="19"/>
  <c r="W103" i="19"/>
  <c r="L103" i="19"/>
  <c r="N103" i="19"/>
  <c r="AG103" i="19"/>
  <c r="AH103" i="19"/>
  <c r="AA103" i="19"/>
  <c r="AE103" i="19"/>
  <c r="T103" i="19"/>
  <c r="V103" i="19"/>
  <c r="Q103" i="19"/>
  <c r="S103" i="19"/>
  <c r="X103" i="19"/>
  <c r="R103" i="19"/>
  <c r="AB103" i="19"/>
  <c r="AD103" i="19"/>
  <c r="Z103" i="19"/>
  <c r="P103" i="19"/>
  <c r="M103" i="19"/>
  <c r="U103" i="19"/>
  <c r="AC103" i="19"/>
  <c r="AI155" i="25"/>
  <c r="N84" i="19"/>
  <c r="N141" i="19" s="1"/>
  <c r="M93" i="19"/>
  <c r="N78" i="19"/>
  <c r="M92" i="19"/>
  <c r="AJ87" i="19"/>
  <c r="AI152" i="19"/>
  <c r="S152" i="29"/>
  <c r="AA152" i="29"/>
  <c r="AI152" i="29"/>
  <c r="T152" i="29"/>
  <c r="AB152" i="29"/>
  <c r="AJ152" i="29"/>
  <c r="M152" i="29"/>
  <c r="U152" i="29"/>
  <c r="AC152" i="29"/>
  <c r="N152" i="29"/>
  <c r="V152" i="29"/>
  <c r="AD152" i="29"/>
  <c r="O152" i="29"/>
  <c r="W152" i="29"/>
  <c r="AE152" i="29"/>
  <c r="AF152" i="29"/>
  <c r="AG152" i="29"/>
  <c r="P152" i="29"/>
  <c r="AH152" i="29"/>
  <c r="Q152" i="29"/>
  <c r="R152" i="29"/>
  <c r="X152" i="29"/>
  <c r="Y152" i="29"/>
  <c r="Z152" i="29"/>
  <c r="AI83" i="29"/>
  <c r="AH93" i="29"/>
  <c r="M149" i="41"/>
  <c r="AI82" i="19"/>
  <c r="AI76" i="19"/>
  <c r="AJ87" i="26"/>
  <c r="AI152" i="26"/>
  <c r="AI128" i="26"/>
  <c r="AJ87" i="27"/>
  <c r="AI152" i="27"/>
  <c r="AI128" i="27"/>
  <c r="AI104" i="27"/>
  <c r="AI77" i="29"/>
  <c r="AH92" i="29"/>
  <c r="AJ90" i="25"/>
  <c r="AI107" i="25"/>
  <c r="AI79" i="25"/>
  <c r="AI216" i="25" s="1"/>
  <c r="AH168" i="25"/>
  <c r="AI85" i="25"/>
  <c r="AI217" i="25" s="1"/>
  <c r="AH169" i="25"/>
  <c r="K141" i="29"/>
  <c r="K140" i="29"/>
  <c r="AI85" i="26"/>
  <c r="AH141" i="26"/>
  <c r="AH214" i="26"/>
  <c r="AH190" i="26"/>
  <c r="AH287" i="26"/>
  <c r="AH117" i="26"/>
  <c r="AH93" i="26"/>
  <c r="AH166" i="26"/>
  <c r="AH239" i="26"/>
  <c r="AH263" i="26"/>
  <c r="AI79" i="26"/>
  <c r="AH116" i="26"/>
  <c r="AH92" i="26"/>
  <c r="AH165" i="26"/>
  <c r="AH140" i="26"/>
  <c r="AH213" i="26"/>
  <c r="AH189" i="26"/>
  <c r="AH286" i="26"/>
  <c r="AH262" i="26"/>
  <c r="AH238" i="26"/>
  <c r="S84" i="29"/>
  <c r="S78" i="29"/>
  <c r="AJ103" i="27" l="1"/>
  <c r="AJ104" i="27"/>
  <c r="AJ152" i="27"/>
  <c r="AJ128" i="27"/>
  <c r="AJ104" i="26"/>
  <c r="AJ151" i="26"/>
  <c r="AJ128" i="26"/>
  <c r="AJ152" i="26"/>
  <c r="AJ103" i="26"/>
  <c r="AJ155" i="25"/>
  <c r="AJ154" i="25"/>
  <c r="AJ107" i="25"/>
  <c r="AJ152" i="19"/>
  <c r="AJ151" i="19"/>
  <c r="L159" i="41"/>
  <c r="L160" i="41" s="1"/>
  <c r="L73" i="41" s="1"/>
  <c r="L157" i="41"/>
  <c r="P84" i="28"/>
  <c r="O214" i="28"/>
  <c r="O166" i="28"/>
  <c r="O190" i="28"/>
  <c r="P78" i="28"/>
  <c r="O165" i="28"/>
  <c r="O189" i="28"/>
  <c r="O213" i="28"/>
  <c r="M154" i="41"/>
  <c r="M156" i="41" s="1"/>
  <c r="N140" i="19"/>
  <c r="AJ103" i="19"/>
  <c r="O78" i="19"/>
  <c r="N92" i="19"/>
  <c r="O84" i="19"/>
  <c r="O141" i="19" s="1"/>
  <c r="N93" i="19"/>
  <c r="N149" i="41"/>
  <c r="AJ76" i="19"/>
  <c r="AJ77" i="29"/>
  <c r="AJ92" i="29" s="1"/>
  <c r="AI92" i="29"/>
  <c r="AJ83" i="29"/>
  <c r="AI93" i="29"/>
  <c r="AJ82" i="19"/>
  <c r="AJ85" i="25"/>
  <c r="AI169" i="25"/>
  <c r="AJ79" i="25"/>
  <c r="AI168" i="25"/>
  <c r="AG149" i="29"/>
  <c r="O149" i="29"/>
  <c r="Y149" i="29"/>
  <c r="AC149" i="29"/>
  <c r="AD149" i="29"/>
  <c r="AF149" i="29"/>
  <c r="L149" i="29"/>
  <c r="N149" i="29"/>
  <c r="R149" i="29"/>
  <c r="AA149" i="29"/>
  <c r="U149" i="29"/>
  <c r="X149" i="29"/>
  <c r="M149" i="29"/>
  <c r="Q149" i="29"/>
  <c r="V149" i="29"/>
  <c r="AE149" i="29"/>
  <c r="AJ79" i="26"/>
  <c r="AI140" i="26"/>
  <c r="AI116" i="26"/>
  <c r="AI92" i="26"/>
  <c r="AI213" i="26"/>
  <c r="AI189" i="26"/>
  <c r="AI165" i="26"/>
  <c r="AI286" i="26"/>
  <c r="AI262" i="26"/>
  <c r="AI238" i="26"/>
  <c r="AJ85" i="26"/>
  <c r="AI141" i="26"/>
  <c r="AI214" i="26"/>
  <c r="AI190" i="26"/>
  <c r="AI117" i="26"/>
  <c r="AI93" i="26"/>
  <c r="AI166" i="26"/>
  <c r="AI239" i="26"/>
  <c r="AI287" i="26"/>
  <c r="AI263" i="26"/>
  <c r="T78" i="29"/>
  <c r="T84" i="29"/>
  <c r="T149" i="29"/>
  <c r="AH149" i="29"/>
  <c r="P149" i="29"/>
  <c r="S149" i="29"/>
  <c r="K149" i="29"/>
  <c r="W149" i="29"/>
  <c r="AI149" i="29"/>
  <c r="AJ149" i="29"/>
  <c r="AB149" i="29"/>
  <c r="Z149" i="29"/>
  <c r="AJ166" i="26" l="1"/>
  <c r="AJ190" i="26"/>
  <c r="AJ189" i="26"/>
  <c r="AJ165" i="26"/>
  <c r="AJ168" i="25"/>
  <c r="AJ216" i="25"/>
  <c r="AJ169" i="25"/>
  <c r="AJ217" i="25"/>
  <c r="M159" i="41"/>
  <c r="M160" i="41" s="1"/>
  <c r="M73" i="41" s="1"/>
  <c r="M157" i="41"/>
  <c r="Q78" i="28"/>
  <c r="P213" i="28"/>
  <c r="P189" i="28"/>
  <c r="P165" i="28"/>
  <c r="Q84" i="28"/>
  <c r="P166" i="28"/>
  <c r="P214" i="28"/>
  <c r="P190" i="28"/>
  <c r="N154" i="41"/>
  <c r="N156" i="41" s="1"/>
  <c r="O140" i="19"/>
  <c r="P84" i="19"/>
  <c r="P141" i="19" s="1"/>
  <c r="O93" i="19"/>
  <c r="P78" i="19"/>
  <c r="O92" i="19"/>
  <c r="AJ93" i="29"/>
  <c r="O149" i="41"/>
  <c r="AJ117" i="26"/>
  <c r="AJ93" i="26"/>
  <c r="AJ141" i="26"/>
  <c r="AJ214" i="26"/>
  <c r="AJ287" i="26"/>
  <c r="AJ263" i="26"/>
  <c r="AJ239" i="26"/>
  <c r="AJ140" i="26"/>
  <c r="AJ213" i="26"/>
  <c r="AJ286" i="26"/>
  <c r="AJ116" i="26"/>
  <c r="AJ92" i="26"/>
  <c r="AJ238" i="26"/>
  <c r="AJ262" i="26"/>
  <c r="U84" i="29"/>
  <c r="U78" i="29"/>
  <c r="N159" i="41" l="1"/>
  <c r="N160" i="41" s="1"/>
  <c r="N73" i="41" s="1"/>
  <c r="N157" i="41"/>
  <c r="O154" i="41"/>
  <c r="O156" i="41" s="1"/>
  <c r="R84" i="28"/>
  <c r="Q190" i="28"/>
  <c r="Q166" i="28"/>
  <c r="Q214" i="28"/>
  <c r="R78" i="28"/>
  <c r="Q165" i="28"/>
  <c r="Q189" i="28"/>
  <c r="Q213" i="28"/>
  <c r="P140" i="19"/>
  <c r="Q78" i="19"/>
  <c r="P92" i="19"/>
  <c r="Q84" i="19"/>
  <c r="Q141" i="19" s="1"/>
  <c r="P93" i="19"/>
  <c r="P149" i="41"/>
  <c r="V78" i="29"/>
  <c r="V84" i="29"/>
  <c r="O159" i="41" l="1"/>
  <c r="O160" i="41" s="1"/>
  <c r="O73" i="41" s="1"/>
  <c r="O157" i="41"/>
  <c r="P154" i="41"/>
  <c r="P156" i="41" s="1"/>
  <c r="S78" i="28"/>
  <c r="R213" i="28"/>
  <c r="R165" i="28"/>
  <c r="R189" i="28"/>
  <c r="S84" i="28"/>
  <c r="R214" i="28"/>
  <c r="R190" i="28"/>
  <c r="R166" i="28"/>
  <c r="Q140" i="19"/>
  <c r="R84" i="19"/>
  <c r="R141" i="19" s="1"/>
  <c r="Q93" i="19"/>
  <c r="R78" i="19"/>
  <c r="Q92" i="19"/>
  <c r="Q149" i="41"/>
  <c r="W84" i="29"/>
  <c r="W78" i="29"/>
  <c r="P159" i="41" l="1"/>
  <c r="P160" i="41" s="1"/>
  <c r="P73" i="41" s="1"/>
  <c r="P157" i="41"/>
  <c r="T84" i="28"/>
  <c r="S190" i="28"/>
  <c r="S166" i="28"/>
  <c r="S214" i="28"/>
  <c r="T78" i="28"/>
  <c r="S165" i="28"/>
  <c r="S213" i="28"/>
  <c r="S189" i="28"/>
  <c r="Q154" i="41"/>
  <c r="Q156" i="41" s="1"/>
  <c r="R140" i="19"/>
  <c r="S78" i="19"/>
  <c r="R92" i="19"/>
  <c r="S84" i="19"/>
  <c r="S141" i="19" s="1"/>
  <c r="R93" i="19"/>
  <c r="R149" i="41"/>
  <c r="X78" i="29"/>
  <c r="X84" i="29"/>
  <c r="Q159" i="41" l="1"/>
  <c r="Q160" i="41" s="1"/>
  <c r="Q73" i="41" s="1"/>
  <c r="Q157" i="41"/>
  <c r="R154" i="41"/>
  <c r="R156" i="41" s="1"/>
  <c r="U78" i="28"/>
  <c r="T213" i="28"/>
  <c r="T165" i="28"/>
  <c r="T189" i="28"/>
  <c r="U84" i="28"/>
  <c r="T166" i="28"/>
  <c r="T214" i="28"/>
  <c r="T190" i="28"/>
  <c r="S140" i="19"/>
  <c r="T84" i="19"/>
  <c r="T141" i="19" s="1"/>
  <c r="S93" i="19"/>
  <c r="T78" i="19"/>
  <c r="S92" i="19"/>
  <c r="S149" i="41"/>
  <c r="Y84" i="29"/>
  <c r="Y78" i="29"/>
  <c r="R159" i="41" l="1"/>
  <c r="R160" i="41" s="1"/>
  <c r="R73" i="41" s="1"/>
  <c r="R157" i="41"/>
  <c r="S154" i="41"/>
  <c r="S156" i="41" s="1"/>
  <c r="S159" i="41" s="1"/>
  <c r="V84" i="28"/>
  <c r="U190" i="28"/>
  <c r="U214" i="28"/>
  <c r="U166" i="28"/>
  <c r="V78" i="28"/>
  <c r="U189" i="28"/>
  <c r="U165" i="28"/>
  <c r="U213" i="28"/>
  <c r="T140" i="19"/>
  <c r="U78" i="19"/>
  <c r="T92" i="19"/>
  <c r="U84" i="19"/>
  <c r="U141" i="19" s="1"/>
  <c r="T93" i="19"/>
  <c r="T149" i="41"/>
  <c r="Z78" i="29"/>
  <c r="Z84" i="29"/>
  <c r="S157" i="41" l="1"/>
  <c r="T154" i="41"/>
  <c r="T156" i="41" s="1"/>
  <c r="W78" i="28"/>
  <c r="V213" i="28"/>
  <c r="V165" i="28"/>
  <c r="V189" i="28"/>
  <c r="W84" i="28"/>
  <c r="V166" i="28"/>
  <c r="V214" i="28"/>
  <c r="V190" i="28"/>
  <c r="U140" i="19"/>
  <c r="S160" i="41"/>
  <c r="S73" i="41" s="1"/>
  <c r="V84" i="19"/>
  <c r="V141" i="19" s="1"/>
  <c r="U93" i="19"/>
  <c r="V78" i="19"/>
  <c r="U92" i="19"/>
  <c r="U149" i="41"/>
  <c r="AA84" i="29"/>
  <c r="AA78" i="29"/>
  <c r="T159" i="41" l="1"/>
  <c r="T160" i="41" s="1"/>
  <c r="T73" i="41" s="1"/>
  <c r="T157" i="41"/>
  <c r="X84" i="28"/>
  <c r="W214" i="28"/>
  <c r="W166" i="28"/>
  <c r="W190" i="28"/>
  <c r="X78" i="28"/>
  <c r="W165" i="28"/>
  <c r="W213" i="28"/>
  <c r="W189" i="28"/>
  <c r="U154" i="41"/>
  <c r="U156" i="41" s="1"/>
  <c r="V140" i="19"/>
  <c r="W78" i="19"/>
  <c r="V92" i="19"/>
  <c r="W84" i="19"/>
  <c r="W141" i="19" s="1"/>
  <c r="V93" i="19"/>
  <c r="V149" i="41"/>
  <c r="AB78" i="29"/>
  <c r="AB84" i="29"/>
  <c r="U159" i="41" l="1"/>
  <c r="U160" i="41" s="1"/>
  <c r="U73" i="41" s="1"/>
  <c r="U157" i="41"/>
  <c r="V154" i="41"/>
  <c r="V156" i="41" s="1"/>
  <c r="Y78" i="28"/>
  <c r="X189" i="28"/>
  <c r="X213" i="28"/>
  <c r="X165" i="28"/>
  <c r="Y84" i="28"/>
  <c r="X214" i="28"/>
  <c r="X166" i="28"/>
  <c r="X190" i="28"/>
  <c r="W140" i="19"/>
  <c r="X84" i="19"/>
  <c r="X141" i="19" s="1"/>
  <c r="W93" i="19"/>
  <c r="X78" i="19"/>
  <c r="W92" i="19"/>
  <c r="W149" i="41"/>
  <c r="AC84" i="29"/>
  <c r="AC78" i="29"/>
  <c r="V159" i="41" l="1"/>
  <c r="V160" i="41" s="1"/>
  <c r="V73" i="41" s="1"/>
  <c r="V157" i="41"/>
  <c r="W154" i="41"/>
  <c r="W156" i="41" s="1"/>
  <c r="Z84" i="28"/>
  <c r="Y214" i="28"/>
  <c r="Y190" i="28"/>
  <c r="Y166" i="28"/>
  <c r="Z78" i="28"/>
  <c r="Y165" i="28"/>
  <c r="Y189" i="28"/>
  <c r="Y213" i="28"/>
  <c r="X140" i="19"/>
  <c r="Y78" i="19"/>
  <c r="X92" i="19"/>
  <c r="Y84" i="19"/>
  <c r="Y141" i="19" s="1"/>
  <c r="X93" i="19"/>
  <c r="X149" i="41"/>
  <c r="AD78" i="29"/>
  <c r="AD84" i="29"/>
  <c r="W159" i="41" l="1"/>
  <c r="W160" i="41" s="1"/>
  <c r="W73" i="41" s="1"/>
  <c r="W157" i="41"/>
  <c r="X154" i="41"/>
  <c r="X156" i="41" s="1"/>
  <c r="AA78" i="28"/>
  <c r="Z189" i="28"/>
  <c r="Z213" i="28"/>
  <c r="Z165" i="28"/>
  <c r="AA84" i="28"/>
  <c r="Z166" i="28"/>
  <c r="Z214" i="28"/>
  <c r="Z190" i="28"/>
  <c r="Y140" i="19"/>
  <c r="Z84" i="19"/>
  <c r="Z141" i="19" s="1"/>
  <c r="Y93" i="19"/>
  <c r="Z78" i="19"/>
  <c r="Y92" i="19"/>
  <c r="Y149" i="41"/>
  <c r="AE84" i="29"/>
  <c r="AE78" i="29"/>
  <c r="X159" i="41" l="1"/>
  <c r="X160" i="41" s="1"/>
  <c r="X73" i="41" s="1"/>
  <c r="X157" i="41"/>
  <c r="Y154" i="41"/>
  <c r="Y156" i="41" s="1"/>
  <c r="AB84" i="28"/>
  <c r="AA166" i="28"/>
  <c r="AA190" i="28"/>
  <c r="AA214" i="28"/>
  <c r="AB78" i="28"/>
  <c r="AA213" i="28"/>
  <c r="AA165" i="28"/>
  <c r="AA189" i="28"/>
  <c r="Z140" i="19"/>
  <c r="AA78" i="19"/>
  <c r="Z92" i="19"/>
  <c r="AA84" i="19"/>
  <c r="AA141" i="19" s="1"/>
  <c r="Z93" i="19"/>
  <c r="Z149" i="41"/>
  <c r="AF78" i="29"/>
  <c r="AF84" i="29"/>
  <c r="Y159" i="41" l="1"/>
  <c r="Y160" i="41" s="1"/>
  <c r="Y73" i="41" s="1"/>
  <c r="Y157" i="41"/>
  <c r="Z154" i="41"/>
  <c r="Z156" i="41" s="1"/>
  <c r="AC78" i="28"/>
  <c r="AB213" i="28"/>
  <c r="AB189" i="28"/>
  <c r="AB165" i="28"/>
  <c r="AC84" i="28"/>
  <c r="AB214" i="28"/>
  <c r="AB166" i="28"/>
  <c r="AB190" i="28"/>
  <c r="AA140" i="19"/>
  <c r="AB84" i="19"/>
  <c r="AB141" i="19" s="1"/>
  <c r="AA93" i="19"/>
  <c r="AB78" i="19"/>
  <c r="AA92" i="19"/>
  <c r="AA149" i="41"/>
  <c r="AG84" i="29"/>
  <c r="AG78" i="29"/>
  <c r="K24" i="19"/>
  <c r="Q24" i="19" s="1"/>
  <c r="P24" i="19" s="1"/>
  <c r="K23" i="19"/>
  <c r="Q21" i="19"/>
  <c r="Q20" i="19"/>
  <c r="Q19" i="19"/>
  <c r="Q18" i="19"/>
  <c r="Z159" i="41" l="1"/>
  <c r="Z160" i="41" s="1"/>
  <c r="Z73" i="41" s="1"/>
  <c r="Z157" i="41"/>
  <c r="AA154" i="41"/>
  <c r="AA156" i="41" s="1"/>
  <c r="AA159" i="41" s="1"/>
  <c r="AD84" i="28"/>
  <c r="AC166" i="28"/>
  <c r="AC214" i="28"/>
  <c r="AC190" i="28"/>
  <c r="AD78" i="28"/>
  <c r="AC213" i="28"/>
  <c r="AC189" i="28"/>
  <c r="AC165" i="28"/>
  <c r="AB140" i="19"/>
  <c r="AC78" i="19"/>
  <c r="AB92" i="19"/>
  <c r="AC84" i="19"/>
  <c r="AC141" i="19" s="1"/>
  <c r="AB93" i="19"/>
  <c r="AB149" i="41"/>
  <c r="AH78" i="29"/>
  <c r="AH84" i="29"/>
  <c r="AC23" i="19"/>
  <c r="Q23" i="19"/>
  <c r="P23" i="19" s="1"/>
  <c r="AC24" i="19"/>
  <c r="J47" i="38"/>
  <c r="J49" i="38" s="1"/>
  <c r="I47" i="38"/>
  <c r="H47" i="38"/>
  <c r="G47" i="38"/>
  <c r="G49" i="38" s="1"/>
  <c r="F47" i="38"/>
  <c r="F49" i="38" s="1"/>
  <c r="E47" i="38"/>
  <c r="E49" i="38" s="1"/>
  <c r="D47" i="38"/>
  <c r="D49" i="38" s="1"/>
  <c r="C49" i="38"/>
  <c r="K44" i="28"/>
  <c r="K42" i="28"/>
  <c r="AC18" i="28"/>
  <c r="Q18" i="28"/>
  <c r="K18" i="28"/>
  <c r="K52" i="28" s="1"/>
  <c r="AC17" i="28"/>
  <c r="Q17" i="28"/>
  <c r="K17" i="28"/>
  <c r="AC16" i="28"/>
  <c r="Q16" i="28"/>
  <c r="K16" i="28"/>
  <c r="L71" i="27"/>
  <c r="M71" i="27" s="1"/>
  <c r="N71" i="27" s="1"/>
  <c r="O71" i="27" s="1"/>
  <c r="P71" i="27" s="1"/>
  <c r="Q71" i="27" s="1"/>
  <c r="R71" i="27" s="1"/>
  <c r="S71" i="27" s="1"/>
  <c r="T71" i="27" s="1"/>
  <c r="U71" i="27" s="1"/>
  <c r="V71" i="27" s="1"/>
  <c r="W71" i="27" s="1"/>
  <c r="X71" i="27" s="1"/>
  <c r="Y71" i="27" s="1"/>
  <c r="Z71" i="27" s="1"/>
  <c r="AA71" i="27" s="1"/>
  <c r="AB71" i="27" s="1"/>
  <c r="AC71" i="27" s="1"/>
  <c r="AD71" i="27" s="1"/>
  <c r="AE71" i="27" s="1"/>
  <c r="AF71" i="27" s="1"/>
  <c r="AG71" i="27" s="1"/>
  <c r="AH71" i="27" s="1"/>
  <c r="AI71" i="27" s="1"/>
  <c r="AJ71" i="27" s="1"/>
  <c r="Q42" i="27"/>
  <c r="K127" i="27" s="1"/>
  <c r="AC37" i="27"/>
  <c r="Q37" i="27"/>
  <c r="K37" i="27"/>
  <c r="K36" i="27"/>
  <c r="AC35" i="27"/>
  <c r="Q35" i="27"/>
  <c r="K35" i="27"/>
  <c r="Q30" i="27"/>
  <c r="K30" i="27"/>
  <c r="Q29" i="27"/>
  <c r="K29" i="27"/>
  <c r="Q28" i="27"/>
  <c r="K28" i="27"/>
  <c r="Q27" i="27"/>
  <c r="K27" i="27"/>
  <c r="Q26" i="27"/>
  <c r="K26" i="27"/>
  <c r="Q25" i="27"/>
  <c r="K25" i="27"/>
  <c r="L71" i="26"/>
  <c r="Q40" i="26"/>
  <c r="K127" i="26" s="1"/>
  <c r="Q27" i="26"/>
  <c r="K27" i="26"/>
  <c r="Q26" i="26"/>
  <c r="K26" i="26"/>
  <c r="Q25" i="26"/>
  <c r="K25" i="26"/>
  <c r="L74" i="25"/>
  <c r="M74" i="25" s="1"/>
  <c r="N74" i="25" s="1"/>
  <c r="O74" i="25" s="1"/>
  <c r="P74" i="25" s="1"/>
  <c r="Q74" i="25" s="1"/>
  <c r="R74" i="25" s="1"/>
  <c r="S74" i="25" s="1"/>
  <c r="T74" i="25" s="1"/>
  <c r="U74" i="25" s="1"/>
  <c r="V74" i="25" s="1"/>
  <c r="W74" i="25" s="1"/>
  <c r="X74" i="25" s="1"/>
  <c r="Y74" i="25" s="1"/>
  <c r="Z74" i="25" s="1"/>
  <c r="AA74" i="25" s="1"/>
  <c r="AB74" i="25" s="1"/>
  <c r="AC74" i="25" s="1"/>
  <c r="AD74" i="25" s="1"/>
  <c r="AE74" i="25" s="1"/>
  <c r="AF74" i="25" s="1"/>
  <c r="AG74" i="25" s="1"/>
  <c r="AH74" i="25" s="1"/>
  <c r="AI74" i="25" s="1"/>
  <c r="AJ74" i="25" s="1"/>
  <c r="Q48" i="25"/>
  <c r="Q45" i="25"/>
  <c r="Q51" i="25"/>
  <c r="Q46" i="25"/>
  <c r="Q42" i="25"/>
  <c r="K42" i="25"/>
  <c r="Q41" i="25"/>
  <c r="K41" i="25"/>
  <c r="Q40" i="25"/>
  <c r="K40" i="25"/>
  <c r="Q31" i="25"/>
  <c r="Q30" i="25"/>
  <c r="Q29" i="25"/>
  <c r="Q28" i="25"/>
  <c r="K25" i="25"/>
  <c r="L71" i="19"/>
  <c r="M71" i="19" s="1"/>
  <c r="N71" i="19" s="1"/>
  <c r="O71" i="19" s="1"/>
  <c r="P71" i="19" s="1"/>
  <c r="Q71" i="19" s="1"/>
  <c r="R71" i="19" s="1"/>
  <c r="S71" i="19" s="1"/>
  <c r="T71" i="19" s="1"/>
  <c r="U71" i="19" s="1"/>
  <c r="V71" i="19" s="1"/>
  <c r="W71" i="19" s="1"/>
  <c r="X71" i="19" s="1"/>
  <c r="Y71" i="19" s="1"/>
  <c r="Z71" i="19" s="1"/>
  <c r="AA71" i="19" s="1"/>
  <c r="AB71" i="19" s="1"/>
  <c r="AC71" i="19" s="1"/>
  <c r="AD71" i="19" s="1"/>
  <c r="AE71" i="19" s="1"/>
  <c r="AF71" i="19" s="1"/>
  <c r="AG71" i="19" s="1"/>
  <c r="AH71" i="19" s="1"/>
  <c r="AI71" i="19" s="1"/>
  <c r="AJ71" i="19" s="1"/>
  <c r="K40" i="19"/>
  <c r="Q43" i="19"/>
  <c r="Q38" i="19"/>
  <c r="K21" i="19"/>
  <c r="AD21" i="19" s="1"/>
  <c r="K20" i="19"/>
  <c r="AD20" i="19" s="1"/>
  <c r="K19" i="19"/>
  <c r="AD19" i="19" s="1"/>
  <c r="K18" i="19"/>
  <c r="AD18" i="19" s="1"/>
  <c r="K154" i="29"/>
  <c r="Q22" i="29"/>
  <c r="K22" i="29"/>
  <c r="Q21" i="29"/>
  <c r="K21" i="29"/>
  <c r="Q18" i="29"/>
  <c r="Q24" i="29"/>
  <c r="K19" i="29"/>
  <c r="K103" i="29" s="1"/>
  <c r="Q19" i="29"/>
  <c r="Q11" i="29"/>
  <c r="K11" i="29"/>
  <c r="J2" i="38"/>
  <c r="G2" i="38"/>
  <c r="F2" i="38"/>
  <c r="E2" i="38"/>
  <c r="D2" i="38"/>
  <c r="C2" i="38"/>
  <c r="J33" i="26" l="1"/>
  <c r="K51" i="28"/>
  <c r="J29" i="28" s="1"/>
  <c r="P33" i="26"/>
  <c r="AB103" i="28"/>
  <c r="AC103" i="28"/>
  <c r="AD103" i="28"/>
  <c r="P103" i="28"/>
  <c r="Y103" i="28"/>
  <c r="AH103" i="28"/>
  <c r="AJ103" i="28"/>
  <c r="K103" i="28"/>
  <c r="O103" i="28"/>
  <c r="X103" i="28"/>
  <c r="AG103" i="28"/>
  <c r="S103" i="28"/>
  <c r="L103" i="28"/>
  <c r="M103" i="28"/>
  <c r="N103" i="28"/>
  <c r="W103" i="28"/>
  <c r="AF103" i="28"/>
  <c r="R103" i="28"/>
  <c r="AA103" i="28"/>
  <c r="T103" i="28"/>
  <c r="U103" i="28"/>
  <c r="V103" i="28"/>
  <c r="AE103" i="28"/>
  <c r="Q103" i="28"/>
  <c r="Z103" i="28"/>
  <c r="AI103" i="28"/>
  <c r="L152" i="29"/>
  <c r="K104" i="19"/>
  <c r="K152" i="19"/>
  <c r="L152" i="19"/>
  <c r="M152" i="19"/>
  <c r="N152" i="19"/>
  <c r="O152" i="19"/>
  <c r="AA157" i="41"/>
  <c r="AB154" i="41"/>
  <c r="AB156" i="41" s="1"/>
  <c r="AE78" i="28"/>
  <c r="AD213" i="28"/>
  <c r="AD189" i="28"/>
  <c r="AD165" i="28"/>
  <c r="AE84" i="28"/>
  <c r="AD214" i="28"/>
  <c r="AD190" i="28"/>
  <c r="AD166" i="28"/>
  <c r="K128" i="29"/>
  <c r="Q121" i="29"/>
  <c r="Y121" i="29"/>
  <c r="AG121" i="29"/>
  <c r="R121" i="29"/>
  <c r="Z121" i="29"/>
  <c r="AH121" i="29"/>
  <c r="L121" i="29"/>
  <c r="AB121" i="29"/>
  <c r="X121" i="29"/>
  <c r="K121" i="29"/>
  <c r="S121" i="29"/>
  <c r="AA121" i="29"/>
  <c r="AI121" i="29"/>
  <c r="T121" i="29"/>
  <c r="AJ121" i="29"/>
  <c r="O121" i="29"/>
  <c r="W121" i="29"/>
  <c r="AE121" i="29"/>
  <c r="P121" i="29"/>
  <c r="AF121" i="29"/>
  <c r="M121" i="29"/>
  <c r="U121" i="29"/>
  <c r="AC121" i="29"/>
  <c r="N121" i="29"/>
  <c r="V121" i="29"/>
  <c r="AD121" i="29"/>
  <c r="AJ193" i="25"/>
  <c r="AJ192" i="25"/>
  <c r="AJ130" i="25"/>
  <c r="AJ131" i="25"/>
  <c r="L193" i="25"/>
  <c r="K193" i="25"/>
  <c r="K192" i="25"/>
  <c r="K131" i="25"/>
  <c r="L192" i="25"/>
  <c r="AJ104" i="28"/>
  <c r="K104" i="28"/>
  <c r="L104" i="28"/>
  <c r="M104" i="28"/>
  <c r="N104" i="28"/>
  <c r="O104" i="28"/>
  <c r="P104" i="28"/>
  <c r="Q104" i="28"/>
  <c r="R104" i="28"/>
  <c r="S104" i="28"/>
  <c r="T104" i="28"/>
  <c r="U104" i="28"/>
  <c r="V104" i="28"/>
  <c r="W104" i="28"/>
  <c r="X104" i="28"/>
  <c r="Y104" i="28"/>
  <c r="Z104" i="28"/>
  <c r="AA104" i="28"/>
  <c r="AB104" i="28"/>
  <c r="AC104" i="28"/>
  <c r="AD104" i="28"/>
  <c r="AE104" i="28"/>
  <c r="AF104" i="28"/>
  <c r="AG104" i="28"/>
  <c r="AH104" i="28"/>
  <c r="AI104" i="28"/>
  <c r="AJ128" i="19"/>
  <c r="L116" i="19"/>
  <c r="M116" i="19"/>
  <c r="N116" i="19"/>
  <c r="O116" i="19"/>
  <c r="P116" i="19"/>
  <c r="Q116" i="19"/>
  <c r="R116" i="19"/>
  <c r="S116" i="19"/>
  <c r="T116" i="19"/>
  <c r="U116" i="19"/>
  <c r="V116" i="19"/>
  <c r="W116" i="19"/>
  <c r="X116" i="19"/>
  <c r="Y116" i="19"/>
  <c r="Z116" i="19"/>
  <c r="AA116" i="19"/>
  <c r="AB116" i="19"/>
  <c r="R19" i="19"/>
  <c r="AC116" i="19"/>
  <c r="AC140" i="19"/>
  <c r="AA160" i="41"/>
  <c r="AA73" i="41" s="1"/>
  <c r="AC52" i="28"/>
  <c r="Q52" i="28"/>
  <c r="K32" i="25"/>
  <c r="J32" i="25" s="1"/>
  <c r="R21" i="19"/>
  <c r="R20" i="19"/>
  <c r="R18" i="19"/>
  <c r="M71" i="26"/>
  <c r="Q32" i="25"/>
  <c r="AC53" i="28"/>
  <c r="AC54" i="28" s="1"/>
  <c r="AC55" i="28" s="1"/>
  <c r="AB11" i="28" s="1"/>
  <c r="AC51" i="28"/>
  <c r="Q53" i="28"/>
  <c r="Q51" i="28"/>
  <c r="P29" i="28" s="1"/>
  <c r="N127" i="26"/>
  <c r="N130" i="25"/>
  <c r="V130" i="25"/>
  <c r="AE130" i="25"/>
  <c r="O130" i="25"/>
  <c r="W130" i="25"/>
  <c r="AF130" i="25"/>
  <c r="Q130" i="25"/>
  <c r="Y130" i="25"/>
  <c r="AH130" i="25"/>
  <c r="R130" i="25"/>
  <c r="AA130" i="25"/>
  <c r="AI130" i="25"/>
  <c r="S130" i="25"/>
  <c r="AB130" i="25"/>
  <c r="L130" i="25"/>
  <c r="T130" i="25"/>
  <c r="AC130" i="25"/>
  <c r="K130" i="25"/>
  <c r="M130" i="25"/>
  <c r="U130" i="25"/>
  <c r="AD130" i="25"/>
  <c r="P130" i="25"/>
  <c r="X130" i="25"/>
  <c r="AG130" i="25"/>
  <c r="Z130" i="25"/>
  <c r="Q127" i="19"/>
  <c r="Y127" i="19"/>
  <c r="AG127" i="19"/>
  <c r="L127" i="19"/>
  <c r="T127" i="19"/>
  <c r="AB127" i="19"/>
  <c r="AJ127" i="19"/>
  <c r="M127" i="19"/>
  <c r="U127" i="19"/>
  <c r="AC127" i="19"/>
  <c r="K127" i="19"/>
  <c r="N127" i="19"/>
  <c r="V127" i="19"/>
  <c r="AD127" i="19"/>
  <c r="O127" i="19"/>
  <c r="W127" i="19"/>
  <c r="AE127" i="19"/>
  <c r="P127" i="19"/>
  <c r="X127" i="19"/>
  <c r="AF127" i="19"/>
  <c r="R127" i="19"/>
  <c r="S127" i="19"/>
  <c r="Z127" i="19"/>
  <c r="AA127" i="19"/>
  <c r="AH127" i="19"/>
  <c r="AI127" i="19"/>
  <c r="M127" i="29"/>
  <c r="Q127" i="29"/>
  <c r="U127" i="29"/>
  <c r="Y127" i="29"/>
  <c r="AC127" i="29"/>
  <c r="AG127" i="29"/>
  <c r="K127" i="29"/>
  <c r="T127" i="29"/>
  <c r="AF127" i="29"/>
  <c r="N127" i="29"/>
  <c r="R127" i="29"/>
  <c r="V127" i="29"/>
  <c r="Z127" i="29"/>
  <c r="AD127" i="29"/>
  <c r="AH127" i="29"/>
  <c r="P127" i="29"/>
  <c r="AB127" i="29"/>
  <c r="O127" i="29"/>
  <c r="S127" i="29"/>
  <c r="W127" i="29"/>
  <c r="AA127" i="29"/>
  <c r="AE127" i="29"/>
  <c r="AI127" i="29"/>
  <c r="L127" i="29"/>
  <c r="X127" i="29"/>
  <c r="AJ127" i="29"/>
  <c r="L103" i="29"/>
  <c r="N103" i="29"/>
  <c r="R103" i="29"/>
  <c r="V103" i="29"/>
  <c r="Z103" i="29"/>
  <c r="AD103" i="29"/>
  <c r="AH103" i="29"/>
  <c r="T103" i="29"/>
  <c r="AB103" i="29"/>
  <c r="AJ103" i="29"/>
  <c r="M103" i="29"/>
  <c r="U103" i="29"/>
  <c r="AC103" i="29"/>
  <c r="O103" i="29"/>
  <c r="S103" i="29"/>
  <c r="W103" i="29"/>
  <c r="AA103" i="29"/>
  <c r="AE103" i="29"/>
  <c r="AI103" i="29"/>
  <c r="P103" i="29"/>
  <c r="X103" i="29"/>
  <c r="AF103" i="29"/>
  <c r="Q103" i="29"/>
  <c r="Y103" i="29"/>
  <c r="AG103" i="29"/>
  <c r="AA96" i="30"/>
  <c r="AA93" i="30"/>
  <c r="Z96" i="30"/>
  <c r="Z93" i="30"/>
  <c r="AA99" i="30"/>
  <c r="AA79" i="30"/>
  <c r="Z99" i="30"/>
  <c r="Z79" i="30"/>
  <c r="K21" i="48"/>
  <c r="AD84" i="19"/>
  <c r="AC93" i="19"/>
  <c r="AD78" i="19"/>
  <c r="AC92" i="19"/>
  <c r="K128" i="19"/>
  <c r="K152" i="29"/>
  <c r="R128" i="29"/>
  <c r="Z128" i="29"/>
  <c r="AH128" i="29"/>
  <c r="S128" i="29"/>
  <c r="AA128" i="29"/>
  <c r="AI128" i="29"/>
  <c r="L128" i="29"/>
  <c r="T128" i="29"/>
  <c r="AB128" i="29"/>
  <c r="AJ128" i="29"/>
  <c r="M128" i="29"/>
  <c r="U128" i="29"/>
  <c r="AC128" i="29"/>
  <c r="N128" i="29"/>
  <c r="V128" i="29"/>
  <c r="AD128" i="29"/>
  <c r="Y128" i="29"/>
  <c r="AE128" i="29"/>
  <c r="AF128" i="29"/>
  <c r="O128" i="29"/>
  <c r="AG128" i="29"/>
  <c r="P128" i="29"/>
  <c r="Q128" i="29"/>
  <c r="W128" i="29"/>
  <c r="X128" i="29"/>
  <c r="L131" i="25"/>
  <c r="T131" i="25"/>
  <c r="AB131" i="25"/>
  <c r="M131" i="25"/>
  <c r="U131" i="25"/>
  <c r="AC131" i="25"/>
  <c r="N131" i="25"/>
  <c r="V131" i="25"/>
  <c r="AD131" i="25"/>
  <c r="O131" i="25"/>
  <c r="W131" i="25"/>
  <c r="AE131" i="25"/>
  <c r="P131" i="25"/>
  <c r="X131" i="25"/>
  <c r="AF131" i="25"/>
  <c r="Q131" i="25"/>
  <c r="Y131" i="25"/>
  <c r="AG131" i="25"/>
  <c r="AA131" i="25"/>
  <c r="AH131" i="25"/>
  <c r="AI131" i="25"/>
  <c r="R131" i="25"/>
  <c r="S131" i="25"/>
  <c r="Z131" i="25"/>
  <c r="AC149" i="41"/>
  <c r="L128" i="19"/>
  <c r="P128" i="19"/>
  <c r="T128" i="19"/>
  <c r="X128" i="19"/>
  <c r="AB128" i="19"/>
  <c r="AF128" i="19"/>
  <c r="M128" i="19"/>
  <c r="Q128" i="19"/>
  <c r="U128" i="19"/>
  <c r="Y128" i="19"/>
  <c r="AC128" i="19"/>
  <c r="AG128" i="19"/>
  <c r="N128" i="19"/>
  <c r="R128" i="19"/>
  <c r="V128" i="19"/>
  <c r="Z128" i="19"/>
  <c r="AD128" i="19"/>
  <c r="AH128" i="19"/>
  <c r="O128" i="19"/>
  <c r="S128" i="19"/>
  <c r="W128" i="19"/>
  <c r="AA128" i="19"/>
  <c r="AE128" i="19"/>
  <c r="AI128" i="19"/>
  <c r="M104" i="19"/>
  <c r="Q104" i="19"/>
  <c r="U104" i="19"/>
  <c r="Y104" i="19"/>
  <c r="AC104" i="19"/>
  <c r="AG104" i="19"/>
  <c r="V104" i="19"/>
  <c r="AD104" i="19"/>
  <c r="N104" i="19"/>
  <c r="O104" i="19"/>
  <c r="S104" i="19"/>
  <c r="W104" i="19"/>
  <c r="AA104" i="19"/>
  <c r="AE104" i="19"/>
  <c r="AI104" i="19"/>
  <c r="L104" i="19"/>
  <c r="P104" i="19"/>
  <c r="T104" i="19"/>
  <c r="X104" i="19"/>
  <c r="AB104" i="19"/>
  <c r="AF104" i="19"/>
  <c r="AJ104" i="19"/>
  <c r="R104" i="19"/>
  <c r="Z104" i="19"/>
  <c r="AH104" i="19"/>
  <c r="Q31" i="29"/>
  <c r="O97" i="29"/>
  <c r="W97" i="29"/>
  <c r="L97" i="29"/>
  <c r="AF97" i="29"/>
  <c r="M97" i="29"/>
  <c r="Q97" i="29"/>
  <c r="U97" i="29"/>
  <c r="Y97" i="29"/>
  <c r="AC97" i="29"/>
  <c r="AG97" i="29"/>
  <c r="K97" i="29"/>
  <c r="S97" i="29"/>
  <c r="AA97" i="29"/>
  <c r="AI97" i="29"/>
  <c r="T97" i="29"/>
  <c r="AB97" i="29"/>
  <c r="N97" i="29"/>
  <c r="R97" i="29"/>
  <c r="V97" i="29"/>
  <c r="Z97" i="29"/>
  <c r="AD97" i="29"/>
  <c r="AH97" i="29"/>
  <c r="AE97" i="29"/>
  <c r="P97" i="29"/>
  <c r="X97" i="29"/>
  <c r="AJ97" i="29"/>
  <c r="T104" i="29"/>
  <c r="X104" i="29"/>
  <c r="AB104" i="29"/>
  <c r="AF104" i="29"/>
  <c r="AJ104" i="29"/>
  <c r="O104" i="29"/>
  <c r="S104" i="29"/>
  <c r="U104" i="29"/>
  <c r="Y104" i="29"/>
  <c r="AC104" i="29"/>
  <c r="AG104" i="29"/>
  <c r="L104" i="29"/>
  <c r="P104" i="29"/>
  <c r="V104" i="29"/>
  <c r="AD104" i="29"/>
  <c r="M104" i="29"/>
  <c r="W104" i="29"/>
  <c r="AA104" i="29"/>
  <c r="AE104" i="29"/>
  <c r="AI104" i="29"/>
  <c r="N104" i="29"/>
  <c r="R104" i="29"/>
  <c r="K104" i="29"/>
  <c r="Z104" i="29"/>
  <c r="AH104" i="29"/>
  <c r="Q104" i="29"/>
  <c r="AA73" i="30"/>
  <c r="AA76" i="30"/>
  <c r="K117" i="19"/>
  <c r="Z117" i="19"/>
  <c r="O117" i="19"/>
  <c r="T117" i="19"/>
  <c r="R117" i="19"/>
  <c r="AB117" i="19"/>
  <c r="S117" i="19"/>
  <c r="Y117" i="19"/>
  <c r="N117" i="19"/>
  <c r="X117" i="19"/>
  <c r="M117" i="19"/>
  <c r="W117" i="19"/>
  <c r="V117" i="19"/>
  <c r="Q117" i="19"/>
  <c r="K116" i="19"/>
  <c r="AA117" i="19"/>
  <c r="L117" i="19"/>
  <c r="U117" i="19"/>
  <c r="P117" i="19"/>
  <c r="AC117" i="19"/>
  <c r="K25" i="19"/>
  <c r="L25" i="19" s="1"/>
  <c r="G5" i="24"/>
  <c r="W5" i="23"/>
  <c r="AH192" i="25"/>
  <c r="R192" i="25"/>
  <c r="AB193" i="25"/>
  <c r="AC192" i="25"/>
  <c r="M192" i="25"/>
  <c r="W193" i="25"/>
  <c r="AF192" i="25"/>
  <c r="P192" i="25"/>
  <c r="Z193" i="25"/>
  <c r="W192" i="25"/>
  <c r="AG193" i="25"/>
  <c r="Q193" i="25"/>
  <c r="AD192" i="25"/>
  <c r="N192" i="25"/>
  <c r="X193" i="25"/>
  <c r="Y192" i="25"/>
  <c r="AI193" i="25"/>
  <c r="S193" i="25"/>
  <c r="AB192" i="25"/>
  <c r="V193" i="25"/>
  <c r="AI192" i="25"/>
  <c r="S192" i="25"/>
  <c r="AC193" i="25"/>
  <c r="M193" i="25"/>
  <c r="Z192" i="25"/>
  <c r="T193" i="25"/>
  <c r="U192" i="25"/>
  <c r="AE193" i="25"/>
  <c r="O193" i="25"/>
  <c r="X192" i="25"/>
  <c r="AH193" i="25"/>
  <c r="R193" i="25"/>
  <c r="AE192" i="25"/>
  <c r="O192" i="25"/>
  <c r="Y193" i="25"/>
  <c r="V192" i="25"/>
  <c r="AF193" i="25"/>
  <c r="P193" i="25"/>
  <c r="AG192" i="25"/>
  <c r="Q192" i="25"/>
  <c r="AA193" i="25"/>
  <c r="T192" i="25"/>
  <c r="AD193" i="25"/>
  <c r="N193" i="25"/>
  <c r="AA192" i="25"/>
  <c r="U193" i="25"/>
  <c r="O29" i="23"/>
  <c r="O33" i="23"/>
  <c r="O32" i="23"/>
  <c r="O30" i="23"/>
  <c r="O31" i="23"/>
  <c r="O27" i="23"/>
  <c r="O28" i="23"/>
  <c r="K153" i="29"/>
  <c r="AI84" i="29"/>
  <c r="AI78" i="29"/>
  <c r="L117" i="29"/>
  <c r="P117" i="29"/>
  <c r="T117" i="29"/>
  <c r="X117" i="29"/>
  <c r="AB117" i="29"/>
  <c r="AF117" i="29"/>
  <c r="V116" i="29"/>
  <c r="Z116" i="29"/>
  <c r="AD116" i="29"/>
  <c r="AH116" i="29"/>
  <c r="M116" i="29"/>
  <c r="Q116" i="29"/>
  <c r="M117" i="29"/>
  <c r="Q117" i="29"/>
  <c r="U117" i="29"/>
  <c r="Y117" i="29"/>
  <c r="AC117" i="29"/>
  <c r="AG117" i="29"/>
  <c r="K117" i="29"/>
  <c r="W116" i="29"/>
  <c r="AA116" i="29"/>
  <c r="AE116" i="29"/>
  <c r="AI116" i="29"/>
  <c r="N116" i="29"/>
  <c r="R116" i="29"/>
  <c r="N117" i="29"/>
  <c r="R117" i="29"/>
  <c r="V117" i="29"/>
  <c r="Z117" i="29"/>
  <c r="AD117" i="29"/>
  <c r="AH117" i="29"/>
  <c r="T116" i="29"/>
  <c r="X116" i="29"/>
  <c r="AB116" i="29"/>
  <c r="AF116" i="29"/>
  <c r="O116" i="29"/>
  <c r="S116" i="29"/>
  <c r="O117" i="29"/>
  <c r="S117" i="29"/>
  <c r="W117" i="29"/>
  <c r="AA117" i="29"/>
  <c r="AE117" i="29"/>
  <c r="AI117" i="29"/>
  <c r="U116" i="29"/>
  <c r="Y116" i="29"/>
  <c r="AC116" i="29"/>
  <c r="AG116" i="29"/>
  <c r="L116" i="29"/>
  <c r="P116" i="29"/>
  <c r="K116" i="29"/>
  <c r="Q13" i="29"/>
  <c r="AB34" i="26"/>
  <c r="L71" i="29"/>
  <c r="AC39" i="27"/>
  <c r="AC54" i="27" s="1"/>
  <c r="O24" i="23"/>
  <c r="O26" i="23"/>
  <c r="H49" i="38"/>
  <c r="I49" i="38"/>
  <c r="K39" i="27"/>
  <c r="K55" i="27" s="1"/>
  <c r="Q39" i="27"/>
  <c r="P52" i="27"/>
  <c r="J52" i="27"/>
  <c r="K53" i="28"/>
  <c r="L88" i="29"/>
  <c r="L154" i="29" s="1"/>
  <c r="K19" i="26"/>
  <c r="J29" i="26" s="1"/>
  <c r="K23" i="25"/>
  <c r="AC23" i="25" s="1"/>
  <c r="N2" i="38"/>
  <c r="L18" i="19"/>
  <c r="L21" i="19"/>
  <c r="L20" i="19"/>
  <c r="L19" i="19"/>
  <c r="AB29" i="28" l="1"/>
  <c r="O291" i="28" s="1"/>
  <c r="U218" i="28"/>
  <c r="T218" i="28"/>
  <c r="O218" i="28"/>
  <c r="X218" i="28"/>
  <c r="AG218" i="28"/>
  <c r="AA218" i="28"/>
  <c r="K218" i="28"/>
  <c r="Z218" i="28"/>
  <c r="AC218" i="28"/>
  <c r="N218" i="28"/>
  <c r="W218" i="28"/>
  <c r="AF218" i="28"/>
  <c r="R218" i="28"/>
  <c r="AI218" i="28"/>
  <c r="L218" i="28"/>
  <c r="AE218" i="28"/>
  <c r="M218" i="28"/>
  <c r="S218" i="28"/>
  <c r="AD218" i="28"/>
  <c r="P218" i="28"/>
  <c r="Y218" i="28"/>
  <c r="AH218" i="28"/>
  <c r="AJ218" i="28"/>
  <c r="V218" i="28"/>
  <c r="Q218" i="28"/>
  <c r="AB218" i="28"/>
  <c r="AB159" i="41"/>
  <c r="AB160" i="41" s="1"/>
  <c r="AB73" i="41" s="1"/>
  <c r="AB157" i="41"/>
  <c r="AC154" i="41"/>
  <c r="AC156" i="41" s="1"/>
  <c r="AF84" i="28"/>
  <c r="AE214" i="28"/>
  <c r="AE166" i="28"/>
  <c r="AE190" i="28"/>
  <c r="AF78" i="28"/>
  <c r="AE189" i="28"/>
  <c r="AE213" i="28"/>
  <c r="AE165" i="28"/>
  <c r="M243" i="26"/>
  <c r="U243" i="26"/>
  <c r="AC243" i="26"/>
  <c r="K243" i="26"/>
  <c r="N243" i="26"/>
  <c r="V243" i="26"/>
  <c r="AD243" i="26"/>
  <c r="S243" i="26"/>
  <c r="AI243" i="26"/>
  <c r="AB243" i="26"/>
  <c r="O243" i="26"/>
  <c r="W243" i="26"/>
  <c r="AE243" i="26"/>
  <c r="P243" i="26"/>
  <c r="X243" i="26"/>
  <c r="AF243" i="26"/>
  <c r="T243" i="26"/>
  <c r="Q243" i="26"/>
  <c r="Y243" i="26"/>
  <c r="AG243" i="26"/>
  <c r="R243" i="26"/>
  <c r="Z243" i="26"/>
  <c r="AH243" i="26"/>
  <c r="AA243" i="26"/>
  <c r="L243" i="26"/>
  <c r="AJ243" i="26"/>
  <c r="AJ251" i="26" s="1"/>
  <c r="Q54" i="28"/>
  <c r="Q55" i="28" s="1"/>
  <c r="P11" i="28" s="1"/>
  <c r="AD140" i="19"/>
  <c r="AD116" i="19"/>
  <c r="AD117" i="19"/>
  <c r="AD141" i="19"/>
  <c r="AJ243" i="28"/>
  <c r="K54" i="28"/>
  <c r="K55" i="28" s="1"/>
  <c r="J11" i="28" s="1"/>
  <c r="K170" i="28" s="1"/>
  <c r="N71" i="26"/>
  <c r="K54" i="27"/>
  <c r="J53" i="27" s="1"/>
  <c r="J11" i="27" s="1"/>
  <c r="K156" i="29"/>
  <c r="K157" i="29" s="1"/>
  <c r="J32" i="48"/>
  <c r="AC21" i="48"/>
  <c r="AB32" i="48" s="1"/>
  <c r="Q54" i="27"/>
  <c r="AE78" i="19"/>
  <c r="AD92" i="19"/>
  <c r="AE84" i="19"/>
  <c r="AE141" i="19" s="1"/>
  <c r="AD93" i="19"/>
  <c r="J25" i="19"/>
  <c r="AB25" i="19" s="1"/>
  <c r="AC25" i="19" s="1"/>
  <c r="AD25" i="19" s="1"/>
  <c r="AB45" i="19" s="1"/>
  <c r="Q25" i="19"/>
  <c r="P25" i="19" s="1"/>
  <c r="AD149" i="41"/>
  <c r="K217" i="25"/>
  <c r="K141" i="19"/>
  <c r="K140" i="19"/>
  <c r="T82" i="40"/>
  <c r="T76" i="40"/>
  <c r="T70" i="40"/>
  <c r="T81" i="40"/>
  <c r="T75" i="40"/>
  <c r="T80" i="40"/>
  <c r="T74" i="40"/>
  <c r="T83" i="40"/>
  <c r="T79" i="40"/>
  <c r="T71" i="40"/>
  <c r="L153" i="29"/>
  <c r="L156" i="29" s="1"/>
  <c r="L159" i="29" s="1"/>
  <c r="AJ78" i="29"/>
  <c r="AI101" i="29"/>
  <c r="AJ84" i="29"/>
  <c r="AI105" i="29"/>
  <c r="P34" i="26"/>
  <c r="M71" i="29"/>
  <c r="Q23" i="25"/>
  <c r="P34" i="25" s="1"/>
  <c r="Q19" i="26"/>
  <c r="P29" i="26" s="1"/>
  <c r="G7" i="38"/>
  <c r="C7" i="38"/>
  <c r="D7" i="38"/>
  <c r="H7" i="38"/>
  <c r="E7" i="38"/>
  <c r="I7" i="38"/>
  <c r="F7" i="38"/>
  <c r="J7" i="38"/>
  <c r="P32" i="25"/>
  <c r="Q55" i="27"/>
  <c r="AB52" i="27"/>
  <c r="M88" i="29"/>
  <c r="N88" i="29" s="1"/>
  <c r="M70" i="23"/>
  <c r="M77" i="23"/>
  <c r="M74" i="23"/>
  <c r="J34" i="25"/>
  <c r="S125" i="29"/>
  <c r="S129" i="29"/>
  <c r="AB129" i="29"/>
  <c r="AB125" i="29"/>
  <c r="S105" i="29"/>
  <c r="S101" i="29"/>
  <c r="AA125" i="29"/>
  <c r="AA129" i="29"/>
  <c r="AH105" i="29"/>
  <c r="AH101" i="29"/>
  <c r="R105" i="29"/>
  <c r="R101" i="29"/>
  <c r="Z129" i="29"/>
  <c r="Z125" i="29"/>
  <c r="AC101" i="29"/>
  <c r="AC105" i="29"/>
  <c r="M101" i="29"/>
  <c r="M105" i="29"/>
  <c r="AF101" i="29"/>
  <c r="AF105" i="29"/>
  <c r="M129" i="29"/>
  <c r="M125" i="29"/>
  <c r="AC129" i="29"/>
  <c r="AC125" i="29"/>
  <c r="X101" i="29"/>
  <c r="X105" i="29"/>
  <c r="W125" i="29"/>
  <c r="W129" i="29"/>
  <c r="AE105" i="29"/>
  <c r="AE101" i="29"/>
  <c r="O105" i="29"/>
  <c r="O101" i="29"/>
  <c r="V125" i="29"/>
  <c r="V129" i="29"/>
  <c r="AD101" i="29"/>
  <c r="AD105" i="29"/>
  <c r="N105" i="29"/>
  <c r="N101" i="29"/>
  <c r="T129" i="29"/>
  <c r="T125" i="29"/>
  <c r="Y101" i="29"/>
  <c r="Y105" i="29"/>
  <c r="AB105" i="29"/>
  <c r="AB101" i="29"/>
  <c r="Q129" i="29"/>
  <c r="Q125" i="29"/>
  <c r="AG129" i="29"/>
  <c r="AG125" i="29"/>
  <c r="AI125" i="29"/>
  <c r="AI129" i="29"/>
  <c r="P105" i="29"/>
  <c r="P101" i="29"/>
  <c r="R125" i="29"/>
  <c r="R129" i="29"/>
  <c r="AA105" i="29"/>
  <c r="AA101" i="29"/>
  <c r="K105" i="29"/>
  <c r="K101" i="29"/>
  <c r="K106" i="29" s="1"/>
  <c r="P129" i="29"/>
  <c r="P125" i="29"/>
  <c r="Z105" i="29"/>
  <c r="Z101" i="29"/>
  <c r="O125" i="29"/>
  <c r="O129" i="29"/>
  <c r="U101" i="29"/>
  <c r="U105" i="29"/>
  <c r="X129" i="29"/>
  <c r="X125" i="29"/>
  <c r="T101" i="29"/>
  <c r="T105" i="29"/>
  <c r="U129" i="29"/>
  <c r="U125" i="29"/>
  <c r="AD125" i="29"/>
  <c r="AD129" i="29"/>
  <c r="AH125" i="29"/>
  <c r="AH129" i="29"/>
  <c r="L129" i="29"/>
  <c r="L125" i="29"/>
  <c r="L130" i="29" s="1"/>
  <c r="W105" i="29"/>
  <c r="W101" i="29"/>
  <c r="AF129" i="29"/>
  <c r="AF125" i="29"/>
  <c r="K125" i="29"/>
  <c r="K130" i="29" s="1"/>
  <c r="K129" i="29"/>
  <c r="V101" i="29"/>
  <c r="V105" i="29"/>
  <c r="AE125" i="29"/>
  <c r="AE129" i="29"/>
  <c r="AG101" i="29"/>
  <c r="AG105" i="29"/>
  <c r="Q101" i="29"/>
  <c r="Q105" i="29"/>
  <c r="N125" i="29"/>
  <c r="N129" i="29"/>
  <c r="L101" i="29"/>
  <c r="L106" i="29" s="1"/>
  <c r="L105" i="29"/>
  <c r="Y129" i="29"/>
  <c r="Y125" i="29"/>
  <c r="J45" i="19"/>
  <c r="L194" i="28" l="1"/>
  <c r="AB194" i="28"/>
  <c r="M194" i="28"/>
  <c r="AC194" i="28"/>
  <c r="N194" i="28"/>
  <c r="AD194" i="28"/>
  <c r="W194" i="28"/>
  <c r="X194" i="28"/>
  <c r="X198" i="28" s="1"/>
  <c r="Z194" i="28"/>
  <c r="P194" i="28"/>
  <c r="AF194" i="28"/>
  <c r="Q194" i="28"/>
  <c r="AG194" i="28"/>
  <c r="R194" i="28"/>
  <c r="AH194" i="28"/>
  <c r="AA194" i="28"/>
  <c r="AI194" i="28"/>
  <c r="AE194" i="28"/>
  <c r="S194" i="28"/>
  <c r="T194" i="28"/>
  <c r="T202" i="28" s="1"/>
  <c r="AJ194" i="28"/>
  <c r="U194" i="28"/>
  <c r="K194" i="28"/>
  <c r="V194" i="28"/>
  <c r="V198" i="28" s="1"/>
  <c r="O194" i="28"/>
  <c r="Y194" i="28"/>
  <c r="M267" i="28"/>
  <c r="AJ170" i="28"/>
  <c r="AJ267" i="28"/>
  <c r="AJ275" i="28" s="1"/>
  <c r="S267" i="28"/>
  <c r="S275" i="28" s="1"/>
  <c r="Q267" i="28"/>
  <c r="Q275" i="28" s="1"/>
  <c r="X267" i="28"/>
  <c r="X275" i="28" s="1"/>
  <c r="AC159" i="41"/>
  <c r="AC160" i="41" s="1"/>
  <c r="AC73" i="41" s="1"/>
  <c r="AC157" i="41"/>
  <c r="K246" i="25"/>
  <c r="K250" i="25" s="1"/>
  <c r="AJ246" i="25"/>
  <c r="AD154" i="41"/>
  <c r="AD156" i="41" s="1"/>
  <c r="AG78" i="28"/>
  <c r="AF213" i="28"/>
  <c r="AF222" i="28" s="1"/>
  <c r="AF165" i="28"/>
  <c r="AF189" i="28"/>
  <c r="AG84" i="28"/>
  <c r="AF190" i="28"/>
  <c r="AF214" i="28"/>
  <c r="AF226" i="28" s="1"/>
  <c r="AF166" i="28"/>
  <c r="O267" i="26"/>
  <c r="W267" i="26"/>
  <c r="AE267" i="26"/>
  <c r="P267" i="26"/>
  <c r="X267" i="26"/>
  <c r="AF267" i="26"/>
  <c r="Q267" i="26"/>
  <c r="Y267" i="26"/>
  <c r="AG267" i="26"/>
  <c r="V267" i="26"/>
  <c r="R267" i="26"/>
  <c r="Z267" i="26"/>
  <c r="AH267" i="26"/>
  <c r="S267" i="26"/>
  <c r="AA267" i="26"/>
  <c r="AI267" i="26"/>
  <c r="L267" i="26"/>
  <c r="T267" i="26"/>
  <c r="AB267" i="26"/>
  <c r="AJ267" i="26"/>
  <c r="M267" i="26"/>
  <c r="U267" i="26"/>
  <c r="AC267" i="26"/>
  <c r="K267" i="26"/>
  <c r="N267" i="26"/>
  <c r="AD267" i="26"/>
  <c r="K270" i="25"/>
  <c r="K274" i="25" s="1"/>
  <c r="AJ270" i="25"/>
  <c r="P267" i="28"/>
  <c r="P271" i="28" s="1"/>
  <c r="P276" i="28" s="1"/>
  <c r="O267" i="28"/>
  <c r="O271" i="28" s="1"/>
  <c r="O276" i="28" s="1"/>
  <c r="AG267" i="28"/>
  <c r="AG271" i="28" s="1"/>
  <c r="AG276" i="28" s="1"/>
  <c r="U267" i="28"/>
  <c r="U275" i="28" s="1"/>
  <c r="AA267" i="28"/>
  <c r="AA275" i="28" s="1"/>
  <c r="AC267" i="28"/>
  <c r="AC271" i="28" s="1"/>
  <c r="AC276" i="28" s="1"/>
  <c r="Y267" i="28"/>
  <c r="Y271" i="28" s="1"/>
  <c r="Y276" i="28" s="1"/>
  <c r="AH267" i="28"/>
  <c r="AH271" i="28" s="1"/>
  <c r="AH276" i="28" s="1"/>
  <c r="Z202" i="28"/>
  <c r="AE198" i="28"/>
  <c r="AD202" i="28"/>
  <c r="AB202" i="28"/>
  <c r="L267" i="28"/>
  <c r="L271" i="28" s="1"/>
  <c r="L276" i="28" s="1"/>
  <c r="R267" i="28"/>
  <c r="AF267" i="28"/>
  <c r="AF275" i="28" s="1"/>
  <c r="AI267" i="28"/>
  <c r="AI271" i="28" s="1"/>
  <c r="AI276" i="28" s="1"/>
  <c r="AD267" i="28"/>
  <c r="AD271" i="28" s="1"/>
  <c r="AD276" i="28" s="1"/>
  <c r="AB267" i="28"/>
  <c r="AB271" i="28" s="1"/>
  <c r="AB276" i="28" s="1"/>
  <c r="AE267" i="28"/>
  <c r="Z267" i="28"/>
  <c r="T267" i="28"/>
  <c r="T271" i="28" s="1"/>
  <c r="T276" i="28" s="1"/>
  <c r="W267" i="28"/>
  <c r="W275" i="28" s="1"/>
  <c r="N267" i="28"/>
  <c r="N271" i="28" s="1"/>
  <c r="N276" i="28" s="1"/>
  <c r="V267" i="28"/>
  <c r="V275" i="28" s="1"/>
  <c r="K267" i="28"/>
  <c r="K275" i="28" s="1"/>
  <c r="P202" i="28"/>
  <c r="R202" i="28"/>
  <c r="K198" i="28"/>
  <c r="Y202" i="28"/>
  <c r="AJ251" i="28"/>
  <c r="AJ247" i="28"/>
  <c r="AJ252" i="28" s="1"/>
  <c r="AF291" i="28"/>
  <c r="AF299" i="28" s="1"/>
  <c r="U291" i="28"/>
  <c r="U299" i="28" s="1"/>
  <c r="Z291" i="28"/>
  <c r="Z295" i="28" s="1"/>
  <c r="Z300" i="28" s="1"/>
  <c r="P291" i="28"/>
  <c r="P295" i="28" s="1"/>
  <c r="P300" i="28" s="1"/>
  <c r="K291" i="28"/>
  <c r="K295" i="28" s="1"/>
  <c r="K300" i="28" s="1"/>
  <c r="AA291" i="28"/>
  <c r="AA295" i="28" s="1"/>
  <c r="AA300" i="28" s="1"/>
  <c r="V291" i="28"/>
  <c r="V295" i="28" s="1"/>
  <c r="V300" i="28" s="1"/>
  <c r="AG291" i="28"/>
  <c r="AG295" i="28" s="1"/>
  <c r="AG300" i="28" s="1"/>
  <c r="Q291" i="28"/>
  <c r="Q145" i="28" s="1"/>
  <c r="AB291" i="28"/>
  <c r="AB299" i="28" s="1"/>
  <c r="L291" i="28"/>
  <c r="L299" i="28" s="1"/>
  <c r="W291" i="28"/>
  <c r="W299" i="28" s="1"/>
  <c r="AH291" i="28"/>
  <c r="AH145" i="28" s="1"/>
  <c r="R291" i="28"/>
  <c r="R295" i="28" s="1"/>
  <c r="R300" i="28" s="1"/>
  <c r="AC291" i="28"/>
  <c r="AC145" i="28" s="1"/>
  <c r="M291" i="28"/>
  <c r="M295" i="28" s="1"/>
  <c r="M300" i="28" s="1"/>
  <c r="X291" i="28"/>
  <c r="X299" i="28" s="1"/>
  <c r="AI291" i="28"/>
  <c r="AI145" i="28" s="1"/>
  <c r="S291" i="28"/>
  <c r="S145" i="28" s="1"/>
  <c r="AD291" i="28"/>
  <c r="AD145" i="28" s="1"/>
  <c r="N291" i="28"/>
  <c r="N145" i="28" s="1"/>
  <c r="Y291" i="28"/>
  <c r="Y145" i="28" s="1"/>
  <c r="AJ291" i="28"/>
  <c r="T291" i="28"/>
  <c r="T299" i="28" s="1"/>
  <c r="AE291" i="28"/>
  <c r="AE145" i="28" s="1"/>
  <c r="T222" i="28"/>
  <c r="T226" i="28"/>
  <c r="AE226" i="28"/>
  <c r="AE222" i="28"/>
  <c r="O145" i="28"/>
  <c r="O222" i="28"/>
  <c r="O226" i="28"/>
  <c r="V226" i="28"/>
  <c r="V222" i="28"/>
  <c r="Q222" i="28"/>
  <c r="Q226" i="28"/>
  <c r="P226" i="28"/>
  <c r="P222" i="28"/>
  <c r="AA222" i="28"/>
  <c r="AA226" i="28"/>
  <c r="R226" i="28"/>
  <c r="R222" i="28"/>
  <c r="AC226" i="28"/>
  <c r="AC222" i="28"/>
  <c r="M222" i="28"/>
  <c r="M226" i="28"/>
  <c r="AB226" i="28"/>
  <c r="AB222" i="28"/>
  <c r="L226" i="28"/>
  <c r="L222" i="28"/>
  <c r="W226" i="28"/>
  <c r="W222" i="28"/>
  <c r="AD222" i="28"/>
  <c r="AD226" i="28"/>
  <c r="N226" i="28"/>
  <c r="N222" i="28"/>
  <c r="Y222" i="28"/>
  <c r="Y226" i="28"/>
  <c r="X222" i="28"/>
  <c r="X226" i="28"/>
  <c r="S222" i="28"/>
  <c r="S226" i="28"/>
  <c r="Z222" i="28"/>
  <c r="Z226" i="28"/>
  <c r="K222" i="28"/>
  <c r="K226" i="28"/>
  <c r="U222" i="28"/>
  <c r="U226" i="28"/>
  <c r="O295" i="28"/>
  <c r="O300" i="28" s="1"/>
  <c r="O299" i="28"/>
  <c r="M271" i="28"/>
  <c r="M276" i="28" s="1"/>
  <c r="M275" i="28"/>
  <c r="Z170" i="28"/>
  <c r="O170" i="28"/>
  <c r="S170" i="28"/>
  <c r="W170" i="28"/>
  <c r="AA170" i="28"/>
  <c r="AE170" i="28"/>
  <c r="AI170" i="28"/>
  <c r="N170" i="28"/>
  <c r="AD170" i="28"/>
  <c r="L170" i="28"/>
  <c r="P170" i="28"/>
  <c r="T170" i="28"/>
  <c r="X170" i="28"/>
  <c r="AB170" i="28"/>
  <c r="AF170" i="28"/>
  <c r="V170" i="28"/>
  <c r="M170" i="28"/>
  <c r="Q170" i="28"/>
  <c r="U170" i="28"/>
  <c r="Y170" i="28"/>
  <c r="AC170" i="28"/>
  <c r="AG170" i="28"/>
  <c r="R170" i="28"/>
  <c r="AH170" i="28"/>
  <c r="K243" i="28"/>
  <c r="AF243" i="28"/>
  <c r="T243" i="28"/>
  <c r="L243" i="28"/>
  <c r="AI243" i="28"/>
  <c r="AE243" i="28"/>
  <c r="AA243" i="28"/>
  <c r="W243" i="28"/>
  <c r="S243" i="28"/>
  <c r="O243" i="28"/>
  <c r="AH243" i="28"/>
  <c r="AD243" i="28"/>
  <c r="Z243" i="28"/>
  <c r="V243" i="28"/>
  <c r="R243" i="28"/>
  <c r="N243" i="28"/>
  <c r="X243" i="28"/>
  <c r="P243" i="28"/>
  <c r="AG243" i="28"/>
  <c r="AC243" i="28"/>
  <c r="Y243" i="28"/>
  <c r="U243" i="28"/>
  <c r="Q243" i="28"/>
  <c r="M243" i="28"/>
  <c r="AB243" i="28"/>
  <c r="AE116" i="19"/>
  <c r="AE140" i="19"/>
  <c r="O71" i="26"/>
  <c r="P71" i="26" s="1"/>
  <c r="Q71" i="26" s="1"/>
  <c r="R71" i="26" s="1"/>
  <c r="S71" i="26" s="1"/>
  <c r="T71" i="26" s="1"/>
  <c r="U71" i="26" s="1"/>
  <c r="V71" i="26" s="1"/>
  <c r="W71" i="26" s="1"/>
  <c r="X71" i="26" s="1"/>
  <c r="Y71" i="26" s="1"/>
  <c r="Z71" i="26" s="1"/>
  <c r="AA71" i="26" s="1"/>
  <c r="AB71" i="26" s="1"/>
  <c r="AC71" i="26" s="1"/>
  <c r="AD71" i="26" s="1"/>
  <c r="AE71" i="26" s="1"/>
  <c r="AF71" i="26" s="1"/>
  <c r="AG71" i="26" s="1"/>
  <c r="AH71" i="26" s="1"/>
  <c r="AI71" i="26" s="1"/>
  <c r="AJ71" i="26" s="1"/>
  <c r="AB12" i="28"/>
  <c r="K159" i="29"/>
  <c r="K160" i="29" s="1"/>
  <c r="L160" i="29" s="1"/>
  <c r="AB33" i="48"/>
  <c r="AD291" i="48"/>
  <c r="N291" i="48"/>
  <c r="X291" i="48"/>
  <c r="AI291" i="48"/>
  <c r="S291" i="48"/>
  <c r="M291" i="48"/>
  <c r="U291" i="48"/>
  <c r="Z291" i="48"/>
  <c r="AJ291" i="48"/>
  <c r="T291" i="48"/>
  <c r="AE291" i="48"/>
  <c r="O291" i="48"/>
  <c r="AG291" i="48"/>
  <c r="V291" i="48"/>
  <c r="AF291" i="48"/>
  <c r="P291" i="48"/>
  <c r="AA291" i="48"/>
  <c r="K291" i="48"/>
  <c r="Q291" i="48"/>
  <c r="AH291" i="48"/>
  <c r="R291" i="48"/>
  <c r="AB291" i="48"/>
  <c r="L291" i="48"/>
  <c r="W291" i="48"/>
  <c r="AC291" i="48"/>
  <c r="Y291" i="48"/>
  <c r="W243" i="48"/>
  <c r="AC243" i="48"/>
  <c r="M243" i="48"/>
  <c r="AJ243" i="48"/>
  <c r="AH243" i="48"/>
  <c r="P243" i="48"/>
  <c r="AI243" i="48"/>
  <c r="S243" i="48"/>
  <c r="Y243" i="48"/>
  <c r="AD243" i="48"/>
  <c r="AB243" i="48"/>
  <c r="Z243" i="48"/>
  <c r="AF243" i="48"/>
  <c r="AE243" i="48"/>
  <c r="O243" i="48"/>
  <c r="U243" i="48"/>
  <c r="V243" i="48"/>
  <c r="T243" i="48"/>
  <c r="R243" i="48"/>
  <c r="X243" i="48"/>
  <c r="AA243" i="48"/>
  <c r="AG243" i="48"/>
  <c r="Q243" i="48"/>
  <c r="N243" i="48"/>
  <c r="L243" i="48"/>
  <c r="K243" i="48"/>
  <c r="R25" i="19"/>
  <c r="P45" i="19" s="1"/>
  <c r="P13" i="19" s="1"/>
  <c r="AF84" i="19"/>
  <c r="AF141" i="19" s="1"/>
  <c r="AE93" i="19"/>
  <c r="AE117" i="19"/>
  <c r="AF78" i="19"/>
  <c r="AE92" i="19"/>
  <c r="L82" i="30"/>
  <c r="L102" i="30"/>
  <c r="M102" i="30" s="1"/>
  <c r="N102" i="30" s="1"/>
  <c r="L101" i="30"/>
  <c r="L81" i="30"/>
  <c r="AE149" i="41"/>
  <c r="O246" i="25"/>
  <c r="S246" i="25"/>
  <c r="W246" i="25"/>
  <c r="AA246" i="25"/>
  <c r="AE246" i="25"/>
  <c r="AI246" i="25"/>
  <c r="L246" i="25"/>
  <c r="T246" i="25"/>
  <c r="X246" i="25"/>
  <c r="AF246" i="25"/>
  <c r="M246" i="25"/>
  <c r="Q246" i="25"/>
  <c r="U246" i="25"/>
  <c r="Y246" i="25"/>
  <c r="AC246" i="25"/>
  <c r="AG246" i="25"/>
  <c r="N246" i="25"/>
  <c r="R246" i="25"/>
  <c r="V246" i="25"/>
  <c r="Z246" i="25"/>
  <c r="AD246" i="25"/>
  <c r="AH246" i="25"/>
  <c r="P246" i="25"/>
  <c r="AB246" i="25"/>
  <c r="L97" i="27"/>
  <c r="P97" i="27"/>
  <c r="T97" i="27"/>
  <c r="X97" i="27"/>
  <c r="AB97" i="27"/>
  <c r="AF97" i="27"/>
  <c r="AJ97" i="27"/>
  <c r="M97" i="27"/>
  <c r="Q97" i="27"/>
  <c r="U97" i="27"/>
  <c r="Y97" i="27"/>
  <c r="AC97" i="27"/>
  <c r="AG97" i="27"/>
  <c r="K97" i="27"/>
  <c r="K101" i="27" s="1"/>
  <c r="K106" i="27" s="1"/>
  <c r="N97" i="27"/>
  <c r="R97" i="27"/>
  <c r="V97" i="27"/>
  <c r="Z97" i="27"/>
  <c r="AD97" i="27"/>
  <c r="AH97" i="27"/>
  <c r="O97" i="27"/>
  <c r="S97" i="27"/>
  <c r="W97" i="27"/>
  <c r="AA97" i="27"/>
  <c r="AE97" i="27"/>
  <c r="AI97" i="27"/>
  <c r="S247" i="26"/>
  <c r="S252" i="26" s="1"/>
  <c r="W251" i="26"/>
  <c r="AA247" i="26"/>
  <c r="AE247" i="26"/>
  <c r="AI251" i="26"/>
  <c r="P251" i="26"/>
  <c r="T251" i="26"/>
  <c r="AB247" i="26"/>
  <c r="AB252" i="26" s="1"/>
  <c r="U247" i="26"/>
  <c r="U252" i="26" s="1"/>
  <c r="AC251" i="26"/>
  <c r="R247" i="26"/>
  <c r="R252" i="26" s="1"/>
  <c r="V251" i="26"/>
  <c r="Z251" i="26"/>
  <c r="AD251" i="26"/>
  <c r="AH247" i="26"/>
  <c r="AH252" i="26" s="1"/>
  <c r="X251" i="26"/>
  <c r="AF247" i="26"/>
  <c r="Q247" i="26"/>
  <c r="Q252" i="26" s="1"/>
  <c r="Y247" i="26"/>
  <c r="Y252" i="26" s="1"/>
  <c r="AG251" i="26"/>
  <c r="P30" i="26"/>
  <c r="T69" i="40"/>
  <c r="T77" i="40"/>
  <c r="T73" i="40" s="1"/>
  <c r="AB13" i="19"/>
  <c r="M153" i="29"/>
  <c r="AJ105" i="29"/>
  <c r="AJ117" i="29"/>
  <c r="AJ129" i="29" s="1"/>
  <c r="AJ101" i="29"/>
  <c r="AJ116" i="29"/>
  <c r="AJ125" i="29" s="1"/>
  <c r="P12" i="28"/>
  <c r="O40" i="23"/>
  <c r="N71" i="29"/>
  <c r="M73" i="23"/>
  <c r="J10" i="38"/>
  <c r="J9" i="38"/>
  <c r="J11" i="38"/>
  <c r="H10" i="38"/>
  <c r="H9" i="38"/>
  <c r="H11" i="38"/>
  <c r="F11" i="38"/>
  <c r="F10" i="38"/>
  <c r="F9" i="38"/>
  <c r="D10" i="38"/>
  <c r="D11" i="38"/>
  <c r="D9" i="38"/>
  <c r="I11" i="38"/>
  <c r="I9" i="38"/>
  <c r="I10" i="38"/>
  <c r="C9" i="38"/>
  <c r="C10" i="38"/>
  <c r="C11" i="38"/>
  <c r="E11" i="38"/>
  <c r="E10" i="38"/>
  <c r="E9" i="38"/>
  <c r="G9" i="38"/>
  <c r="G11" i="38"/>
  <c r="G10" i="38"/>
  <c r="L251" i="26"/>
  <c r="N251" i="26"/>
  <c r="K247" i="26"/>
  <c r="K252" i="26" s="1"/>
  <c r="M251" i="26"/>
  <c r="O251" i="26"/>
  <c r="R15" i="28"/>
  <c r="M154" i="29"/>
  <c r="P53" i="27"/>
  <c r="AC55" i="27"/>
  <c r="AB53" i="27" s="1"/>
  <c r="AB11" i="27" s="1"/>
  <c r="M106" i="29"/>
  <c r="M130" i="29"/>
  <c r="M132" i="29" s="1"/>
  <c r="M135" i="29" s="1"/>
  <c r="N130" i="29"/>
  <c r="L157" i="29"/>
  <c r="N106" i="29"/>
  <c r="N154" i="29"/>
  <c r="O88" i="29"/>
  <c r="O130" i="29" s="1"/>
  <c r="K108" i="29"/>
  <c r="K109" i="29" s="1"/>
  <c r="AC19" i="26"/>
  <c r="AB29" i="26" s="1"/>
  <c r="AB34" i="25"/>
  <c r="AJ294" i="25" s="1"/>
  <c r="L108" i="29"/>
  <c r="L111" i="29" s="1"/>
  <c r="K132" i="29"/>
  <c r="L132" i="29"/>
  <c r="L135" i="29" s="1"/>
  <c r="M121" i="28" l="1"/>
  <c r="AG275" i="28"/>
  <c r="AB12" i="27"/>
  <c r="U271" i="28"/>
  <c r="U276" i="28" s="1"/>
  <c r="U278" i="28" s="1"/>
  <c r="U281" i="28" s="1"/>
  <c r="Z198" i="28"/>
  <c r="Z203" i="28" s="1"/>
  <c r="O275" i="28"/>
  <c r="O278" i="28" s="1"/>
  <c r="O281" i="28" s="1"/>
  <c r="AA271" i="28"/>
  <c r="AA276" i="28" s="1"/>
  <c r="AA278" i="28" s="1"/>
  <c r="AA281" i="28" s="1"/>
  <c r="S271" i="28"/>
  <c r="S276" i="28" s="1"/>
  <c r="S278" i="28" s="1"/>
  <c r="S281" i="28" s="1"/>
  <c r="P275" i="28"/>
  <c r="P129" i="28" s="1"/>
  <c r="S121" i="28"/>
  <c r="V202" i="28"/>
  <c r="V129" i="28" s="1"/>
  <c r="T198" i="28"/>
  <c r="T125" i="28" s="1"/>
  <c r="X202" i="28"/>
  <c r="X129" i="28" s="1"/>
  <c r="AJ121" i="28"/>
  <c r="AJ271" i="28"/>
  <c r="AJ276" i="28" s="1"/>
  <c r="AJ278" i="28" s="1"/>
  <c r="AJ281" i="28" s="1"/>
  <c r="Q271" i="28"/>
  <c r="Q276" i="28" s="1"/>
  <c r="Q278" i="28" s="1"/>
  <c r="Q281" i="28" s="1"/>
  <c r="AC275" i="28"/>
  <c r="AC278" i="28" s="1"/>
  <c r="AC281" i="28" s="1"/>
  <c r="Q121" i="28"/>
  <c r="AB198" i="28"/>
  <c r="AB203" i="28" s="1"/>
  <c r="AB130" i="28" s="1"/>
  <c r="U121" i="28"/>
  <c r="X121" i="28"/>
  <c r="X271" i="28"/>
  <c r="X276" i="28" s="1"/>
  <c r="X278" i="28" s="1"/>
  <c r="X281" i="28" s="1"/>
  <c r="AE202" i="28"/>
  <c r="AE121" i="28"/>
  <c r="O121" i="28"/>
  <c r="R121" i="28"/>
  <c r="K254" i="25"/>
  <c r="AF202" i="28"/>
  <c r="AF129" i="28" s="1"/>
  <c r="AD159" i="41"/>
  <c r="AD160" i="41" s="1"/>
  <c r="AD73" i="41" s="1"/>
  <c r="AD157" i="41"/>
  <c r="AJ250" i="25"/>
  <c r="AJ255" i="25" s="1"/>
  <c r="AJ254" i="25"/>
  <c r="AH84" i="28"/>
  <c r="AG190" i="28"/>
  <c r="AG202" i="28" s="1"/>
  <c r="AG129" i="28" s="1"/>
  <c r="AG214" i="28"/>
  <c r="AG226" i="28" s="1"/>
  <c r="AG166" i="28"/>
  <c r="AG178" i="28" s="1"/>
  <c r="AH78" i="28"/>
  <c r="AG165" i="28"/>
  <c r="AG174" i="28" s="1"/>
  <c r="AG189" i="28"/>
  <c r="AG198" i="28" s="1"/>
  <c r="AG125" i="28" s="1"/>
  <c r="AG213" i="28"/>
  <c r="AG222" i="28" s="1"/>
  <c r="AG227" i="28" s="1"/>
  <c r="AG154" i="28" s="1"/>
  <c r="AE154" i="41"/>
  <c r="AE156" i="41" s="1"/>
  <c r="Q291" i="26"/>
  <c r="Y291" i="26"/>
  <c r="AG291" i="26"/>
  <c r="R291" i="26"/>
  <c r="Z291" i="26"/>
  <c r="AH291" i="26"/>
  <c r="S291" i="26"/>
  <c r="AA291" i="26"/>
  <c r="L291" i="26"/>
  <c r="T291" i="26"/>
  <c r="AB291" i="26"/>
  <c r="AJ291" i="26"/>
  <c r="M291" i="26"/>
  <c r="U291" i="26"/>
  <c r="AC291" i="26"/>
  <c r="K291" i="26"/>
  <c r="N291" i="26"/>
  <c r="V291" i="26"/>
  <c r="AD291" i="26"/>
  <c r="O291" i="26"/>
  <c r="W291" i="26"/>
  <c r="AE291" i="26"/>
  <c r="P291" i="26"/>
  <c r="X291" i="26"/>
  <c r="AF291" i="26"/>
  <c r="AI291" i="26"/>
  <c r="AJ278" i="25"/>
  <c r="AJ274" i="25"/>
  <c r="AJ279" i="25" s="1"/>
  <c r="AJ302" i="25"/>
  <c r="AJ298" i="25"/>
  <c r="AJ303" i="25" s="1"/>
  <c r="Y275" i="28"/>
  <c r="Y129" i="28" s="1"/>
  <c r="AA121" i="28"/>
  <c r="AC121" i="28"/>
  <c r="AH275" i="28"/>
  <c r="AH278" i="28" s="1"/>
  <c r="AH281" i="28" s="1"/>
  <c r="AH121" i="28"/>
  <c r="N121" i="28"/>
  <c r="AF121" i="28"/>
  <c r="L275" i="28"/>
  <c r="L278" i="28" s="1"/>
  <c r="L281" i="28" s="1"/>
  <c r="AI275" i="28"/>
  <c r="AI278" i="28" s="1"/>
  <c r="AI281" i="28" s="1"/>
  <c r="L121" i="28"/>
  <c r="AB275" i="28"/>
  <c r="AB129" i="28" s="1"/>
  <c r="W121" i="28"/>
  <c r="AB121" i="28"/>
  <c r="R271" i="28"/>
  <c r="R276" i="28" s="1"/>
  <c r="R275" i="28"/>
  <c r="AD121" i="28"/>
  <c r="AD198" i="28"/>
  <c r="AD203" i="28" s="1"/>
  <c r="AD130" i="28" s="1"/>
  <c r="Z121" i="28"/>
  <c r="P121" i="28"/>
  <c r="K202" i="28"/>
  <c r="K129" i="28" s="1"/>
  <c r="U202" i="28"/>
  <c r="U129" i="28" s="1"/>
  <c r="AA202" i="28"/>
  <c r="AA129" i="28" s="1"/>
  <c r="P198" i="28"/>
  <c r="P125" i="28" s="1"/>
  <c r="AG121" i="28"/>
  <c r="Y198" i="28"/>
  <c r="Y203" i="28" s="1"/>
  <c r="Y130" i="28" s="1"/>
  <c r="AA198" i="28"/>
  <c r="Y121" i="28"/>
  <c r="U198" i="28"/>
  <c r="W202" i="28"/>
  <c r="W129" i="28" s="1"/>
  <c r="W198" i="28"/>
  <c r="W203" i="28" s="1"/>
  <c r="L198" i="28"/>
  <c r="L203" i="28" s="1"/>
  <c r="L130" i="28" s="1"/>
  <c r="K271" i="28"/>
  <c r="K276" i="28" s="1"/>
  <c r="K278" i="28" s="1"/>
  <c r="AF271" i="28"/>
  <c r="AF276" i="28" s="1"/>
  <c r="AF278" i="28" s="1"/>
  <c r="AF281" i="28" s="1"/>
  <c r="AD275" i="28"/>
  <c r="AD129" i="28" s="1"/>
  <c r="V121" i="28"/>
  <c r="K121" i="28"/>
  <c r="N275" i="28"/>
  <c r="N278" i="28" s="1"/>
  <c r="N281" i="28" s="1"/>
  <c r="V271" i="28"/>
  <c r="V276" i="28" s="1"/>
  <c r="V278" i="28" s="1"/>
  <c r="V281" i="28" s="1"/>
  <c r="M198" i="28"/>
  <c r="M203" i="28" s="1"/>
  <c r="M130" i="28" s="1"/>
  <c r="M202" i="28"/>
  <c r="M129" i="28" s="1"/>
  <c r="AC202" i="28"/>
  <c r="S198" i="28"/>
  <c r="S203" i="28" s="1"/>
  <c r="S202" i="28"/>
  <c r="S129" i="28" s="1"/>
  <c r="AC198" i="28"/>
  <c r="AC203" i="28" s="1"/>
  <c r="AC130" i="28" s="1"/>
  <c r="Q202" i="28"/>
  <c r="Q129" i="28" s="1"/>
  <c r="T121" i="28"/>
  <c r="Z275" i="28"/>
  <c r="Z129" i="28" s="1"/>
  <c r="AE271" i="28"/>
  <c r="AE276" i="28" s="1"/>
  <c r="W271" i="28"/>
  <c r="W276" i="28" s="1"/>
  <c r="W278" i="28" s="1"/>
  <c r="W281" i="28" s="1"/>
  <c r="T275" i="28"/>
  <c r="T278" i="28" s="1"/>
  <c r="T281" i="28" s="1"/>
  <c r="Z271" i="28"/>
  <c r="Z276" i="28" s="1"/>
  <c r="AE275" i="28"/>
  <c r="R198" i="28"/>
  <c r="R203" i="28" s="1"/>
  <c r="Q198" i="28"/>
  <c r="Q203" i="28" s="1"/>
  <c r="L202" i="28"/>
  <c r="AI121" i="28"/>
  <c r="O202" i="28"/>
  <c r="O198" i="28"/>
  <c r="O125" i="28" s="1"/>
  <c r="N202" i="28"/>
  <c r="N198" i="28"/>
  <c r="N125" i="28" s="1"/>
  <c r="AF198" i="28"/>
  <c r="T145" i="28"/>
  <c r="S295" i="28"/>
  <c r="S300" i="28" s="1"/>
  <c r="P145" i="28"/>
  <c r="Z299" i="28"/>
  <c r="Z302" i="28" s="1"/>
  <c r="Z305" i="28" s="1"/>
  <c r="W295" i="28"/>
  <c r="W300" i="28" s="1"/>
  <c r="W302" i="28" s="1"/>
  <c r="W305" i="28" s="1"/>
  <c r="P299" i="28"/>
  <c r="P302" i="28" s="1"/>
  <c r="P305" i="28" s="1"/>
  <c r="Y299" i="28"/>
  <c r="Y153" i="28" s="1"/>
  <c r="N299" i="28"/>
  <c r="N153" i="28" s="1"/>
  <c r="AD295" i="28"/>
  <c r="AD300" i="28" s="1"/>
  <c r="U295" i="28"/>
  <c r="U300" i="28" s="1"/>
  <c r="U302" i="28" s="1"/>
  <c r="U305" i="28" s="1"/>
  <c r="M299" i="28"/>
  <c r="M302" i="28" s="1"/>
  <c r="M305" i="28" s="1"/>
  <c r="AG299" i="28"/>
  <c r="AG145" i="28"/>
  <c r="T295" i="28"/>
  <c r="T300" i="28" s="1"/>
  <c r="T302" i="28" s="1"/>
  <c r="T305" i="28" s="1"/>
  <c r="K145" i="28"/>
  <c r="AH295" i="28"/>
  <c r="AH300" i="28" s="1"/>
  <c r="AF145" i="28"/>
  <c r="W145" i="28"/>
  <c r="X145" i="28"/>
  <c r="R145" i="28"/>
  <c r="AD299" i="28"/>
  <c r="AJ145" i="28"/>
  <c r="AJ295" i="28"/>
  <c r="AJ300" i="28" s="1"/>
  <c r="AJ299" i="28"/>
  <c r="X295" i="28"/>
  <c r="X300" i="28" s="1"/>
  <c r="X302" i="28" s="1"/>
  <c r="X305" i="28" s="1"/>
  <c r="M145" i="28"/>
  <c r="AA299" i="28"/>
  <c r="AA302" i="28" s="1"/>
  <c r="AA305" i="28" s="1"/>
  <c r="AI299" i="28"/>
  <c r="AE295" i="28"/>
  <c r="AE300" i="28" s="1"/>
  <c r="AJ254" i="28"/>
  <c r="Z145" i="28"/>
  <c r="AC295" i="28"/>
  <c r="AC300" i="28" s="1"/>
  <c r="AG278" i="28"/>
  <c r="AG281" i="28" s="1"/>
  <c r="S299" i="28"/>
  <c r="L145" i="28"/>
  <c r="AC299" i="28"/>
  <c r="L295" i="28"/>
  <c r="L300" i="28" s="1"/>
  <c r="L302" i="28" s="1"/>
  <c r="L305" i="28" s="1"/>
  <c r="Y295" i="28"/>
  <c r="Y300" i="28" s="1"/>
  <c r="R299" i="28"/>
  <c r="R302" i="28" s="1"/>
  <c r="R305" i="28" s="1"/>
  <c r="AB295" i="28"/>
  <c r="AB300" i="28" s="1"/>
  <c r="AB302" i="28" s="1"/>
  <c r="AB305" i="28" s="1"/>
  <c r="AI295" i="28"/>
  <c r="AI300" i="28" s="1"/>
  <c r="U145" i="28"/>
  <c r="AB145" i="28"/>
  <c r="AA145" i="28"/>
  <c r="AH299" i="28"/>
  <c r="Q299" i="28"/>
  <c r="Q153" i="28" s="1"/>
  <c r="AF295" i="28"/>
  <c r="AF300" i="28" s="1"/>
  <c r="AF302" i="28" s="1"/>
  <c r="AF305" i="28" s="1"/>
  <c r="K299" i="28"/>
  <c r="K302" i="28" s="1"/>
  <c r="AE299" i="28"/>
  <c r="N295" i="28"/>
  <c r="N300" i="28" s="1"/>
  <c r="Q295" i="28"/>
  <c r="Q300" i="28" s="1"/>
  <c r="V145" i="28"/>
  <c r="V299" i="28"/>
  <c r="V153" i="28" s="1"/>
  <c r="U153" i="28"/>
  <c r="K149" i="28"/>
  <c r="K227" i="28"/>
  <c r="K154" i="28" s="1"/>
  <c r="X227" i="28"/>
  <c r="L227" i="28"/>
  <c r="AB153" i="28"/>
  <c r="R227" i="28"/>
  <c r="R154" i="28" s="1"/>
  <c r="R149" i="28"/>
  <c r="AF227" i="28"/>
  <c r="AF229" i="28" s="1"/>
  <c r="AF232" i="28" s="1"/>
  <c r="Q227" i="28"/>
  <c r="O153" i="28"/>
  <c r="U227" i="28"/>
  <c r="Y227" i="28"/>
  <c r="W227" i="28"/>
  <c r="L153" i="28"/>
  <c r="AC227" i="28"/>
  <c r="P227" i="28"/>
  <c r="P154" i="28" s="1"/>
  <c r="P149" i="28"/>
  <c r="AF153" i="28"/>
  <c r="V227" i="28"/>
  <c r="V154" i="28" s="1"/>
  <c r="V149" i="28"/>
  <c r="O149" i="28"/>
  <c r="O227" i="28"/>
  <c r="O154" i="28" s="1"/>
  <c r="O302" i="28"/>
  <c r="O305" i="28" s="1"/>
  <c r="S227" i="28"/>
  <c r="W153" i="28"/>
  <c r="T153" i="28"/>
  <c r="Z227" i="28"/>
  <c r="Z154" i="28" s="1"/>
  <c r="Z149" i="28"/>
  <c r="X153" i="28"/>
  <c r="N227" i="28"/>
  <c r="AD227" i="28"/>
  <c r="AB227" i="28"/>
  <c r="M227" i="28"/>
  <c r="M154" i="28" s="1"/>
  <c r="M149" i="28"/>
  <c r="AA227" i="28"/>
  <c r="AA154" i="28" s="1"/>
  <c r="AA149" i="28"/>
  <c r="AE227" i="28"/>
  <c r="T227" i="28"/>
  <c r="V203" i="28"/>
  <c r="M278" i="28"/>
  <c r="M281" i="28" s="1"/>
  <c r="AE203" i="28"/>
  <c r="K203" i="28"/>
  <c r="X203" i="28"/>
  <c r="AB247" i="28"/>
  <c r="AB252" i="28" s="1"/>
  <c r="AB251" i="28"/>
  <c r="Y247" i="28"/>
  <c r="Y252" i="28" s="1"/>
  <c r="Y251" i="28"/>
  <c r="X251" i="28"/>
  <c r="X247" i="28"/>
  <c r="X252" i="28" s="1"/>
  <c r="V251" i="28"/>
  <c r="V247" i="28"/>
  <c r="V252" i="28" s="1"/>
  <c r="O247" i="28"/>
  <c r="O252" i="28" s="1"/>
  <c r="O251" i="28"/>
  <c r="AE247" i="28"/>
  <c r="AE252" i="28" s="1"/>
  <c r="AE251" i="28"/>
  <c r="AF247" i="28"/>
  <c r="AF252" i="28" s="1"/>
  <c r="AF251" i="28"/>
  <c r="K178" i="28"/>
  <c r="K97" i="28"/>
  <c r="K174" i="28"/>
  <c r="U178" i="28"/>
  <c r="U97" i="28"/>
  <c r="U174" i="28"/>
  <c r="AJ97" i="28"/>
  <c r="T178" i="28"/>
  <c r="T97" i="28"/>
  <c r="T174" i="28"/>
  <c r="N178" i="28"/>
  <c r="N97" i="28"/>
  <c r="N174" i="28"/>
  <c r="W178" i="28"/>
  <c r="W97" i="28"/>
  <c r="W174" i="28"/>
  <c r="M251" i="28"/>
  <c r="M247" i="28"/>
  <c r="M252" i="28" s="1"/>
  <c r="AC247" i="28"/>
  <c r="AC252" i="28" s="1"/>
  <c r="AC251" i="28"/>
  <c r="Z251" i="28"/>
  <c r="Z247" i="28"/>
  <c r="Z252" i="28" s="1"/>
  <c r="S247" i="28"/>
  <c r="S252" i="28" s="1"/>
  <c r="S251" i="28"/>
  <c r="AI247" i="28"/>
  <c r="AI252" i="28" s="1"/>
  <c r="AI251" i="28"/>
  <c r="K251" i="28"/>
  <c r="K247" i="28"/>
  <c r="K252" i="28" s="1"/>
  <c r="AG97" i="28"/>
  <c r="Q178" i="28"/>
  <c r="Q97" i="28"/>
  <c r="Q174" i="28"/>
  <c r="AF178" i="28"/>
  <c r="AF97" i="28"/>
  <c r="AF174" i="28"/>
  <c r="P178" i="28"/>
  <c r="P97" i="28"/>
  <c r="P174" i="28"/>
  <c r="AI97" i="28"/>
  <c r="S178" i="28"/>
  <c r="S97" i="28"/>
  <c r="S174" i="28"/>
  <c r="Q251" i="28"/>
  <c r="Q247" i="28"/>
  <c r="Q252" i="28" s="1"/>
  <c r="AG251" i="28"/>
  <c r="AG247" i="28"/>
  <c r="AG252" i="28" s="1"/>
  <c r="N251" i="28"/>
  <c r="N247" i="28"/>
  <c r="N252" i="28" s="1"/>
  <c r="AD251" i="28"/>
  <c r="AD247" i="28"/>
  <c r="AD252" i="28" s="1"/>
  <c r="W251" i="28"/>
  <c r="W247" i="28"/>
  <c r="W252" i="28" s="1"/>
  <c r="L251" i="28"/>
  <c r="L247" i="28"/>
  <c r="L252" i="28" s="1"/>
  <c r="AH97" i="28"/>
  <c r="AC178" i="28"/>
  <c r="AC97" i="28"/>
  <c r="AC174" i="28"/>
  <c r="M178" i="28"/>
  <c r="M97" i="28"/>
  <c r="M174" i="28"/>
  <c r="AB178" i="28"/>
  <c r="AB97" i="28"/>
  <c r="AB174" i="28"/>
  <c r="L178" i="28"/>
  <c r="L97" i="28"/>
  <c r="L174" i="28"/>
  <c r="AE178" i="28"/>
  <c r="AE97" i="28"/>
  <c r="AE174" i="28"/>
  <c r="O178" i="28"/>
  <c r="O97" i="28"/>
  <c r="O174" i="28"/>
  <c r="U251" i="28"/>
  <c r="U247" i="28"/>
  <c r="U252" i="28" s="1"/>
  <c r="P251" i="28"/>
  <c r="P247" i="28"/>
  <c r="P252" i="28" s="1"/>
  <c r="R251" i="28"/>
  <c r="R247" i="28"/>
  <c r="R252" i="28" s="1"/>
  <c r="AH251" i="28"/>
  <c r="AH247" i="28"/>
  <c r="AH252" i="28" s="1"/>
  <c r="AA247" i="28"/>
  <c r="AA252" i="28" s="1"/>
  <c r="AA251" i="28"/>
  <c r="T247" i="28"/>
  <c r="T252" i="28" s="1"/>
  <c r="T251" i="28"/>
  <c r="R178" i="28"/>
  <c r="R97" i="28"/>
  <c r="R174" i="28"/>
  <c r="Y178" i="28"/>
  <c r="Y97" i="28"/>
  <c r="Y174" i="28"/>
  <c r="V178" i="28"/>
  <c r="V97" i="28"/>
  <c r="V174" i="28"/>
  <c r="X178" i="28"/>
  <c r="X97" i="28"/>
  <c r="X174" i="28"/>
  <c r="AD178" i="28"/>
  <c r="AD97" i="28"/>
  <c r="AD174" i="28"/>
  <c r="AA178" i="28"/>
  <c r="AA97" i="28"/>
  <c r="AA174" i="28"/>
  <c r="Z178" i="28"/>
  <c r="Z97" i="28"/>
  <c r="Z174" i="28"/>
  <c r="AF140" i="19"/>
  <c r="AF116" i="19"/>
  <c r="L294" i="25"/>
  <c r="K294" i="25"/>
  <c r="L250" i="25"/>
  <c r="L255" i="25" s="1"/>
  <c r="L254" i="25"/>
  <c r="N34" i="43"/>
  <c r="K105" i="12"/>
  <c r="L105" i="12"/>
  <c r="Q251" i="48"/>
  <c r="Q247" i="48"/>
  <c r="Q252" i="48" s="1"/>
  <c r="R247" i="48"/>
  <c r="R252" i="48" s="1"/>
  <c r="R251" i="48"/>
  <c r="O251" i="48"/>
  <c r="O247" i="48"/>
  <c r="O252" i="48" s="1"/>
  <c r="AB251" i="48"/>
  <c r="AB247" i="48"/>
  <c r="AB252" i="48" s="1"/>
  <c r="AI251" i="48"/>
  <c r="AI247" i="48"/>
  <c r="AI252" i="48" s="1"/>
  <c r="M247" i="48"/>
  <c r="M252" i="48" s="1"/>
  <c r="M251" i="48"/>
  <c r="AC295" i="48"/>
  <c r="AC300" i="48" s="1"/>
  <c r="AC299" i="48"/>
  <c r="R295" i="48"/>
  <c r="R300" i="48" s="1"/>
  <c r="R299" i="48"/>
  <c r="AA295" i="48"/>
  <c r="AA300" i="48" s="1"/>
  <c r="AA299" i="48"/>
  <c r="AG295" i="48"/>
  <c r="AG300" i="48" s="1"/>
  <c r="AG299" i="48"/>
  <c r="AJ295" i="48"/>
  <c r="AJ300" i="48" s="1"/>
  <c r="AJ299" i="48"/>
  <c r="S295" i="48"/>
  <c r="S300" i="48" s="1"/>
  <c r="S299" i="48"/>
  <c r="AD295" i="48"/>
  <c r="AD300" i="48" s="1"/>
  <c r="AD299" i="48"/>
  <c r="K251" i="48"/>
  <c r="K247" i="48"/>
  <c r="K252" i="48" s="1"/>
  <c r="AG247" i="48"/>
  <c r="AG252" i="48" s="1"/>
  <c r="AG251" i="48"/>
  <c r="T251" i="48"/>
  <c r="T247" i="48"/>
  <c r="T252" i="48" s="1"/>
  <c r="AE251" i="48"/>
  <c r="AE247" i="48"/>
  <c r="AE252" i="48" s="1"/>
  <c r="AD247" i="48"/>
  <c r="AD252" i="48" s="1"/>
  <c r="AD251" i="48"/>
  <c r="P247" i="48"/>
  <c r="P252" i="48" s="1"/>
  <c r="P251" i="48"/>
  <c r="AC247" i="48"/>
  <c r="AC252" i="48" s="1"/>
  <c r="AC251" i="48"/>
  <c r="W295" i="48"/>
  <c r="W300" i="48" s="1"/>
  <c r="W299" i="48"/>
  <c r="AH295" i="48"/>
  <c r="AH300" i="48" s="1"/>
  <c r="AH299" i="48"/>
  <c r="P295" i="48"/>
  <c r="P300" i="48" s="1"/>
  <c r="P299" i="48"/>
  <c r="O295" i="48"/>
  <c r="O300" i="48" s="1"/>
  <c r="O299" i="48"/>
  <c r="Z295" i="48"/>
  <c r="Z300" i="48" s="1"/>
  <c r="Z299" i="48"/>
  <c r="AI295" i="48"/>
  <c r="AI300" i="48" s="1"/>
  <c r="AI299" i="48"/>
  <c r="L251" i="48"/>
  <c r="L247" i="48"/>
  <c r="L252" i="48" s="1"/>
  <c r="AA247" i="48"/>
  <c r="AA252" i="48" s="1"/>
  <c r="AA251" i="48"/>
  <c r="V247" i="48"/>
  <c r="V252" i="48" s="1"/>
  <c r="V251" i="48"/>
  <c r="AF247" i="48"/>
  <c r="AF252" i="48" s="1"/>
  <c r="AF251" i="48"/>
  <c r="Y251" i="48"/>
  <c r="Y247" i="48"/>
  <c r="Y252" i="48" s="1"/>
  <c r="AH247" i="48"/>
  <c r="AH252" i="48" s="1"/>
  <c r="AH251" i="48"/>
  <c r="W247" i="48"/>
  <c r="W252" i="48" s="1"/>
  <c r="W251" i="48"/>
  <c r="L295" i="48"/>
  <c r="L300" i="48" s="1"/>
  <c r="L299" i="48"/>
  <c r="Q295" i="48"/>
  <c r="Q300" i="48" s="1"/>
  <c r="Q299" i="48"/>
  <c r="AF295" i="48"/>
  <c r="AF300" i="48" s="1"/>
  <c r="AF299" i="48"/>
  <c r="AE295" i="48"/>
  <c r="AE300" i="48" s="1"/>
  <c r="AE299" i="48"/>
  <c r="U295" i="48"/>
  <c r="U300" i="48" s="1"/>
  <c r="U299" i="48"/>
  <c r="X295" i="48"/>
  <c r="X300" i="48" s="1"/>
  <c r="X299" i="48"/>
  <c r="N247" i="48"/>
  <c r="N252" i="48" s="1"/>
  <c r="N251" i="48"/>
  <c r="X251" i="48"/>
  <c r="X247" i="48"/>
  <c r="X252" i="48" s="1"/>
  <c r="U251" i="48"/>
  <c r="U247" i="48"/>
  <c r="U252" i="48" s="1"/>
  <c r="Z247" i="48"/>
  <c r="Z252" i="48" s="1"/>
  <c r="Z251" i="48"/>
  <c r="S247" i="48"/>
  <c r="S252" i="48" s="1"/>
  <c r="S251" i="48"/>
  <c r="AJ247" i="48"/>
  <c r="AJ252" i="48" s="1"/>
  <c r="AJ251" i="48"/>
  <c r="Y295" i="48"/>
  <c r="Y300" i="48" s="1"/>
  <c r="Y299" i="48"/>
  <c r="AB295" i="48"/>
  <c r="AB300" i="48" s="1"/>
  <c r="AB299" i="48"/>
  <c r="K295" i="48"/>
  <c r="K300" i="48" s="1"/>
  <c r="K299" i="48"/>
  <c r="V295" i="48"/>
  <c r="V300" i="48" s="1"/>
  <c r="V299" i="48"/>
  <c r="T295" i="48"/>
  <c r="T300" i="48" s="1"/>
  <c r="T299" i="48"/>
  <c r="M295" i="48"/>
  <c r="M300" i="48" s="1"/>
  <c r="M299" i="48"/>
  <c r="N295" i="48"/>
  <c r="N300" i="48" s="1"/>
  <c r="N299" i="48"/>
  <c r="AG78" i="19"/>
  <c r="AF92" i="19"/>
  <c r="AG84" i="19"/>
  <c r="AG141" i="19" s="1"/>
  <c r="AF93" i="19"/>
  <c r="AF117" i="19"/>
  <c r="L80" i="30"/>
  <c r="L100" i="30"/>
  <c r="AF149" i="41"/>
  <c r="AB30" i="26"/>
  <c r="J120" i="40"/>
  <c r="J115" i="40"/>
  <c r="M82" i="30"/>
  <c r="N82" i="30" s="1"/>
  <c r="M156" i="29"/>
  <c r="M159" i="29" s="1"/>
  <c r="M160" i="29" s="1"/>
  <c r="N153" i="29"/>
  <c r="N156" i="29" s="1"/>
  <c r="N159" i="29" s="1"/>
  <c r="M108" i="29"/>
  <c r="M111" i="29" s="1"/>
  <c r="O71" i="29"/>
  <c r="O132" i="29"/>
  <c r="O135" i="29" s="1"/>
  <c r="R251" i="26"/>
  <c r="R254" i="26" s="1"/>
  <c r="R257" i="26" s="1"/>
  <c r="M72" i="23"/>
  <c r="M71" i="23"/>
  <c r="H13" i="38"/>
  <c r="M79" i="23"/>
  <c r="M76" i="23"/>
  <c r="M78" i="23"/>
  <c r="L11" i="38"/>
  <c r="L9" i="38"/>
  <c r="L10" i="38"/>
  <c r="I16" i="38"/>
  <c r="I17" i="38"/>
  <c r="G17" i="38"/>
  <c r="G16" i="38"/>
  <c r="E16" i="38"/>
  <c r="E17" i="38"/>
  <c r="C14" i="38"/>
  <c r="D13" i="38"/>
  <c r="D14" i="38"/>
  <c r="F17" i="38"/>
  <c r="F16" i="38"/>
  <c r="H17" i="38"/>
  <c r="H16" i="38"/>
  <c r="G20" i="38"/>
  <c r="G19" i="38"/>
  <c r="G23" i="38"/>
  <c r="G21" i="38"/>
  <c r="G24" i="38"/>
  <c r="G22" i="38"/>
  <c r="E22" i="38"/>
  <c r="E19" i="38"/>
  <c r="E24" i="38"/>
  <c r="E23" i="38"/>
  <c r="E20" i="38"/>
  <c r="E21" i="38"/>
  <c r="D21" i="38"/>
  <c r="D19" i="38"/>
  <c r="D20" i="38"/>
  <c r="D23" i="38"/>
  <c r="D22" i="38"/>
  <c r="D24" i="38"/>
  <c r="F19" i="38"/>
  <c r="F21" i="38"/>
  <c r="F22" i="38"/>
  <c r="F20" i="38"/>
  <c r="F24" i="38"/>
  <c r="F23" i="38"/>
  <c r="J19" i="38"/>
  <c r="J21" i="38"/>
  <c r="J22" i="38"/>
  <c r="J20" i="38"/>
  <c r="J24" i="38"/>
  <c r="J23" i="38"/>
  <c r="G14" i="38"/>
  <c r="G13" i="38"/>
  <c r="C20" i="38"/>
  <c r="C19" i="38"/>
  <c r="C24" i="38"/>
  <c r="C23" i="38"/>
  <c r="C21" i="38"/>
  <c r="C22" i="38"/>
  <c r="I14" i="38"/>
  <c r="I13" i="38"/>
  <c r="D17" i="38"/>
  <c r="D16" i="38"/>
  <c r="H21" i="38"/>
  <c r="H19" i="38"/>
  <c r="H20" i="38"/>
  <c r="H23" i="38"/>
  <c r="H22" i="38"/>
  <c r="H24" i="38"/>
  <c r="J13" i="38"/>
  <c r="J14" i="38"/>
  <c r="E14" i="38"/>
  <c r="E13" i="38"/>
  <c r="C17" i="38"/>
  <c r="C16" i="38"/>
  <c r="I22" i="38"/>
  <c r="I23" i="38"/>
  <c r="I20" i="38"/>
  <c r="I21" i="38"/>
  <c r="I19" i="38"/>
  <c r="I24" i="38"/>
  <c r="F13" i="38"/>
  <c r="F14" i="38"/>
  <c r="H14" i="38"/>
  <c r="J17" i="38"/>
  <c r="J16" i="38"/>
  <c r="AG247" i="26"/>
  <c r="AG252" i="26" s="1"/>
  <c r="AG254" i="26" s="1"/>
  <c r="AG257" i="26" s="1"/>
  <c r="T247" i="26"/>
  <c r="T252" i="26" s="1"/>
  <c r="T254" i="26" s="1"/>
  <c r="T257" i="26" s="1"/>
  <c r="V247" i="26"/>
  <c r="V252" i="26" s="1"/>
  <c r="V254" i="26" s="1"/>
  <c r="V257" i="26" s="1"/>
  <c r="W247" i="26"/>
  <c r="W252" i="26" s="1"/>
  <c r="W254" i="26" s="1"/>
  <c r="W257" i="26" s="1"/>
  <c r="Q251" i="26"/>
  <c r="Q254" i="26" s="1"/>
  <c r="Q257" i="26" s="1"/>
  <c r="P247" i="26"/>
  <c r="P252" i="26" s="1"/>
  <c r="P254" i="26" s="1"/>
  <c r="P257" i="26" s="1"/>
  <c r="N247" i="26"/>
  <c r="N252" i="26" s="1"/>
  <c r="N254" i="26" s="1"/>
  <c r="N257" i="26" s="1"/>
  <c r="K251" i="26"/>
  <c r="K254" i="26" s="1"/>
  <c r="K257" i="26" s="1"/>
  <c r="K258" i="26" s="1"/>
  <c r="AE251" i="26"/>
  <c r="L247" i="26"/>
  <c r="L252" i="26" s="1"/>
  <c r="L254" i="26" s="1"/>
  <c r="L257" i="26" s="1"/>
  <c r="S251" i="26"/>
  <c r="S254" i="26" s="1"/>
  <c r="S257" i="26" s="1"/>
  <c r="AH251" i="26"/>
  <c r="AH254" i="26" s="1"/>
  <c r="AH257" i="26" s="1"/>
  <c r="AF251" i="26"/>
  <c r="AD247" i="26"/>
  <c r="AD252" i="26" s="1"/>
  <c r="AD254" i="26" s="1"/>
  <c r="AD257" i="26" s="1"/>
  <c r="AJ247" i="26"/>
  <c r="U251" i="26"/>
  <c r="U254" i="26" s="1"/>
  <c r="U257" i="26" s="1"/>
  <c r="AB251" i="26"/>
  <c r="AB254" i="26" s="1"/>
  <c r="AB257" i="26" s="1"/>
  <c r="X247" i="26"/>
  <c r="X252" i="26" s="1"/>
  <c r="X254" i="26" s="1"/>
  <c r="X257" i="26" s="1"/>
  <c r="Z247" i="26"/>
  <c r="Z252" i="26" s="1"/>
  <c r="Z254" i="26" s="1"/>
  <c r="Z257" i="26" s="1"/>
  <c r="AA251" i="26"/>
  <c r="M247" i="26"/>
  <c r="M252" i="26" s="1"/>
  <c r="M254" i="26" s="1"/>
  <c r="M257" i="26" s="1"/>
  <c r="AI247" i="26"/>
  <c r="AI252" i="26" s="1"/>
  <c r="AI254" i="26" s="1"/>
  <c r="AI257" i="26" s="1"/>
  <c r="AC247" i="26"/>
  <c r="AC252" i="26" s="1"/>
  <c r="AC254" i="26" s="1"/>
  <c r="AC257" i="26" s="1"/>
  <c r="O247" i="26"/>
  <c r="O252" i="26" s="1"/>
  <c r="O254" i="26" s="1"/>
  <c r="O257" i="26" s="1"/>
  <c r="Y251" i="26"/>
  <c r="Y254" i="26" s="1"/>
  <c r="Y257" i="26" s="1"/>
  <c r="N132" i="29"/>
  <c r="N135" i="29" s="1"/>
  <c r="AC145" i="27"/>
  <c r="Q145" i="27"/>
  <c r="K75" i="23"/>
  <c r="T145" i="27"/>
  <c r="T153" i="27" s="1"/>
  <c r="AI145" i="27"/>
  <c r="AI153" i="27" s="1"/>
  <c r="N108" i="29"/>
  <c r="N111" i="29" s="1"/>
  <c r="K145" i="27"/>
  <c r="AE145" i="27"/>
  <c r="AE153" i="27" s="1"/>
  <c r="R145" i="27"/>
  <c r="R153" i="27" s="1"/>
  <c r="U145" i="27"/>
  <c r="U153" i="27" s="1"/>
  <c r="V145" i="27"/>
  <c r="AD145" i="27"/>
  <c r="X145" i="27"/>
  <c r="X153" i="27" s="1"/>
  <c r="AJ145" i="27"/>
  <c r="AJ153" i="27" s="1"/>
  <c r="AH145" i="27"/>
  <c r="AG145" i="27"/>
  <c r="K105" i="27"/>
  <c r="K108" i="27" s="1"/>
  <c r="K111" i="27" s="1"/>
  <c r="K112" i="27" s="1"/>
  <c r="K80" i="12" s="1"/>
  <c r="N145" i="27"/>
  <c r="AA145" i="27"/>
  <c r="P145" i="27"/>
  <c r="P149" i="27" s="1"/>
  <c r="M145" i="27"/>
  <c r="AB145" i="27"/>
  <c r="AB153" i="27" s="1"/>
  <c r="Z145" i="27"/>
  <c r="Z153" i="27" s="1"/>
  <c r="Y145" i="27"/>
  <c r="AF145" i="27"/>
  <c r="AF153" i="27" s="1"/>
  <c r="S145" i="27"/>
  <c r="O145" i="27"/>
  <c r="O153" i="27" s="1"/>
  <c r="W145" i="27"/>
  <c r="W149" i="27" s="1"/>
  <c r="W154" i="27" s="1"/>
  <c r="L145" i="27"/>
  <c r="K111" i="29"/>
  <c r="K112" i="29" s="1"/>
  <c r="K73" i="29" s="1"/>
  <c r="O106" i="29"/>
  <c r="L105" i="27"/>
  <c r="L101" i="27"/>
  <c r="L106" i="27" s="1"/>
  <c r="O154" i="29"/>
  <c r="P88" i="29"/>
  <c r="L109" i="29"/>
  <c r="P35" i="25"/>
  <c r="N270" i="25"/>
  <c r="R270" i="25"/>
  <c r="M270" i="25"/>
  <c r="M274" i="25" s="1"/>
  <c r="Q270" i="25"/>
  <c r="Q274" i="25" s="1"/>
  <c r="U270" i="25"/>
  <c r="U278" i="25" s="1"/>
  <c r="Y270" i="25"/>
  <c r="Y274" i="25" s="1"/>
  <c r="AC270" i="25"/>
  <c r="AC278" i="25" s="1"/>
  <c r="AG270" i="25"/>
  <c r="S270" i="25"/>
  <c r="X270" i="25"/>
  <c r="X278" i="25" s="1"/>
  <c r="AD270" i="25"/>
  <c r="AD278" i="25" s="1"/>
  <c r="AI270" i="25"/>
  <c r="L270" i="25"/>
  <c r="L274" i="25" s="1"/>
  <c r="T270" i="25"/>
  <c r="T274" i="25" s="1"/>
  <c r="Z270" i="25"/>
  <c r="AE270" i="25"/>
  <c r="O270" i="25"/>
  <c r="V270" i="25"/>
  <c r="V278" i="25" s="1"/>
  <c r="AA270" i="25"/>
  <c r="AF270" i="25"/>
  <c r="P270" i="25"/>
  <c r="W270" i="25"/>
  <c r="AB270" i="25"/>
  <c r="AB278" i="25" s="1"/>
  <c r="AH270" i="25"/>
  <c r="AH274" i="25" s="1"/>
  <c r="AF252" i="26"/>
  <c r="AA252" i="26"/>
  <c r="AE252" i="26"/>
  <c r="AE250" i="25"/>
  <c r="AE255" i="25" s="1"/>
  <c r="AE254" i="25"/>
  <c r="N254" i="25"/>
  <c r="N250" i="25"/>
  <c r="N255" i="25" s="1"/>
  <c r="AG250" i="25"/>
  <c r="AG255" i="25" s="1"/>
  <c r="AG254" i="25"/>
  <c r="U254" i="25"/>
  <c r="U250" i="25"/>
  <c r="U255" i="25" s="1"/>
  <c r="P254" i="25"/>
  <c r="P250" i="25"/>
  <c r="P255" i="25" s="1"/>
  <c r="AF250" i="25"/>
  <c r="AF255" i="25" s="1"/>
  <c r="AF254" i="25"/>
  <c r="S250" i="25"/>
  <c r="S255" i="25" s="1"/>
  <c r="S254" i="25"/>
  <c r="O254" i="25"/>
  <c r="O250" i="25"/>
  <c r="O255" i="25" s="1"/>
  <c r="AD250" i="25"/>
  <c r="AD255" i="25" s="1"/>
  <c r="AD254" i="25"/>
  <c r="R250" i="25"/>
  <c r="R255" i="25" s="1"/>
  <c r="R254" i="25"/>
  <c r="AB254" i="25"/>
  <c r="AB250" i="25"/>
  <c r="AB255" i="25" s="1"/>
  <c r="V254" i="25"/>
  <c r="V250" i="25"/>
  <c r="V255" i="25" s="1"/>
  <c r="W254" i="25"/>
  <c r="W250" i="25"/>
  <c r="W255" i="25" s="1"/>
  <c r="K255" i="25"/>
  <c r="AI254" i="25"/>
  <c r="AI250" i="25"/>
  <c r="AI255" i="25" s="1"/>
  <c r="Y254" i="25"/>
  <c r="Y250" i="25"/>
  <c r="Y255" i="25" s="1"/>
  <c r="AH254" i="25"/>
  <c r="AH250" i="25"/>
  <c r="AH255" i="25" s="1"/>
  <c r="T254" i="25"/>
  <c r="T250" i="25"/>
  <c r="T255" i="25" s="1"/>
  <c r="AC294" i="25"/>
  <c r="M294" i="25"/>
  <c r="X294" i="25"/>
  <c r="AI294" i="25"/>
  <c r="S294" i="25"/>
  <c r="AD294" i="25"/>
  <c r="N294" i="25"/>
  <c r="Y294" i="25"/>
  <c r="T294" i="25"/>
  <c r="AE294" i="25"/>
  <c r="O294" i="25"/>
  <c r="Z294" i="25"/>
  <c r="AB35" i="25"/>
  <c r="U294" i="25"/>
  <c r="AF294" i="25"/>
  <c r="P294" i="25"/>
  <c r="AA294" i="25"/>
  <c r="V294" i="25"/>
  <c r="AG294" i="25"/>
  <c r="Q294" i="25"/>
  <c r="AB294" i="25"/>
  <c r="W294" i="25"/>
  <c r="AH294" i="25"/>
  <c r="R294" i="25"/>
  <c r="P11" i="27"/>
  <c r="Z254" i="25"/>
  <c r="Z250" i="25"/>
  <c r="Z255" i="25" s="1"/>
  <c r="Q254" i="25"/>
  <c r="Q250" i="25"/>
  <c r="Q255" i="25" s="1"/>
  <c r="AA250" i="25"/>
  <c r="AA255" i="25" s="1"/>
  <c r="AA254" i="25"/>
  <c r="M254" i="25"/>
  <c r="M250" i="25"/>
  <c r="M255" i="25" s="1"/>
  <c r="AC250" i="25"/>
  <c r="AC255" i="25" s="1"/>
  <c r="AC254" i="25"/>
  <c r="X250" i="25"/>
  <c r="X255" i="25" s="1"/>
  <c r="X254" i="25"/>
  <c r="K133" i="29"/>
  <c r="L133" i="29" s="1"/>
  <c r="M133" i="29" s="1"/>
  <c r="K135" i="29"/>
  <c r="K136" i="29" s="1"/>
  <c r="U125" i="28" l="1"/>
  <c r="K257" i="25"/>
  <c r="K260" i="25" s="1"/>
  <c r="K261" i="25" s="1"/>
  <c r="Y278" i="28"/>
  <c r="Y281" i="28" s="1"/>
  <c r="Q130" i="28"/>
  <c r="Q132" i="28" s="1"/>
  <c r="Q135" i="28" s="1"/>
  <c r="S130" i="28"/>
  <c r="S132" i="28" s="1"/>
  <c r="S135" i="28" s="1"/>
  <c r="O129" i="28"/>
  <c r="T203" i="28"/>
  <c r="T130" i="28" s="1"/>
  <c r="AG149" i="28"/>
  <c r="AA125" i="28"/>
  <c r="P278" i="28"/>
  <c r="P281" i="28" s="1"/>
  <c r="AB125" i="28"/>
  <c r="AC129" i="28"/>
  <c r="AC132" i="28" s="1"/>
  <c r="AC135" i="28" s="1"/>
  <c r="X130" i="28"/>
  <c r="X125" i="28"/>
  <c r="AG153" i="28"/>
  <c r="AG156" i="28" s="1"/>
  <c r="AG159" i="28" s="1"/>
  <c r="AE159" i="41"/>
  <c r="AE160" i="41" s="1"/>
  <c r="AE73" i="41" s="1"/>
  <c r="AE157" i="41"/>
  <c r="AJ257" i="25"/>
  <c r="AJ260" i="25" s="1"/>
  <c r="AF154" i="41"/>
  <c r="AF156" i="41" s="1"/>
  <c r="AI78" i="28"/>
  <c r="AH165" i="28"/>
  <c r="AH174" i="28" s="1"/>
  <c r="AH179" i="28" s="1"/>
  <c r="AH106" i="28" s="1"/>
  <c r="AH189" i="28"/>
  <c r="AH198" i="28" s="1"/>
  <c r="AH125" i="28" s="1"/>
  <c r="AH213" i="28"/>
  <c r="AH222" i="28" s="1"/>
  <c r="AH227" i="28" s="1"/>
  <c r="AH154" i="28" s="1"/>
  <c r="AI84" i="28"/>
  <c r="AH214" i="28"/>
  <c r="AH226" i="28" s="1"/>
  <c r="AH153" i="28" s="1"/>
  <c r="AH190" i="28"/>
  <c r="AH202" i="28" s="1"/>
  <c r="AH129" i="28" s="1"/>
  <c r="AH166" i="28"/>
  <c r="AH178" i="28" s="1"/>
  <c r="AH105" i="28" s="1"/>
  <c r="AJ299" i="26"/>
  <c r="AJ295" i="26"/>
  <c r="AJ305" i="25"/>
  <c r="AJ308" i="25" s="1"/>
  <c r="AJ281" i="25"/>
  <c r="AJ284" i="25" s="1"/>
  <c r="AD125" i="28"/>
  <c r="K130" i="28"/>
  <c r="K132" i="28" s="1"/>
  <c r="K135" i="28" s="1"/>
  <c r="K136" i="28" s="1"/>
  <c r="L129" i="28"/>
  <c r="L132" i="28" s="1"/>
  <c r="L135" i="28" s="1"/>
  <c r="K125" i="28"/>
  <c r="P203" i="28"/>
  <c r="P130" i="28" s="1"/>
  <c r="P132" i="28" s="1"/>
  <c r="P135" i="28" s="1"/>
  <c r="AB278" i="28"/>
  <c r="AB281" i="28" s="1"/>
  <c r="AD278" i="28"/>
  <c r="AD281" i="28" s="1"/>
  <c r="AA203" i="28"/>
  <c r="AA130" i="28" s="1"/>
  <c r="AA132" i="28" s="1"/>
  <c r="AA135" i="28" s="1"/>
  <c r="S125" i="28"/>
  <c r="T129" i="28"/>
  <c r="N129" i="28"/>
  <c r="R130" i="28"/>
  <c r="W130" i="28"/>
  <c r="W132" i="28" s="1"/>
  <c r="W135" i="28" s="1"/>
  <c r="R278" i="28"/>
  <c r="R281" i="28" s="1"/>
  <c r="R129" i="28"/>
  <c r="U203" i="28"/>
  <c r="U130" i="28" s="1"/>
  <c r="U132" i="28" s="1"/>
  <c r="U135" i="28" s="1"/>
  <c r="M125" i="28"/>
  <c r="AG203" i="28"/>
  <c r="AG130" i="28" s="1"/>
  <c r="AG132" i="28" s="1"/>
  <c r="AG135" i="28" s="1"/>
  <c r="Y125" i="28"/>
  <c r="Q125" i="28"/>
  <c r="L125" i="28"/>
  <c r="N203" i="28"/>
  <c r="N130" i="28" s="1"/>
  <c r="W125" i="28"/>
  <c r="V125" i="28"/>
  <c r="AF125" i="28"/>
  <c r="AE278" i="28"/>
  <c r="AE281" i="28" s="1"/>
  <c r="AE125" i="28"/>
  <c r="AE130" i="28"/>
  <c r="Z278" i="28"/>
  <c r="Z281" i="28" s="1"/>
  <c r="V130" i="28"/>
  <c r="V132" i="28" s="1"/>
  <c r="V135" i="28" s="1"/>
  <c r="AC125" i="28"/>
  <c r="R125" i="28"/>
  <c r="Z125" i="28"/>
  <c r="AE129" i="28"/>
  <c r="Z130" i="28"/>
  <c r="Z132" i="28" s="1"/>
  <c r="Z135" i="28" s="1"/>
  <c r="O203" i="28"/>
  <c r="O130" i="28" s="1"/>
  <c r="AF203" i="28"/>
  <c r="AF130" i="28" s="1"/>
  <c r="AF132" i="28" s="1"/>
  <c r="AF135" i="28" s="1"/>
  <c r="S149" i="28"/>
  <c r="Z153" i="28"/>
  <c r="Z156" i="28" s="1"/>
  <c r="Z159" i="28" s="1"/>
  <c r="AB205" i="28"/>
  <c r="AB208" i="28" s="1"/>
  <c r="Z205" i="28"/>
  <c r="Z208" i="28" s="1"/>
  <c r="R205" i="28"/>
  <c r="R208" i="28" s="1"/>
  <c r="S154" i="28"/>
  <c r="S302" i="28"/>
  <c r="S305" i="28" s="1"/>
  <c r="W154" i="28"/>
  <c r="W156" i="28" s="1"/>
  <c r="W159" i="28" s="1"/>
  <c r="W149" i="28"/>
  <c r="P153" i="28"/>
  <c r="P156" i="28" s="1"/>
  <c r="P159" i="28" s="1"/>
  <c r="AD149" i="28"/>
  <c r="Y302" i="28"/>
  <c r="Y305" i="28" s="1"/>
  <c r="AD154" i="28"/>
  <c r="P229" i="28"/>
  <c r="P232" i="28" s="1"/>
  <c r="M153" i="28"/>
  <c r="M156" i="28" s="1"/>
  <c r="M159" i="28" s="1"/>
  <c r="AI302" i="28"/>
  <c r="AI305" i="28" s="1"/>
  <c r="L154" i="28"/>
  <c r="L156" i="28" s="1"/>
  <c r="L159" i="28" s="1"/>
  <c r="AD302" i="28"/>
  <c r="AD305" i="28" s="1"/>
  <c r="AG302" i="28"/>
  <c r="AG305" i="28" s="1"/>
  <c r="AC154" i="28"/>
  <c r="N302" i="28"/>
  <c r="N305" i="28" s="1"/>
  <c r="U149" i="28"/>
  <c r="U154" i="28"/>
  <c r="U156" i="28" s="1"/>
  <c r="U159" i="28" s="1"/>
  <c r="L149" i="28"/>
  <c r="Q302" i="28"/>
  <c r="Q305" i="28" s="1"/>
  <c r="T149" i="28"/>
  <c r="AE302" i="28"/>
  <c r="AE305" i="28" s="1"/>
  <c r="T154" i="28"/>
  <c r="T156" i="28" s="1"/>
  <c r="T159" i="28" s="1"/>
  <c r="AC254" i="28"/>
  <c r="AC257" i="28" s="1"/>
  <c r="AD153" i="28"/>
  <c r="AH302" i="28"/>
  <c r="AH305" i="28" s="1"/>
  <c r="AC302" i="28"/>
  <c r="AC305" i="28" s="1"/>
  <c r="Q149" i="28"/>
  <c r="R254" i="28"/>
  <c r="R257" i="28" s="1"/>
  <c r="AC153" i="28"/>
  <c r="X149" i="28"/>
  <c r="V156" i="28"/>
  <c r="V159" i="28" s="1"/>
  <c r="AE154" i="28"/>
  <c r="AB149" i="28"/>
  <c r="X154" i="28"/>
  <c r="X156" i="28" s="1"/>
  <c r="X159" i="28" s="1"/>
  <c r="AI254" i="28"/>
  <c r="AI257" i="28" s="1"/>
  <c r="AE149" i="28"/>
  <c r="R153" i="28"/>
  <c r="R156" i="28" s="1"/>
  <c r="R159" i="28" s="1"/>
  <c r="K153" i="28"/>
  <c r="K156" i="28" s="1"/>
  <c r="K159" i="28" s="1"/>
  <c r="K160" i="28" s="1"/>
  <c r="K101" i="12" s="1"/>
  <c r="AA153" i="28"/>
  <c r="AA156" i="28" s="1"/>
  <c r="AA159" i="28" s="1"/>
  <c r="U254" i="28"/>
  <c r="U257" i="28" s="1"/>
  <c r="V302" i="28"/>
  <c r="V305" i="28" s="1"/>
  <c r="AF149" i="28"/>
  <c r="N154" i="28"/>
  <c r="N156" i="28" s="1"/>
  <c r="N159" i="28" s="1"/>
  <c r="N149" i="28"/>
  <c r="S153" i="28"/>
  <c r="AJ302" i="28"/>
  <c r="AJ305" i="28" s="1"/>
  <c r="AJ252" i="26"/>
  <c r="AJ271" i="26"/>
  <c r="AJ275" i="26"/>
  <c r="AE254" i="28"/>
  <c r="AE257" i="28" s="1"/>
  <c r="AC149" i="28"/>
  <c r="X229" i="28"/>
  <c r="X232" i="28" s="1"/>
  <c r="R229" i="28"/>
  <c r="R232" i="28" s="1"/>
  <c r="L229" i="28"/>
  <c r="L232" i="28" s="1"/>
  <c r="K205" i="28"/>
  <c r="K206" i="28" s="1"/>
  <c r="AB154" i="28"/>
  <c r="AB156" i="28" s="1"/>
  <c r="AB159" i="28" s="1"/>
  <c r="V229" i="28"/>
  <c r="V232" i="28" s="1"/>
  <c r="AF154" i="28"/>
  <c r="AF156" i="28" s="1"/>
  <c r="AF159" i="28" s="1"/>
  <c r="Q154" i="28"/>
  <c r="Q156" i="28" s="1"/>
  <c r="Q159" i="28" s="1"/>
  <c r="S254" i="28"/>
  <c r="S257" i="28" s="1"/>
  <c r="AF254" i="28"/>
  <c r="AF257" i="28" s="1"/>
  <c r="O254" i="28"/>
  <c r="O257" i="28" s="1"/>
  <c r="AB254" i="28"/>
  <c r="AB257" i="28" s="1"/>
  <c r="AH254" i="28"/>
  <c r="AH257" i="28" s="1"/>
  <c r="P254" i="28"/>
  <c r="P257" i="28" s="1"/>
  <c r="Y254" i="28"/>
  <c r="Y257" i="28" s="1"/>
  <c r="Y149" i="28"/>
  <c r="Y154" i="28"/>
  <c r="Y156" i="28" s="1"/>
  <c r="Y159" i="28" s="1"/>
  <c r="AE153" i="28"/>
  <c r="Q229" i="28"/>
  <c r="Q232" i="28" s="1"/>
  <c r="K229" i="28"/>
  <c r="K232" i="28" s="1"/>
  <c r="K233" i="28" s="1"/>
  <c r="AC229" i="28"/>
  <c r="AC232" i="28" s="1"/>
  <c r="W229" i="28"/>
  <c r="W232" i="28" s="1"/>
  <c r="AG229" i="28"/>
  <c r="AG232" i="28" s="1"/>
  <c r="AD229" i="28"/>
  <c r="AD232" i="28" s="1"/>
  <c r="O229" i="28"/>
  <c r="O232" i="28" s="1"/>
  <c r="AB229" i="28"/>
  <c r="AB232" i="28" s="1"/>
  <c r="N229" i="28"/>
  <c r="N232" i="28" s="1"/>
  <c r="K303" i="28"/>
  <c r="L303" i="28" s="1"/>
  <c r="M303" i="28" s="1"/>
  <c r="K305" i="28"/>
  <c r="K306" i="28" s="1"/>
  <c r="L306" i="28" s="1"/>
  <c r="M306" i="28" s="1"/>
  <c r="T229" i="28"/>
  <c r="T232" i="28" s="1"/>
  <c r="O156" i="28"/>
  <c r="O159" i="28" s="1"/>
  <c r="AA229" i="28"/>
  <c r="AA232" i="28" s="1"/>
  <c r="M229" i="28"/>
  <c r="M232" i="28" s="1"/>
  <c r="Z229" i="28"/>
  <c r="Z232" i="28" s="1"/>
  <c r="S229" i="28"/>
  <c r="S232" i="28" s="1"/>
  <c r="AE229" i="28"/>
  <c r="AE232" i="28" s="1"/>
  <c r="Y229" i="28"/>
  <c r="Y232" i="28" s="1"/>
  <c r="U229" i="28"/>
  <c r="U232" i="28" s="1"/>
  <c r="M132" i="28"/>
  <c r="M135" i="28" s="1"/>
  <c r="Y132" i="28"/>
  <c r="Y135" i="28" s="1"/>
  <c r="L205" i="28"/>
  <c r="L208" i="28" s="1"/>
  <c r="AB132" i="28"/>
  <c r="AB135" i="28" s="1"/>
  <c r="M205" i="28"/>
  <c r="M208" i="28" s="1"/>
  <c r="S205" i="28"/>
  <c r="S208" i="28" s="1"/>
  <c r="AD205" i="28"/>
  <c r="AD208" i="28" s="1"/>
  <c r="X205" i="28"/>
  <c r="X208" i="28" s="1"/>
  <c r="AD132" i="28"/>
  <c r="AD135" i="28" s="1"/>
  <c r="X132" i="28"/>
  <c r="X135" i="28" s="1"/>
  <c r="Y205" i="28"/>
  <c r="Y208" i="28" s="1"/>
  <c r="K281" i="28"/>
  <c r="K282" i="28" s="1"/>
  <c r="L282" i="28" s="1"/>
  <c r="M282" i="28" s="1"/>
  <c r="N282" i="28" s="1"/>
  <c r="O282" i="28" s="1"/>
  <c r="K279" i="28"/>
  <c r="L279" i="28" s="1"/>
  <c r="M279" i="28" s="1"/>
  <c r="N279" i="28" s="1"/>
  <c r="O279" i="28" s="1"/>
  <c r="W205" i="28"/>
  <c r="W208" i="28" s="1"/>
  <c r="AE205" i="28"/>
  <c r="AE208" i="28" s="1"/>
  <c r="Q205" i="28"/>
  <c r="Q208" i="28" s="1"/>
  <c r="AC205" i="28"/>
  <c r="AC208" i="28" s="1"/>
  <c r="V205" i="28"/>
  <c r="V208" i="28" s="1"/>
  <c r="Z105" i="28"/>
  <c r="AD179" i="28"/>
  <c r="AD106" i="28" s="1"/>
  <c r="AD101" i="28"/>
  <c r="V105" i="28"/>
  <c r="R101" i="28"/>
  <c r="R179" i="28"/>
  <c r="R106" i="28" s="1"/>
  <c r="AE105" i="28"/>
  <c r="AB101" i="28"/>
  <c r="AB179" i="28"/>
  <c r="AB106" i="28" s="1"/>
  <c r="AC105" i="28"/>
  <c r="S101" i="28"/>
  <c r="S179" i="28"/>
  <c r="S106" i="28" s="1"/>
  <c r="P105" i="28"/>
  <c r="Q101" i="28"/>
  <c r="Q179" i="28"/>
  <c r="Q106" i="28" s="1"/>
  <c r="W179" i="28"/>
  <c r="W106" i="28" s="1"/>
  <c r="W101" i="28"/>
  <c r="T105" i="28"/>
  <c r="U101" i="28"/>
  <c r="U179" i="28"/>
  <c r="U106" i="28" s="1"/>
  <c r="AA101" i="28"/>
  <c r="AA179" i="28"/>
  <c r="AA106" i="28" s="1"/>
  <c r="X105" i="28"/>
  <c r="Y101" i="28"/>
  <c r="Y179" i="28"/>
  <c r="Y106" i="28" s="1"/>
  <c r="AA254" i="28"/>
  <c r="AA257" i="28" s="1"/>
  <c r="O105" i="28"/>
  <c r="L179" i="28"/>
  <c r="L106" i="28" s="1"/>
  <c r="L101" i="28"/>
  <c r="M105" i="28"/>
  <c r="L254" i="28"/>
  <c r="L257" i="28" s="1"/>
  <c r="AD254" i="28"/>
  <c r="AD257" i="28" s="1"/>
  <c r="AG254" i="28"/>
  <c r="AG257" i="28" s="1"/>
  <c r="AF101" i="28"/>
  <c r="AF179" i="28"/>
  <c r="AF106" i="28" s="1"/>
  <c r="AG105" i="28"/>
  <c r="Z254" i="28"/>
  <c r="Z257" i="28" s="1"/>
  <c r="N105" i="28"/>
  <c r="K105" i="28"/>
  <c r="V254" i="28"/>
  <c r="V257" i="28" s="1"/>
  <c r="Z179" i="28"/>
  <c r="Z106" i="28" s="1"/>
  <c r="Z101" i="28"/>
  <c r="AD105" i="28"/>
  <c r="V101" i="28"/>
  <c r="V179" i="28"/>
  <c r="V106" i="28" s="1"/>
  <c r="R105" i="28"/>
  <c r="AE179" i="28"/>
  <c r="AE106" i="28" s="1"/>
  <c r="AE101" i="28"/>
  <c r="AB105" i="28"/>
  <c r="AC179" i="28"/>
  <c r="AC106" i="28" s="1"/>
  <c r="AC101" i="28"/>
  <c r="S105" i="28"/>
  <c r="P101" i="28"/>
  <c r="P179" i="28"/>
  <c r="P106" i="28" s="1"/>
  <c r="Q105" i="28"/>
  <c r="W105" i="28"/>
  <c r="T179" i="28"/>
  <c r="T106" i="28" s="1"/>
  <c r="T101" i="28"/>
  <c r="U105" i="28"/>
  <c r="AA105" i="28"/>
  <c r="X179" i="28"/>
  <c r="X106" i="28" s="1"/>
  <c r="X101" i="28"/>
  <c r="Y105" i="28"/>
  <c r="T254" i="28"/>
  <c r="T257" i="28" s="1"/>
  <c r="O179" i="28"/>
  <c r="O106" i="28" s="1"/>
  <c r="O101" i="28"/>
  <c r="L105" i="28"/>
  <c r="M101" i="28"/>
  <c r="M179" i="28"/>
  <c r="M106" i="28" s="1"/>
  <c r="W254" i="28"/>
  <c r="W257" i="28" s="1"/>
  <c r="N254" i="28"/>
  <c r="N257" i="28" s="1"/>
  <c r="Q254" i="28"/>
  <c r="Q257" i="28" s="1"/>
  <c r="AF105" i="28"/>
  <c r="AG101" i="28"/>
  <c r="AG179" i="28"/>
  <c r="AG106" i="28" s="1"/>
  <c r="K254" i="28"/>
  <c r="AJ257" i="28"/>
  <c r="M254" i="28"/>
  <c r="M257" i="28" s="1"/>
  <c r="N179" i="28"/>
  <c r="N106" i="28" s="1"/>
  <c r="N101" i="28"/>
  <c r="K179" i="28"/>
  <c r="K106" i="28" s="1"/>
  <c r="K101" i="28"/>
  <c r="X254" i="28"/>
  <c r="X257" i="28" s="1"/>
  <c r="AG116" i="19"/>
  <c r="AG140" i="19"/>
  <c r="AB302" i="25"/>
  <c r="AB298" i="25"/>
  <c r="T302" i="25"/>
  <c r="T298" i="25"/>
  <c r="AD302" i="25"/>
  <c r="AD298" i="25"/>
  <c r="M302" i="25"/>
  <c r="M298" i="25"/>
  <c r="AA302" i="25"/>
  <c r="AA298" i="25"/>
  <c r="R302" i="25"/>
  <c r="R298" i="25"/>
  <c r="Q302" i="25"/>
  <c r="Q298" i="25"/>
  <c r="P302" i="25"/>
  <c r="P298" i="25"/>
  <c r="Z302" i="25"/>
  <c r="Z298" i="25"/>
  <c r="S302" i="25"/>
  <c r="S298" i="25"/>
  <c r="AC302" i="25"/>
  <c r="AC298" i="25"/>
  <c r="AG302" i="25"/>
  <c r="AG298" i="25"/>
  <c r="AF302" i="25"/>
  <c r="AF298" i="25"/>
  <c r="Y302" i="25"/>
  <c r="Y298" i="25"/>
  <c r="AI302" i="25"/>
  <c r="AI298" i="25"/>
  <c r="K302" i="25"/>
  <c r="K298" i="25"/>
  <c r="K303" i="25" s="1"/>
  <c r="AH302" i="25"/>
  <c r="AH298" i="25"/>
  <c r="O302" i="25"/>
  <c r="O298" i="25"/>
  <c r="W302" i="25"/>
  <c r="W298" i="25"/>
  <c r="V302" i="25"/>
  <c r="V298" i="25"/>
  <c r="U302" i="25"/>
  <c r="U298" i="25"/>
  <c r="AE302" i="25"/>
  <c r="AE298" i="25"/>
  <c r="N302" i="25"/>
  <c r="N298" i="25"/>
  <c r="X302" i="25"/>
  <c r="X298" i="25"/>
  <c r="L302" i="25"/>
  <c r="L298" i="25"/>
  <c r="P299" i="26"/>
  <c r="P295" i="26"/>
  <c r="AI299" i="26"/>
  <c r="AI295" i="26"/>
  <c r="AG299" i="26"/>
  <c r="AG295" i="26"/>
  <c r="T295" i="26"/>
  <c r="T299" i="26"/>
  <c r="V295" i="26"/>
  <c r="V299" i="26"/>
  <c r="W295" i="26"/>
  <c r="W299" i="26"/>
  <c r="R295" i="26"/>
  <c r="R299" i="26"/>
  <c r="U295" i="26"/>
  <c r="U299" i="26"/>
  <c r="AF295" i="26"/>
  <c r="AF299" i="26"/>
  <c r="S295" i="26"/>
  <c r="S299" i="26"/>
  <c r="Z295" i="26"/>
  <c r="Z299" i="26"/>
  <c r="AB299" i="26"/>
  <c r="AB295" i="26"/>
  <c r="L299" i="26"/>
  <c r="L295" i="26"/>
  <c r="AE295" i="26"/>
  <c r="AE299" i="26"/>
  <c r="O295" i="26"/>
  <c r="O299" i="26"/>
  <c r="AC295" i="26"/>
  <c r="AC299" i="26"/>
  <c r="M295" i="26"/>
  <c r="M299" i="26"/>
  <c r="Q299" i="26"/>
  <c r="Q295" i="26"/>
  <c r="N295" i="26"/>
  <c r="N299" i="26"/>
  <c r="X299" i="26"/>
  <c r="X295" i="26"/>
  <c r="AH295" i="26"/>
  <c r="AH299" i="26"/>
  <c r="AA299" i="26"/>
  <c r="AA295" i="26"/>
  <c r="AD299" i="26"/>
  <c r="AD295" i="26"/>
  <c r="Y295" i="26"/>
  <c r="Y299" i="26"/>
  <c r="K295" i="26"/>
  <c r="K300" i="26" s="1"/>
  <c r="K299" i="26"/>
  <c r="K275" i="26"/>
  <c r="K271" i="26"/>
  <c r="K276" i="26" s="1"/>
  <c r="K93" i="12"/>
  <c r="K72" i="29"/>
  <c r="M105" i="12"/>
  <c r="AJ254" i="48"/>
  <c r="AJ257" i="48" s="1"/>
  <c r="Z254" i="48"/>
  <c r="Z257" i="48" s="1"/>
  <c r="W254" i="48"/>
  <c r="W257" i="48" s="1"/>
  <c r="V254" i="48"/>
  <c r="V257" i="48" s="1"/>
  <c r="Z302" i="48"/>
  <c r="Z305" i="48" s="1"/>
  <c r="P302" i="48"/>
  <c r="P305" i="48" s="1"/>
  <c r="W302" i="48"/>
  <c r="W305" i="48" s="1"/>
  <c r="P254" i="48"/>
  <c r="P257" i="48" s="1"/>
  <c r="AG254" i="48"/>
  <c r="AG257" i="48" s="1"/>
  <c r="AI254" i="48"/>
  <c r="AI257" i="48" s="1"/>
  <c r="O254" i="48"/>
  <c r="O257" i="48" s="1"/>
  <c r="Q254" i="48"/>
  <c r="Q257" i="48" s="1"/>
  <c r="S254" i="48"/>
  <c r="S257" i="48" s="1"/>
  <c r="N254" i="48"/>
  <c r="N257" i="48" s="1"/>
  <c r="AH254" i="48"/>
  <c r="AH257" i="48" s="1"/>
  <c r="AF254" i="48"/>
  <c r="AF257" i="48" s="1"/>
  <c r="AA254" i="48"/>
  <c r="AA257" i="48" s="1"/>
  <c r="AI302" i="48"/>
  <c r="AI305" i="48" s="1"/>
  <c r="O302" i="48"/>
  <c r="O305" i="48" s="1"/>
  <c r="AH302" i="48"/>
  <c r="AH305" i="48" s="1"/>
  <c r="AC254" i="48"/>
  <c r="AC257" i="48" s="1"/>
  <c r="AD254" i="48"/>
  <c r="AD257" i="48" s="1"/>
  <c r="AB254" i="48"/>
  <c r="AB257" i="48" s="1"/>
  <c r="N302" i="48"/>
  <c r="N305" i="48" s="1"/>
  <c r="T302" i="48"/>
  <c r="T305" i="48" s="1"/>
  <c r="K302" i="48"/>
  <c r="Y302" i="48"/>
  <c r="Y305" i="48" s="1"/>
  <c r="X254" i="48"/>
  <c r="X257" i="48" s="1"/>
  <c r="U302" i="48"/>
  <c r="U305" i="48" s="1"/>
  <c r="AF302" i="48"/>
  <c r="AF305" i="48" s="1"/>
  <c r="L302" i="48"/>
  <c r="L305" i="48" s="1"/>
  <c r="T254" i="48"/>
  <c r="T257" i="48" s="1"/>
  <c r="K254" i="48"/>
  <c r="AD302" i="48"/>
  <c r="AD305" i="48" s="1"/>
  <c r="AJ302" i="48"/>
  <c r="AJ305" i="48" s="1"/>
  <c r="AA302" i="48"/>
  <c r="AA305" i="48" s="1"/>
  <c r="AC302" i="48"/>
  <c r="AC305" i="48" s="1"/>
  <c r="M302" i="48"/>
  <c r="M305" i="48" s="1"/>
  <c r="V302" i="48"/>
  <c r="V305" i="48" s="1"/>
  <c r="AB302" i="48"/>
  <c r="AB305" i="48" s="1"/>
  <c r="U254" i="48"/>
  <c r="U257" i="48" s="1"/>
  <c r="X302" i="48"/>
  <c r="X305" i="48" s="1"/>
  <c r="AE302" i="48"/>
  <c r="AE305" i="48" s="1"/>
  <c r="Q302" i="48"/>
  <c r="Q305" i="48" s="1"/>
  <c r="Y254" i="48"/>
  <c r="Y257" i="48" s="1"/>
  <c r="L254" i="48"/>
  <c r="L257" i="48" s="1"/>
  <c r="AE254" i="48"/>
  <c r="AE257" i="48" s="1"/>
  <c r="S302" i="48"/>
  <c r="S305" i="48" s="1"/>
  <c r="AG302" i="48"/>
  <c r="AG305" i="48" s="1"/>
  <c r="R302" i="48"/>
  <c r="R305" i="48" s="1"/>
  <c r="M254" i="48"/>
  <c r="M257" i="48" s="1"/>
  <c r="R254" i="48"/>
  <c r="R257" i="48" s="1"/>
  <c r="L112" i="29"/>
  <c r="K81" i="12"/>
  <c r="AH84" i="19"/>
  <c r="AH141" i="19" s="1"/>
  <c r="AG93" i="19"/>
  <c r="AG117" i="19"/>
  <c r="AH78" i="19"/>
  <c r="AG92" i="19"/>
  <c r="AG149" i="41"/>
  <c r="J113" i="40"/>
  <c r="J118" i="40"/>
  <c r="K115" i="40"/>
  <c r="L115" i="40"/>
  <c r="W115" i="40"/>
  <c r="AF115" i="40"/>
  <c r="O115" i="40"/>
  <c r="Z115" i="40"/>
  <c r="AG115" i="40"/>
  <c r="Q115" i="40"/>
  <c r="AA115" i="40"/>
  <c r="AI115" i="40"/>
  <c r="AB115" i="40"/>
  <c r="N115" i="40"/>
  <c r="V115" i="40"/>
  <c r="AC115" i="40"/>
  <c r="AE115" i="40"/>
  <c r="S115" i="40"/>
  <c r="X115" i="40"/>
  <c r="AH115" i="40"/>
  <c r="R115" i="40"/>
  <c r="Y115" i="40"/>
  <c r="P115" i="40"/>
  <c r="AJ115" i="40"/>
  <c r="T115" i="40"/>
  <c r="AD115" i="40"/>
  <c r="M115" i="40"/>
  <c r="U115" i="40"/>
  <c r="N120" i="40"/>
  <c r="L120" i="40"/>
  <c r="AA120" i="40"/>
  <c r="K120" i="40"/>
  <c r="AG120" i="40"/>
  <c r="O120" i="40"/>
  <c r="V120" i="40"/>
  <c r="R120" i="40"/>
  <c r="AE120" i="40"/>
  <c r="S120" i="40"/>
  <c r="AJ120" i="40"/>
  <c r="AC120" i="40"/>
  <c r="AH120" i="40"/>
  <c r="P120" i="40"/>
  <c r="W120" i="40"/>
  <c r="AF120" i="40"/>
  <c r="AB120" i="40"/>
  <c r="Y120" i="40"/>
  <c r="AD120" i="40"/>
  <c r="Q120" i="40"/>
  <c r="AI120" i="40"/>
  <c r="X120" i="40"/>
  <c r="T120" i="40"/>
  <c r="U120" i="40"/>
  <c r="Z120" i="40"/>
  <c r="M120" i="40"/>
  <c r="M157" i="29"/>
  <c r="N157" i="29" s="1"/>
  <c r="N160" i="29"/>
  <c r="O153" i="29"/>
  <c r="O156" i="29" s="1"/>
  <c r="O159" i="29" s="1"/>
  <c r="M109" i="29"/>
  <c r="N109" i="29" s="1"/>
  <c r="P71" i="29"/>
  <c r="M75" i="23"/>
  <c r="O75" i="23" s="1"/>
  <c r="C13" i="38"/>
  <c r="L13" i="38" s="1"/>
  <c r="N13" i="38" s="1"/>
  <c r="K35" i="23" s="1"/>
  <c r="L22" i="38"/>
  <c r="N22" i="38" s="1"/>
  <c r="K42" i="23" s="1"/>
  <c r="L19" i="38"/>
  <c r="L23" i="38"/>
  <c r="N23" i="38" s="1"/>
  <c r="K43" i="23" s="1"/>
  <c r="L24" i="38"/>
  <c r="N24" i="38" s="1"/>
  <c r="K44" i="23" s="1"/>
  <c r="L16" i="38"/>
  <c r="N16" i="38" s="1"/>
  <c r="K37" i="23" s="1"/>
  <c r="L17" i="38"/>
  <c r="N17" i="38" s="1"/>
  <c r="K38" i="23" s="1"/>
  <c r="L21" i="38"/>
  <c r="N21" i="38" s="1"/>
  <c r="L20" i="38"/>
  <c r="L14" i="38"/>
  <c r="N14" i="38" s="1"/>
  <c r="AA254" i="26"/>
  <c r="AA257" i="26" s="1"/>
  <c r="AE254" i="26"/>
  <c r="AE257" i="26" s="1"/>
  <c r="AF254" i="26"/>
  <c r="AF257" i="26" s="1"/>
  <c r="N133" i="29"/>
  <c r="O133" i="29" s="1"/>
  <c r="T149" i="27"/>
  <c r="T154" i="27" s="1"/>
  <c r="AJ149" i="27"/>
  <c r="AJ154" i="27" s="1"/>
  <c r="AJ156" i="27" s="1"/>
  <c r="AC153" i="27"/>
  <c r="AC149" i="27"/>
  <c r="AI149" i="27"/>
  <c r="AI154" i="27" s="1"/>
  <c r="Q149" i="27"/>
  <c r="Q154" i="27" s="1"/>
  <c r="N149" i="27"/>
  <c r="N154" i="27" s="1"/>
  <c r="Q153" i="27"/>
  <c r="M149" i="27"/>
  <c r="AF149" i="27"/>
  <c r="AF154" i="27" s="1"/>
  <c r="M153" i="27"/>
  <c r="U149" i="27"/>
  <c r="S149" i="27"/>
  <c r="S154" i="27" s="1"/>
  <c r="N153" i="27"/>
  <c r="AG149" i="27"/>
  <c r="AG154" i="27" s="1"/>
  <c r="AD153" i="27"/>
  <c r="K149" i="27"/>
  <c r="K154" i="27" s="1"/>
  <c r="S153" i="27"/>
  <c r="K153" i="27"/>
  <c r="L136" i="29"/>
  <c r="L93" i="12" s="1"/>
  <c r="AE149" i="27"/>
  <c r="AE154" i="27" s="1"/>
  <c r="V149" i="27"/>
  <c r="V154" i="27" s="1"/>
  <c r="AA153" i="27"/>
  <c r="V153" i="27"/>
  <c r="R149" i="27"/>
  <c r="R154" i="27" s="1"/>
  <c r="Z149" i="27"/>
  <c r="AA149" i="27"/>
  <c r="AA154" i="27" s="1"/>
  <c r="AB149" i="27"/>
  <c r="AB154" i="27" s="1"/>
  <c r="P153" i="27"/>
  <c r="AG153" i="27"/>
  <c r="Y153" i="27"/>
  <c r="W153" i="27"/>
  <c r="AD149" i="27"/>
  <c r="AD154" i="27" s="1"/>
  <c r="Y149" i="27"/>
  <c r="Y154" i="27" s="1"/>
  <c r="O149" i="27"/>
  <c r="L149" i="27"/>
  <c r="L154" i="27" s="1"/>
  <c r="L153" i="27"/>
  <c r="X149" i="27"/>
  <c r="AH149" i="27"/>
  <c r="AH153" i="27"/>
  <c r="K109" i="27"/>
  <c r="O108" i="29"/>
  <c r="O111" i="29" s="1"/>
  <c r="L108" i="27"/>
  <c r="L111" i="27" s="1"/>
  <c r="L112" i="27" s="1"/>
  <c r="L80" i="12" s="1"/>
  <c r="L258" i="26"/>
  <c r="M258" i="26" s="1"/>
  <c r="N258" i="26" s="1"/>
  <c r="O258" i="26" s="1"/>
  <c r="P258" i="26" s="1"/>
  <c r="Q258" i="26" s="1"/>
  <c r="R258" i="26" s="1"/>
  <c r="S258" i="26" s="1"/>
  <c r="T258" i="26" s="1"/>
  <c r="U258" i="26" s="1"/>
  <c r="V258" i="26" s="1"/>
  <c r="W258" i="26" s="1"/>
  <c r="X258" i="26" s="1"/>
  <c r="Y258" i="26" s="1"/>
  <c r="Z258" i="26" s="1"/>
  <c r="K255" i="26"/>
  <c r="L255" i="26" s="1"/>
  <c r="M255" i="26" s="1"/>
  <c r="N255" i="26" s="1"/>
  <c r="O255" i="26" s="1"/>
  <c r="P255" i="26" s="1"/>
  <c r="Q255" i="26" s="1"/>
  <c r="R255" i="26" s="1"/>
  <c r="S255" i="26" s="1"/>
  <c r="T255" i="26" s="1"/>
  <c r="U255" i="26" s="1"/>
  <c r="V255" i="26" s="1"/>
  <c r="W255" i="26" s="1"/>
  <c r="X255" i="26" s="1"/>
  <c r="Y255" i="26" s="1"/>
  <c r="Z255" i="26" s="1"/>
  <c r="P278" i="25"/>
  <c r="AF278" i="25"/>
  <c r="Z278" i="25"/>
  <c r="AC274" i="25"/>
  <c r="AC279" i="25" s="1"/>
  <c r="AC281" i="25" s="1"/>
  <c r="Z274" i="25"/>
  <c r="Z279" i="25" s="1"/>
  <c r="V274" i="25"/>
  <c r="V279" i="25" s="1"/>
  <c r="V281" i="25" s="1"/>
  <c r="AF274" i="25"/>
  <c r="AF279" i="25" s="1"/>
  <c r="P274" i="25"/>
  <c r="P279" i="25" s="1"/>
  <c r="AH278" i="25"/>
  <c r="AD274" i="25"/>
  <c r="AD279" i="25" s="1"/>
  <c r="AD281" i="25" s="1"/>
  <c r="M278" i="25"/>
  <c r="O274" i="25"/>
  <c r="O279" i="25" s="1"/>
  <c r="O278" i="25"/>
  <c r="R278" i="25"/>
  <c r="X274" i="25"/>
  <c r="X279" i="25" s="1"/>
  <c r="X281" i="25" s="1"/>
  <c r="AG274" i="25"/>
  <c r="AG279" i="25" s="1"/>
  <c r="U274" i="25"/>
  <c r="U279" i="25" s="1"/>
  <c r="U281" i="25" s="1"/>
  <c r="R274" i="25"/>
  <c r="R279" i="25" s="1"/>
  <c r="P12" i="27"/>
  <c r="X121" i="27"/>
  <c r="AH121" i="27"/>
  <c r="L121" i="27"/>
  <c r="AC121" i="27"/>
  <c r="O121" i="27"/>
  <c r="AF121" i="27"/>
  <c r="Y121" i="27"/>
  <c r="AA121" i="27"/>
  <c r="AE121" i="27"/>
  <c r="N121" i="27"/>
  <c r="S121" i="27"/>
  <c r="M121" i="27"/>
  <c r="AG121" i="27"/>
  <c r="AJ121" i="27"/>
  <c r="T121" i="27"/>
  <c r="Z121" i="27"/>
  <c r="AB121" i="27"/>
  <c r="W121" i="27"/>
  <c r="R121" i="27"/>
  <c r="AI121" i="27"/>
  <c r="P121" i="27"/>
  <c r="AD121" i="27"/>
  <c r="K121" i="27"/>
  <c r="Q121" i="27"/>
  <c r="V121" i="27"/>
  <c r="U121" i="27"/>
  <c r="N278" i="25"/>
  <c r="T278" i="25"/>
  <c r="N274" i="25"/>
  <c r="K279" i="25"/>
  <c r="L278" i="25"/>
  <c r="S278" i="25"/>
  <c r="Y278" i="25"/>
  <c r="K278" i="25"/>
  <c r="AE278" i="25"/>
  <c r="AB274" i="25"/>
  <c r="AB279" i="25" s="1"/>
  <c r="AB281" i="25" s="1"/>
  <c r="P154" i="29"/>
  <c r="Q88" i="29"/>
  <c r="P130" i="29"/>
  <c r="P106" i="29"/>
  <c r="S274" i="25"/>
  <c r="P154" i="27"/>
  <c r="AG278" i="25"/>
  <c r="W278" i="25"/>
  <c r="Q278" i="25"/>
  <c r="AI278" i="25"/>
  <c r="AA278" i="25"/>
  <c r="AE274" i="25"/>
  <c r="AI274" i="25"/>
  <c r="AA274" i="25"/>
  <c r="AA279" i="25" s="1"/>
  <c r="W274" i="25"/>
  <c r="W279" i="25" s="1"/>
  <c r="M279" i="25"/>
  <c r="AH279" i="25"/>
  <c r="L279" i="25"/>
  <c r="Y279" i="25"/>
  <c r="T279" i="25"/>
  <c r="Q279" i="25"/>
  <c r="R257" i="25"/>
  <c r="AG257" i="25"/>
  <c r="AI257" i="25"/>
  <c r="W257" i="25"/>
  <c r="AB257" i="25"/>
  <c r="L257" i="25"/>
  <c r="S257" i="25"/>
  <c r="Q257" i="25"/>
  <c r="Y257" i="25"/>
  <c r="U257" i="25"/>
  <c r="O275" i="26"/>
  <c r="O271" i="26"/>
  <c r="AH271" i="26"/>
  <c r="AH275" i="26"/>
  <c r="AD275" i="26"/>
  <c r="AD271" i="26"/>
  <c r="T271" i="26"/>
  <c r="T275" i="26"/>
  <c r="X271" i="26"/>
  <c r="X275" i="26"/>
  <c r="AI275" i="26"/>
  <c r="AI271" i="26"/>
  <c r="P275" i="26"/>
  <c r="P271" i="26"/>
  <c r="AA275" i="26"/>
  <c r="AA271" i="26"/>
  <c r="AC271" i="26"/>
  <c r="AC275" i="26"/>
  <c r="S275" i="26"/>
  <c r="S271" i="26"/>
  <c r="L271" i="26"/>
  <c r="L275" i="26"/>
  <c r="Z271" i="26"/>
  <c r="Z275" i="26"/>
  <c r="R271" i="26"/>
  <c r="R275" i="26"/>
  <c r="W275" i="26"/>
  <c r="W271" i="26"/>
  <c r="AG275" i="26"/>
  <c r="AG271" i="26"/>
  <c r="V275" i="26"/>
  <c r="V271" i="26"/>
  <c r="N275" i="26"/>
  <c r="N271" i="26"/>
  <c r="Y271" i="26"/>
  <c r="Y275" i="26"/>
  <c r="AB275" i="26"/>
  <c r="AB271" i="26"/>
  <c r="Q271" i="26"/>
  <c r="Q275" i="26"/>
  <c r="AE275" i="26"/>
  <c r="AE271" i="26"/>
  <c r="U271" i="26"/>
  <c r="U275" i="26"/>
  <c r="M275" i="26"/>
  <c r="M271" i="26"/>
  <c r="AF271" i="26"/>
  <c r="AF275" i="26"/>
  <c r="AC257" i="25"/>
  <c r="M257" i="25"/>
  <c r="AE257" i="25"/>
  <c r="X257" i="25"/>
  <c r="N257" i="25"/>
  <c r="Z257" i="25"/>
  <c r="T257" i="25"/>
  <c r="AH257" i="25"/>
  <c r="V257" i="25"/>
  <c r="AD257" i="25"/>
  <c r="O257" i="25"/>
  <c r="AF257" i="25"/>
  <c r="AA257" i="25"/>
  <c r="P257" i="25"/>
  <c r="K41" i="23" l="1"/>
  <c r="L104" i="30" s="1"/>
  <c r="K36" i="23"/>
  <c r="L95" i="30" s="1"/>
  <c r="M95" i="30" s="1"/>
  <c r="N95" i="30" s="1"/>
  <c r="AC33" i="26"/>
  <c r="Q33" i="26"/>
  <c r="K33" i="26"/>
  <c r="T205" i="28"/>
  <c r="T208" i="28" s="1"/>
  <c r="AH149" i="28"/>
  <c r="K11" i="27"/>
  <c r="AC11" i="27"/>
  <c r="AC11" i="28"/>
  <c r="K11" i="28"/>
  <c r="M7" i="42"/>
  <c r="Q11" i="28"/>
  <c r="Q11" i="27"/>
  <c r="K29" i="26"/>
  <c r="AC34" i="25"/>
  <c r="AC29" i="26"/>
  <c r="Q34" i="25"/>
  <c r="Q29" i="26"/>
  <c r="K34" i="25"/>
  <c r="K29" i="28"/>
  <c r="AC29" i="28"/>
  <c r="Q29" i="28"/>
  <c r="T132" i="28"/>
  <c r="T135" i="28" s="1"/>
  <c r="P279" i="28"/>
  <c r="Q279" i="28" s="1"/>
  <c r="R279" i="28" s="1"/>
  <c r="S279" i="28" s="1"/>
  <c r="T279" i="28" s="1"/>
  <c r="U279" i="28" s="1"/>
  <c r="V279" i="28" s="1"/>
  <c r="W279" i="28" s="1"/>
  <c r="X279" i="28" s="1"/>
  <c r="Y279" i="28" s="1"/>
  <c r="Z279" i="28" s="1"/>
  <c r="AA279" i="28" s="1"/>
  <c r="AB279" i="28" s="1"/>
  <c r="AC279" i="28" s="1"/>
  <c r="AD279" i="28" s="1"/>
  <c r="AE279" i="28" s="1"/>
  <c r="AF279" i="28" s="1"/>
  <c r="AG279" i="28" s="1"/>
  <c r="AH279" i="28" s="1"/>
  <c r="AI279" i="28" s="1"/>
  <c r="AJ279" i="28" s="1"/>
  <c r="P282" i="28"/>
  <c r="Q282" i="28" s="1"/>
  <c r="R282" i="28" s="1"/>
  <c r="S282" i="28" s="1"/>
  <c r="T282" i="28" s="1"/>
  <c r="U282" i="28" s="1"/>
  <c r="V282" i="28" s="1"/>
  <c r="W282" i="28" s="1"/>
  <c r="X282" i="28" s="1"/>
  <c r="Y282" i="28" s="1"/>
  <c r="Z282" i="28" s="1"/>
  <c r="AA282" i="28" s="1"/>
  <c r="AB282" i="28" s="1"/>
  <c r="AC282" i="28" s="1"/>
  <c r="AD282" i="28" s="1"/>
  <c r="AE282" i="28" s="1"/>
  <c r="AF282" i="28" s="1"/>
  <c r="AG282" i="28" s="1"/>
  <c r="AH282" i="28" s="1"/>
  <c r="AI282" i="28" s="1"/>
  <c r="AJ282" i="28" s="1"/>
  <c r="O132" i="28"/>
  <c r="O135" i="28" s="1"/>
  <c r="P205" i="28"/>
  <c r="P208" i="28" s="1"/>
  <c r="AH101" i="28"/>
  <c r="AH229" i="28"/>
  <c r="AH232" i="28" s="1"/>
  <c r="AF181" i="28"/>
  <c r="AF184" i="28" s="1"/>
  <c r="Q181" i="28"/>
  <c r="Q184" i="28" s="1"/>
  <c r="AH203" i="28"/>
  <c r="AH130" i="28" s="1"/>
  <c r="AH132" i="28" s="1"/>
  <c r="AH135" i="28" s="1"/>
  <c r="AF159" i="41"/>
  <c r="AF160" i="41" s="1"/>
  <c r="AF73" i="41" s="1"/>
  <c r="AF157" i="41"/>
  <c r="AG154" i="41"/>
  <c r="AG156" i="41" s="1"/>
  <c r="AG159" i="41" s="1"/>
  <c r="AJ84" i="28"/>
  <c r="AI214" i="28"/>
  <c r="AI226" i="28" s="1"/>
  <c r="AI166" i="28"/>
  <c r="AI178" i="28" s="1"/>
  <c r="AI105" i="28" s="1"/>
  <c r="AI190" i="28"/>
  <c r="AI202" i="28" s="1"/>
  <c r="AJ78" i="28"/>
  <c r="AI165" i="28"/>
  <c r="AI174" i="28" s="1"/>
  <c r="AI213" i="28"/>
  <c r="AI222" i="28" s="1"/>
  <c r="AI189" i="28"/>
  <c r="AI198" i="28" s="1"/>
  <c r="AA205" i="28"/>
  <c r="AA208" i="28" s="1"/>
  <c r="S156" i="28"/>
  <c r="S159" i="28" s="1"/>
  <c r="N132" i="28"/>
  <c r="N135" i="28" s="1"/>
  <c r="R132" i="28"/>
  <c r="R135" i="28" s="1"/>
  <c r="U205" i="28"/>
  <c r="U208" i="28" s="1"/>
  <c r="AG205" i="28"/>
  <c r="AG208" i="28" s="1"/>
  <c r="N205" i="28"/>
  <c r="N208" i="28" s="1"/>
  <c r="O205" i="28"/>
  <c r="O208" i="28" s="1"/>
  <c r="AE132" i="28"/>
  <c r="AE135" i="28" s="1"/>
  <c r="AF205" i="28"/>
  <c r="AF208" i="28" s="1"/>
  <c r="AD156" i="28"/>
  <c r="AD159" i="28" s="1"/>
  <c r="AC156" i="28"/>
  <c r="AC159" i="28" s="1"/>
  <c r="L233" i="28"/>
  <c r="M233" i="28" s="1"/>
  <c r="N233" i="28" s="1"/>
  <c r="O233" i="28" s="1"/>
  <c r="P233" i="28" s="1"/>
  <c r="Q233" i="28" s="1"/>
  <c r="R233" i="28" s="1"/>
  <c r="S233" i="28" s="1"/>
  <c r="T233" i="28" s="1"/>
  <c r="U233" i="28" s="1"/>
  <c r="V233" i="28" s="1"/>
  <c r="W233" i="28" s="1"/>
  <c r="X233" i="28" s="1"/>
  <c r="Y233" i="28" s="1"/>
  <c r="Z233" i="28" s="1"/>
  <c r="AA233" i="28" s="1"/>
  <c r="AB233" i="28" s="1"/>
  <c r="AC233" i="28" s="1"/>
  <c r="AD233" i="28" s="1"/>
  <c r="AE233" i="28" s="1"/>
  <c r="AF233" i="28" s="1"/>
  <c r="AG233" i="28" s="1"/>
  <c r="N306" i="28"/>
  <c r="O306" i="28" s="1"/>
  <c r="P306" i="28" s="1"/>
  <c r="Q306" i="28" s="1"/>
  <c r="R306" i="28" s="1"/>
  <c r="S306" i="28" s="1"/>
  <c r="T306" i="28" s="1"/>
  <c r="U306" i="28" s="1"/>
  <c r="V306" i="28" s="1"/>
  <c r="W306" i="28" s="1"/>
  <c r="X306" i="28" s="1"/>
  <c r="Y306" i="28" s="1"/>
  <c r="Z306" i="28" s="1"/>
  <c r="AA306" i="28" s="1"/>
  <c r="AB306" i="28" s="1"/>
  <c r="AC306" i="28" s="1"/>
  <c r="AD306" i="28" s="1"/>
  <c r="AE306" i="28" s="1"/>
  <c r="AF306" i="28" s="1"/>
  <c r="AG306" i="28" s="1"/>
  <c r="AH306" i="28" s="1"/>
  <c r="AI306" i="28" s="1"/>
  <c r="AJ306" i="28" s="1"/>
  <c r="N303" i="28"/>
  <c r="O303" i="28" s="1"/>
  <c r="P303" i="28" s="1"/>
  <c r="Q303" i="28" s="1"/>
  <c r="R303" i="28" s="1"/>
  <c r="S303" i="28" s="1"/>
  <c r="T303" i="28" s="1"/>
  <c r="U303" i="28" s="1"/>
  <c r="V303" i="28" s="1"/>
  <c r="W303" i="28" s="1"/>
  <c r="X303" i="28" s="1"/>
  <c r="Y303" i="28" s="1"/>
  <c r="Z303" i="28" s="1"/>
  <c r="AA303" i="28" s="1"/>
  <c r="AB303" i="28" s="1"/>
  <c r="AC303" i="28" s="1"/>
  <c r="AD303" i="28" s="1"/>
  <c r="AE303" i="28" s="1"/>
  <c r="AF303" i="28" s="1"/>
  <c r="AG303" i="28" s="1"/>
  <c r="AH303" i="28" s="1"/>
  <c r="AI303" i="28" s="1"/>
  <c r="AJ303" i="28" s="1"/>
  <c r="K133" i="28"/>
  <c r="L133" i="28" s="1"/>
  <c r="M133" i="28" s="1"/>
  <c r="AE156" i="28"/>
  <c r="AE159" i="28" s="1"/>
  <c r="K157" i="28"/>
  <c r="L157" i="28" s="1"/>
  <c r="M157" i="28" s="1"/>
  <c r="N157" i="28" s="1"/>
  <c r="O157" i="28" s="1"/>
  <c r="P157" i="28" s="1"/>
  <c r="Q157" i="28" s="1"/>
  <c r="R157" i="28" s="1"/>
  <c r="S108" i="28"/>
  <c r="S111" i="28" s="1"/>
  <c r="Y108" i="28"/>
  <c r="Y111" i="28" s="1"/>
  <c r="AJ254" i="26"/>
  <c r="AJ257" i="26" s="1"/>
  <c r="Q108" i="28"/>
  <c r="Q111" i="28" s="1"/>
  <c r="AH156" i="28"/>
  <c r="AH159" i="28" s="1"/>
  <c r="K230" i="28"/>
  <c r="L230" i="28" s="1"/>
  <c r="M230" i="28" s="1"/>
  <c r="N230" i="28" s="1"/>
  <c r="O230" i="28" s="1"/>
  <c r="P230" i="28" s="1"/>
  <c r="Q230" i="28" s="1"/>
  <c r="R230" i="28" s="1"/>
  <c r="S230" i="28" s="1"/>
  <c r="T230" i="28" s="1"/>
  <c r="U230" i="28" s="1"/>
  <c r="V230" i="28" s="1"/>
  <c r="W230" i="28" s="1"/>
  <c r="X230" i="28" s="1"/>
  <c r="Y230" i="28" s="1"/>
  <c r="Z230" i="28" s="1"/>
  <c r="AA230" i="28" s="1"/>
  <c r="AB230" i="28" s="1"/>
  <c r="AC230" i="28" s="1"/>
  <c r="AD230" i="28" s="1"/>
  <c r="AE230" i="28" s="1"/>
  <c r="AF230" i="28" s="1"/>
  <c r="AG230" i="28" s="1"/>
  <c r="L206" i="28"/>
  <c r="M206" i="28" s="1"/>
  <c r="K208" i="28"/>
  <c r="K209" i="28" s="1"/>
  <c r="L209" i="28" s="1"/>
  <c r="M209" i="28" s="1"/>
  <c r="Y181" i="28"/>
  <c r="Y184" i="28" s="1"/>
  <c r="AB181" i="28"/>
  <c r="AB184" i="28" s="1"/>
  <c r="AB108" i="28"/>
  <c r="AB111" i="28" s="1"/>
  <c r="AA181" i="28"/>
  <c r="AA184" i="28" s="1"/>
  <c r="AD108" i="28"/>
  <c r="AD111" i="28" s="1"/>
  <c r="R108" i="28"/>
  <c r="R111" i="28" s="1"/>
  <c r="AF108" i="28"/>
  <c r="AF111" i="28" s="1"/>
  <c r="AA108" i="28"/>
  <c r="AA111" i="28" s="1"/>
  <c r="R181" i="28"/>
  <c r="R184" i="28" s="1"/>
  <c r="AD181" i="28"/>
  <c r="AD184" i="28" s="1"/>
  <c r="AH108" i="28"/>
  <c r="AH111" i="28" s="1"/>
  <c r="L108" i="28"/>
  <c r="L111" i="28" s="1"/>
  <c r="S181" i="28"/>
  <c r="S184" i="28" s="1"/>
  <c r="U181" i="28"/>
  <c r="U184" i="28" s="1"/>
  <c r="W181" i="28"/>
  <c r="W184" i="28" s="1"/>
  <c r="AH181" i="28"/>
  <c r="AH184" i="28" s="1"/>
  <c r="L181" i="28"/>
  <c r="L184" i="28" s="1"/>
  <c r="U108" i="28"/>
  <c r="U111" i="28" s="1"/>
  <c r="W108" i="28"/>
  <c r="W111" i="28" s="1"/>
  <c r="L160" i="28"/>
  <c r="L136" i="28"/>
  <c r="M136" i="28" s="1"/>
  <c r="K108" i="28"/>
  <c r="N108" i="28"/>
  <c r="N111" i="28" s="1"/>
  <c r="P181" i="28"/>
  <c r="P184" i="28" s="1"/>
  <c r="AC181" i="28"/>
  <c r="AC184" i="28" s="1"/>
  <c r="AE181" i="28"/>
  <c r="AE184" i="28" s="1"/>
  <c r="M108" i="28"/>
  <c r="M111" i="28" s="1"/>
  <c r="O181" i="28"/>
  <c r="O184" i="28" s="1"/>
  <c r="T181" i="28"/>
  <c r="T184" i="28" s="1"/>
  <c r="P108" i="28"/>
  <c r="P111" i="28" s="1"/>
  <c r="AC108" i="28"/>
  <c r="AC111" i="28" s="1"/>
  <c r="AE108" i="28"/>
  <c r="AE111" i="28" s="1"/>
  <c r="K257" i="28"/>
  <c r="K258" i="28" s="1"/>
  <c r="L258" i="28" s="1"/>
  <c r="M258" i="28" s="1"/>
  <c r="N258" i="28" s="1"/>
  <c r="O258" i="28" s="1"/>
  <c r="P258" i="28" s="1"/>
  <c r="Q258" i="28" s="1"/>
  <c r="R258" i="28" s="1"/>
  <c r="S258" i="28" s="1"/>
  <c r="T258" i="28" s="1"/>
  <c r="U258" i="28" s="1"/>
  <c r="V258" i="28" s="1"/>
  <c r="W258" i="28" s="1"/>
  <c r="X258" i="28" s="1"/>
  <c r="Y258" i="28" s="1"/>
  <c r="Z258" i="28" s="1"/>
  <c r="AA258" i="28" s="1"/>
  <c r="AB258" i="28" s="1"/>
  <c r="AC258" i="28" s="1"/>
  <c r="AD258" i="28" s="1"/>
  <c r="AE258" i="28" s="1"/>
  <c r="AF258" i="28" s="1"/>
  <c r="AG258" i="28" s="1"/>
  <c r="AH258" i="28" s="1"/>
  <c r="AI258" i="28" s="1"/>
  <c r="AJ258" i="28" s="1"/>
  <c r="K255" i="28"/>
  <c r="L255" i="28" s="1"/>
  <c r="M255" i="28" s="1"/>
  <c r="N255" i="28" s="1"/>
  <c r="O255" i="28" s="1"/>
  <c r="P255" i="28" s="1"/>
  <c r="Q255" i="28" s="1"/>
  <c r="R255" i="28" s="1"/>
  <c r="S255" i="28" s="1"/>
  <c r="T255" i="28" s="1"/>
  <c r="U255" i="28" s="1"/>
  <c r="V255" i="28" s="1"/>
  <c r="W255" i="28" s="1"/>
  <c r="X255" i="28" s="1"/>
  <c r="Y255" i="28" s="1"/>
  <c r="Z255" i="28" s="1"/>
  <c r="AA255" i="28" s="1"/>
  <c r="AB255" i="28" s="1"/>
  <c r="AC255" i="28" s="1"/>
  <c r="AD255" i="28" s="1"/>
  <c r="AE255" i="28" s="1"/>
  <c r="AF255" i="28" s="1"/>
  <c r="AG255" i="28" s="1"/>
  <c r="AH255" i="28" s="1"/>
  <c r="AI255" i="28" s="1"/>
  <c r="AJ255" i="28" s="1"/>
  <c r="AG108" i="28"/>
  <c r="AG111" i="28" s="1"/>
  <c r="M181" i="28"/>
  <c r="M184" i="28" s="1"/>
  <c r="O108" i="28"/>
  <c r="O111" i="28" s="1"/>
  <c r="X181" i="28"/>
  <c r="X184" i="28" s="1"/>
  <c r="T108" i="28"/>
  <c r="T111" i="28" s="1"/>
  <c r="V181" i="28"/>
  <c r="V184" i="28" s="1"/>
  <c r="Z181" i="28"/>
  <c r="Z184" i="28" s="1"/>
  <c r="K181" i="28"/>
  <c r="N181" i="28"/>
  <c r="N184" i="28" s="1"/>
  <c r="AG181" i="28"/>
  <c r="AG184" i="28" s="1"/>
  <c r="X108" i="28"/>
  <c r="X111" i="28" s="1"/>
  <c r="V108" i="28"/>
  <c r="V111" i="28" s="1"/>
  <c r="Z108" i="28"/>
  <c r="Z111" i="28" s="1"/>
  <c r="AH116" i="19"/>
  <c r="AH140" i="19"/>
  <c r="K302" i="26"/>
  <c r="K303" i="26" s="1"/>
  <c r="M112" i="29"/>
  <c r="M73" i="29" s="1"/>
  <c r="L73" i="29"/>
  <c r="N105" i="12"/>
  <c r="K303" i="48"/>
  <c r="L303" i="48" s="1"/>
  <c r="M303" i="48" s="1"/>
  <c r="N303" i="48" s="1"/>
  <c r="O303" i="48" s="1"/>
  <c r="P303" i="48" s="1"/>
  <c r="Q303" i="48" s="1"/>
  <c r="R303" i="48" s="1"/>
  <c r="S303" i="48" s="1"/>
  <c r="T303" i="48" s="1"/>
  <c r="U303" i="48" s="1"/>
  <c r="V303" i="48" s="1"/>
  <c r="W303" i="48" s="1"/>
  <c r="X303" i="48" s="1"/>
  <c r="Y303" i="48" s="1"/>
  <c r="Z303" i="48" s="1"/>
  <c r="AA303" i="48" s="1"/>
  <c r="AB303" i="48" s="1"/>
  <c r="AC303" i="48" s="1"/>
  <c r="AD303" i="48" s="1"/>
  <c r="AE303" i="48" s="1"/>
  <c r="AF303" i="48" s="1"/>
  <c r="AG303" i="48" s="1"/>
  <c r="AH303" i="48" s="1"/>
  <c r="AI303" i="48" s="1"/>
  <c r="AJ303" i="48" s="1"/>
  <c r="K305" i="48"/>
  <c r="K306" i="48" s="1"/>
  <c r="L306" i="48" s="1"/>
  <c r="M306" i="48" s="1"/>
  <c r="N306" i="48" s="1"/>
  <c r="O306" i="48" s="1"/>
  <c r="P306" i="48" s="1"/>
  <c r="Q306" i="48" s="1"/>
  <c r="R306" i="48" s="1"/>
  <c r="S306" i="48" s="1"/>
  <c r="T306" i="48" s="1"/>
  <c r="U306" i="48" s="1"/>
  <c r="V306" i="48" s="1"/>
  <c r="W306" i="48" s="1"/>
  <c r="X306" i="48" s="1"/>
  <c r="Y306" i="48" s="1"/>
  <c r="Z306" i="48" s="1"/>
  <c r="AA306" i="48" s="1"/>
  <c r="AB306" i="48" s="1"/>
  <c r="AC306" i="48" s="1"/>
  <c r="AD306" i="48" s="1"/>
  <c r="AE306" i="48" s="1"/>
  <c r="AF306" i="48" s="1"/>
  <c r="AG306" i="48" s="1"/>
  <c r="AH306" i="48" s="1"/>
  <c r="AI306" i="48" s="1"/>
  <c r="AJ306" i="48" s="1"/>
  <c r="K255" i="48"/>
  <c r="L255" i="48" s="1"/>
  <c r="M255" i="48" s="1"/>
  <c r="N255" i="48" s="1"/>
  <c r="O255" i="48" s="1"/>
  <c r="P255" i="48" s="1"/>
  <c r="Q255" i="48" s="1"/>
  <c r="R255" i="48" s="1"/>
  <c r="S255" i="48" s="1"/>
  <c r="T255" i="48" s="1"/>
  <c r="U255" i="48" s="1"/>
  <c r="V255" i="48" s="1"/>
  <c r="W255" i="48" s="1"/>
  <c r="X255" i="48" s="1"/>
  <c r="Y255" i="48" s="1"/>
  <c r="Z255" i="48" s="1"/>
  <c r="AA255" i="48" s="1"/>
  <c r="AB255" i="48" s="1"/>
  <c r="AC255" i="48" s="1"/>
  <c r="AD255" i="48" s="1"/>
  <c r="AE255" i="48" s="1"/>
  <c r="AF255" i="48" s="1"/>
  <c r="AG255" i="48" s="1"/>
  <c r="AH255" i="48" s="1"/>
  <c r="AI255" i="48" s="1"/>
  <c r="AJ255" i="48" s="1"/>
  <c r="K257" i="48"/>
  <c r="K258" i="48" s="1"/>
  <c r="L258" i="48" s="1"/>
  <c r="M258" i="48" s="1"/>
  <c r="N258" i="48" s="1"/>
  <c r="O258" i="48" s="1"/>
  <c r="P258" i="48" s="1"/>
  <c r="Q258" i="48" s="1"/>
  <c r="R258" i="48" s="1"/>
  <c r="S258" i="48" s="1"/>
  <c r="T258" i="48" s="1"/>
  <c r="U258" i="48" s="1"/>
  <c r="V258" i="48" s="1"/>
  <c r="W258" i="48" s="1"/>
  <c r="X258" i="48" s="1"/>
  <c r="Y258" i="48" s="1"/>
  <c r="Z258" i="48" s="1"/>
  <c r="AA258" i="48" s="1"/>
  <c r="AB258" i="48" s="1"/>
  <c r="AC258" i="48" s="1"/>
  <c r="AD258" i="48" s="1"/>
  <c r="AE258" i="48" s="1"/>
  <c r="AF258" i="48" s="1"/>
  <c r="AG258" i="48" s="1"/>
  <c r="AH258" i="48" s="1"/>
  <c r="AI258" i="48" s="1"/>
  <c r="AJ258" i="48" s="1"/>
  <c r="L81" i="12"/>
  <c r="L72" i="29"/>
  <c r="AI78" i="19"/>
  <c r="AH92" i="19"/>
  <c r="AI84" i="19"/>
  <c r="AI141" i="19" s="1"/>
  <c r="AH93" i="19"/>
  <c r="AH117" i="19"/>
  <c r="L106" i="30"/>
  <c r="M106" i="30" s="1"/>
  <c r="N106" i="30" s="1"/>
  <c r="L86" i="30"/>
  <c r="L105" i="30"/>
  <c r="M105" i="30" s="1"/>
  <c r="N105" i="30" s="1"/>
  <c r="O105" i="30" s="1"/>
  <c r="P105" i="30" s="1"/>
  <c r="Q105" i="30" s="1"/>
  <c r="L85" i="30"/>
  <c r="M85" i="30" s="1"/>
  <c r="N85" i="30" s="1"/>
  <c r="O85" i="30" s="1"/>
  <c r="P85" i="30" s="1"/>
  <c r="Q85" i="30" s="1"/>
  <c r="L107" i="30"/>
  <c r="M107" i="30" s="1"/>
  <c r="N107" i="30" s="1"/>
  <c r="O107" i="30" s="1"/>
  <c r="P107" i="30" s="1"/>
  <c r="Q107" i="30" s="1"/>
  <c r="L87" i="30"/>
  <c r="M87" i="30" s="1"/>
  <c r="N87" i="30" s="1"/>
  <c r="O87" i="30" s="1"/>
  <c r="P87" i="30" s="1"/>
  <c r="Q87" i="30" s="1"/>
  <c r="L78" i="30"/>
  <c r="L98" i="30"/>
  <c r="L97" i="30"/>
  <c r="L77" i="30"/>
  <c r="L94" i="30"/>
  <c r="L74" i="30"/>
  <c r="AH149" i="41"/>
  <c r="O35" i="23"/>
  <c r="M118" i="40"/>
  <c r="M121" i="40" s="1"/>
  <c r="O118" i="40"/>
  <c r="O121" i="40" s="1"/>
  <c r="S118" i="40"/>
  <c r="S121" i="40" s="1"/>
  <c r="W118" i="40"/>
  <c r="W121" i="40" s="1"/>
  <c r="AA118" i="40"/>
  <c r="AA121" i="40" s="1"/>
  <c r="AE118" i="40"/>
  <c r="AE121" i="40" s="1"/>
  <c r="AI118" i="40"/>
  <c r="AI121" i="40" s="1"/>
  <c r="K118" i="40"/>
  <c r="K121" i="40" s="1"/>
  <c r="N35" i="43" s="1"/>
  <c r="P118" i="40"/>
  <c r="P121" i="40" s="1"/>
  <c r="T118" i="40"/>
  <c r="T121" i="40" s="1"/>
  <c r="X118" i="40"/>
  <c r="X121" i="40" s="1"/>
  <c r="AB118" i="40"/>
  <c r="AB121" i="40" s="1"/>
  <c r="AF118" i="40"/>
  <c r="AF121" i="40" s="1"/>
  <c r="AJ118" i="40"/>
  <c r="AJ121" i="40" s="1"/>
  <c r="L118" i="40"/>
  <c r="L121" i="40" s="1"/>
  <c r="Q118" i="40"/>
  <c r="Q121" i="40" s="1"/>
  <c r="U118" i="40"/>
  <c r="U121" i="40" s="1"/>
  <c r="Y118" i="40"/>
  <c r="Y121" i="40" s="1"/>
  <c r="AC118" i="40"/>
  <c r="AC121" i="40" s="1"/>
  <c r="AG118" i="40"/>
  <c r="AG121" i="40" s="1"/>
  <c r="N118" i="40"/>
  <c r="N121" i="40" s="1"/>
  <c r="R118" i="40"/>
  <c r="R121" i="40" s="1"/>
  <c r="V118" i="40"/>
  <c r="V121" i="40" s="1"/>
  <c r="Z118" i="40"/>
  <c r="Z121" i="40" s="1"/>
  <c r="AD118" i="40"/>
  <c r="AD121" i="40" s="1"/>
  <c r="AH118" i="40"/>
  <c r="AH121" i="40" s="1"/>
  <c r="M113" i="40"/>
  <c r="M116" i="40" s="1"/>
  <c r="Q113" i="40"/>
  <c r="Q116" i="40" s="1"/>
  <c r="U113" i="40"/>
  <c r="U116" i="40" s="1"/>
  <c r="Y113" i="40"/>
  <c r="Y116" i="40" s="1"/>
  <c r="AC113" i="40"/>
  <c r="AC116" i="40" s="1"/>
  <c r="AG113" i="40"/>
  <c r="AG116" i="40" s="1"/>
  <c r="Z113" i="40"/>
  <c r="Z116" i="40" s="1"/>
  <c r="W113" i="40"/>
  <c r="W116" i="40" s="1"/>
  <c r="AE113" i="40"/>
  <c r="AE116" i="40" s="1"/>
  <c r="N113" i="40"/>
  <c r="N116" i="40" s="1"/>
  <c r="R113" i="40"/>
  <c r="R116" i="40" s="1"/>
  <c r="V113" i="40"/>
  <c r="V116" i="40" s="1"/>
  <c r="AD113" i="40"/>
  <c r="AD116" i="40" s="1"/>
  <c r="AH113" i="40"/>
  <c r="AH116" i="40" s="1"/>
  <c r="AF113" i="40"/>
  <c r="AF116" i="40" s="1"/>
  <c r="K113" i="40"/>
  <c r="K116" i="40" s="1"/>
  <c r="N36" i="43" s="1"/>
  <c r="O113" i="40"/>
  <c r="O116" i="40" s="1"/>
  <c r="S113" i="40"/>
  <c r="S116" i="40" s="1"/>
  <c r="AA113" i="40"/>
  <c r="AA116" i="40" s="1"/>
  <c r="AI113" i="40"/>
  <c r="AI116" i="40" s="1"/>
  <c r="L113" i="40"/>
  <c r="L116" i="40" s="1"/>
  <c r="P113" i="40"/>
  <c r="P116" i="40" s="1"/>
  <c r="T113" i="40"/>
  <c r="T116" i="40" s="1"/>
  <c r="X113" i="40"/>
  <c r="X116" i="40" s="1"/>
  <c r="AB113" i="40"/>
  <c r="AB116" i="40" s="1"/>
  <c r="AJ113" i="40"/>
  <c r="AJ116" i="40" s="1"/>
  <c r="O160" i="29"/>
  <c r="P153" i="29"/>
  <c r="P156" i="29" s="1"/>
  <c r="P159" i="29" s="1"/>
  <c r="R156" i="27"/>
  <c r="R159" i="27" s="1"/>
  <c r="S156" i="27"/>
  <c r="S159" i="27" s="1"/>
  <c r="O39" i="23"/>
  <c r="K74" i="23"/>
  <c r="O74" i="23" s="1"/>
  <c r="Q71" i="29"/>
  <c r="O37" i="23"/>
  <c r="O42" i="23"/>
  <c r="P75" i="40" s="1"/>
  <c r="J51" i="27"/>
  <c r="O44" i="23"/>
  <c r="O43" i="23"/>
  <c r="O38" i="23"/>
  <c r="AA258" i="26"/>
  <c r="AB258" i="26" s="1"/>
  <c r="AC258" i="26" s="1"/>
  <c r="AD258" i="26" s="1"/>
  <c r="AE258" i="26" s="1"/>
  <c r="AF258" i="26" s="1"/>
  <c r="AG258" i="26" s="1"/>
  <c r="AH258" i="26" s="1"/>
  <c r="AI258" i="26" s="1"/>
  <c r="K70" i="23"/>
  <c r="O70" i="23" s="1"/>
  <c r="K73" i="23"/>
  <c r="O73" i="23" s="1"/>
  <c r="J11" i="19"/>
  <c r="AJ97" i="19" s="1"/>
  <c r="K77" i="23"/>
  <c r="O77" i="23" s="1"/>
  <c r="K78" i="23"/>
  <c r="O78" i="23" s="1"/>
  <c r="K72" i="23"/>
  <c r="O72" i="23" s="1"/>
  <c r="K79" i="23"/>
  <c r="O79" i="23" s="1"/>
  <c r="Q101" i="27"/>
  <c r="Q106" i="27" s="1"/>
  <c r="Q105" i="27"/>
  <c r="S101" i="27"/>
  <c r="S106" i="27" s="1"/>
  <c r="S105" i="27"/>
  <c r="T101" i="27"/>
  <c r="T106" i="27" s="1"/>
  <c r="T105" i="27"/>
  <c r="M101" i="27"/>
  <c r="M106" i="27" s="1"/>
  <c r="M105" i="27"/>
  <c r="R105" i="27"/>
  <c r="R101" i="27"/>
  <c r="R106" i="27" s="1"/>
  <c r="P101" i="27"/>
  <c r="P105" i="27"/>
  <c r="N101" i="27"/>
  <c r="N106" i="27" s="1"/>
  <c r="N105" i="27"/>
  <c r="O101" i="27"/>
  <c r="O106" i="27" s="1"/>
  <c r="O105" i="27"/>
  <c r="AA255" i="26"/>
  <c r="AB255" i="26" s="1"/>
  <c r="AC255" i="26" s="1"/>
  <c r="AD255" i="26" s="1"/>
  <c r="AE255" i="26" s="1"/>
  <c r="AF255" i="26" s="1"/>
  <c r="AG255" i="26" s="1"/>
  <c r="AH255" i="26" s="1"/>
  <c r="AI255" i="26" s="1"/>
  <c r="AA101" i="27"/>
  <c r="AA106" i="27" s="1"/>
  <c r="AA105" i="27"/>
  <c r="AH101" i="27"/>
  <c r="AH106" i="27" s="1"/>
  <c r="AH105" i="27"/>
  <c r="AF101" i="27"/>
  <c r="AF106" i="27" s="1"/>
  <c r="AF105" i="27"/>
  <c r="AG105" i="27"/>
  <c r="AG101" i="27"/>
  <c r="AG106" i="27" s="1"/>
  <c r="AE105" i="27"/>
  <c r="AE101" i="27"/>
  <c r="AE106" i="27" s="1"/>
  <c r="X105" i="27"/>
  <c r="X101" i="27"/>
  <c r="X106" i="27" s="1"/>
  <c r="Z101" i="27"/>
  <c r="Z106" i="27" s="1"/>
  <c r="Z105" i="27"/>
  <c r="AC101" i="27"/>
  <c r="AC106" i="27" s="1"/>
  <c r="AC105" i="27"/>
  <c r="AI101" i="27"/>
  <c r="AI106" i="27" s="1"/>
  <c r="AI105" i="27"/>
  <c r="AJ101" i="27"/>
  <c r="AJ106" i="27" s="1"/>
  <c r="AJ105" i="27"/>
  <c r="AD105" i="27"/>
  <c r="AD101" i="27"/>
  <c r="AD106" i="27" s="1"/>
  <c r="U105" i="27"/>
  <c r="U101" i="27"/>
  <c r="U106" i="27" s="1"/>
  <c r="W101" i="27"/>
  <c r="W105" i="27"/>
  <c r="Y101" i="27"/>
  <c r="Y106" i="27" s="1"/>
  <c r="Y105" i="27"/>
  <c r="V101" i="27"/>
  <c r="V106" i="27" s="1"/>
  <c r="V105" i="27"/>
  <c r="AB105" i="27"/>
  <c r="AB101" i="27"/>
  <c r="AB106" i="27" s="1"/>
  <c r="AC154" i="27"/>
  <c r="Q156" i="27"/>
  <c r="Q159" i="27" s="1"/>
  <c r="M154" i="27"/>
  <c r="M156" i="27" s="1"/>
  <c r="M159" i="27" s="1"/>
  <c r="P156" i="27"/>
  <c r="P159" i="27" s="1"/>
  <c r="U154" i="27"/>
  <c r="K156" i="27"/>
  <c r="K157" i="27" s="1"/>
  <c r="Z154" i="27"/>
  <c r="N156" i="27"/>
  <c r="N159" i="27" s="1"/>
  <c r="M136" i="29"/>
  <c r="M93" i="12" s="1"/>
  <c r="O157" i="29"/>
  <c r="O154" i="27"/>
  <c r="O156" i="27" s="1"/>
  <c r="O159" i="27" s="1"/>
  <c r="L156" i="27"/>
  <c r="L159" i="27" s="1"/>
  <c r="X154" i="27"/>
  <c r="AH154" i="27"/>
  <c r="O109" i="29"/>
  <c r="L109" i="27"/>
  <c r="AI279" i="25"/>
  <c r="AI281" i="25" s="1"/>
  <c r="AI284" i="25" s="1"/>
  <c r="P281" i="25"/>
  <c r="P284" i="25" s="1"/>
  <c r="O281" i="25"/>
  <c r="O284" i="25" s="1"/>
  <c r="AF281" i="25"/>
  <c r="AF284" i="25" s="1"/>
  <c r="R281" i="25"/>
  <c r="R284" i="25" s="1"/>
  <c r="AA281" i="25"/>
  <c r="AA284" i="25" s="1"/>
  <c r="Z281" i="25"/>
  <c r="Z284" i="25" s="1"/>
  <c r="Q281" i="25"/>
  <c r="Q284" i="25" s="1"/>
  <c r="M281" i="25"/>
  <c r="M284" i="25" s="1"/>
  <c r="K281" i="25"/>
  <c r="K282" i="25" s="1"/>
  <c r="S279" i="25"/>
  <c r="S281" i="25" s="1"/>
  <c r="S284" i="25" s="1"/>
  <c r="AG281" i="25"/>
  <c r="AG284" i="25" s="1"/>
  <c r="AH281" i="25"/>
  <c r="AH284" i="25" s="1"/>
  <c r="Y281" i="25"/>
  <c r="Y284" i="25" s="1"/>
  <c r="W281" i="25"/>
  <c r="W284" i="25" s="1"/>
  <c r="L281" i="25"/>
  <c r="L284" i="25" s="1"/>
  <c r="T281" i="25"/>
  <c r="T284" i="25" s="1"/>
  <c r="N279" i="25"/>
  <c r="N281" i="25" s="1"/>
  <c r="N284" i="25" s="1"/>
  <c r="Q154" i="29"/>
  <c r="R88" i="29"/>
  <c r="Q106" i="29"/>
  <c r="Q130" i="29"/>
  <c r="AE279" i="25"/>
  <c r="AE281" i="25" s="1"/>
  <c r="AE284" i="25" s="1"/>
  <c r="P132" i="29"/>
  <c r="P108" i="29"/>
  <c r="P300" i="26"/>
  <c r="P302" i="26" s="1"/>
  <c r="P305" i="26" s="1"/>
  <c r="T300" i="26"/>
  <c r="T302" i="26" s="1"/>
  <c r="T305" i="26" s="1"/>
  <c r="N300" i="26"/>
  <c r="N302" i="26" s="1"/>
  <c r="N305" i="26" s="1"/>
  <c r="X300" i="26"/>
  <c r="X302" i="26" s="1"/>
  <c r="X305" i="26" s="1"/>
  <c r="AI300" i="26"/>
  <c r="AI302" i="26" s="1"/>
  <c r="AI305" i="26" s="1"/>
  <c r="W300" i="26"/>
  <c r="W302" i="26" s="1"/>
  <c r="W305" i="26" s="1"/>
  <c r="O300" i="26"/>
  <c r="O302" i="26" s="1"/>
  <c r="O305" i="26" s="1"/>
  <c r="AC300" i="26"/>
  <c r="AC302" i="26" s="1"/>
  <c r="AC305" i="26" s="1"/>
  <c r="AD300" i="26"/>
  <c r="AD302" i="26" s="1"/>
  <c r="AD305" i="26" s="1"/>
  <c r="AG300" i="26"/>
  <c r="AG302" i="26" s="1"/>
  <c r="AG305" i="26" s="1"/>
  <c r="AH300" i="26"/>
  <c r="AH302" i="26" s="1"/>
  <c r="AH305" i="26" s="1"/>
  <c r="S300" i="26"/>
  <c r="S302" i="26" s="1"/>
  <c r="S305" i="26" s="1"/>
  <c r="R300" i="26"/>
  <c r="R302" i="26" s="1"/>
  <c r="R305" i="26" s="1"/>
  <c r="V300" i="26"/>
  <c r="V302" i="26" s="1"/>
  <c r="V305" i="26" s="1"/>
  <c r="Y300" i="26"/>
  <c r="Y302" i="26" s="1"/>
  <c r="Y305" i="26" s="1"/>
  <c r="AE300" i="26"/>
  <c r="AE302" i="26" s="1"/>
  <c r="AE305" i="26" s="1"/>
  <c r="AA300" i="26"/>
  <c r="AA302" i="26" s="1"/>
  <c r="AA305" i="26" s="1"/>
  <c r="AF300" i="26"/>
  <c r="AF302" i="26" s="1"/>
  <c r="AF305" i="26" s="1"/>
  <c r="L300" i="26"/>
  <c r="M300" i="26"/>
  <c r="M302" i="26" s="1"/>
  <c r="M305" i="26" s="1"/>
  <c r="Q300" i="26"/>
  <c r="Q302" i="26" s="1"/>
  <c r="Q305" i="26" s="1"/>
  <c r="U300" i="26"/>
  <c r="U302" i="26" s="1"/>
  <c r="U305" i="26" s="1"/>
  <c r="AB300" i="26"/>
  <c r="AB302" i="26" s="1"/>
  <c r="AB305" i="26" s="1"/>
  <c r="Z300" i="26"/>
  <c r="Z302" i="26" s="1"/>
  <c r="Z305" i="26" s="1"/>
  <c r="AJ300" i="26"/>
  <c r="R276" i="26"/>
  <c r="R278" i="26" s="1"/>
  <c r="R281" i="26" s="1"/>
  <c r="X276" i="26"/>
  <c r="X278" i="26" s="1"/>
  <c r="X281" i="26" s="1"/>
  <c r="V276" i="26"/>
  <c r="V278" i="26" s="1"/>
  <c r="V281" i="26" s="1"/>
  <c r="W276" i="26"/>
  <c r="W278" i="26" s="1"/>
  <c r="W281" i="26" s="1"/>
  <c r="AI276" i="26"/>
  <c r="AI278" i="26" s="1"/>
  <c r="AI281" i="26" s="1"/>
  <c r="AF276" i="26"/>
  <c r="AF278" i="26" s="1"/>
  <c r="AF281" i="26" s="1"/>
  <c r="U276" i="26"/>
  <c r="U278" i="26" s="1"/>
  <c r="U281" i="26" s="1"/>
  <c r="Q276" i="26"/>
  <c r="Q278" i="26" s="1"/>
  <c r="Q281" i="26" s="1"/>
  <c r="Y276" i="26"/>
  <c r="Y278" i="26" s="1"/>
  <c r="Y281" i="26" s="1"/>
  <c r="K278" i="26"/>
  <c r="K279" i="26" s="1"/>
  <c r="Z276" i="26"/>
  <c r="Z278" i="26" s="1"/>
  <c r="Z281" i="26" s="1"/>
  <c r="L276" i="26"/>
  <c r="L278" i="26" s="1"/>
  <c r="L281" i="26" s="1"/>
  <c r="AC276" i="26"/>
  <c r="AC278" i="26" s="1"/>
  <c r="AC281" i="26" s="1"/>
  <c r="AJ276" i="26"/>
  <c r="T276" i="26"/>
  <c r="T278" i="26" s="1"/>
  <c r="T281" i="26" s="1"/>
  <c r="AH276" i="26"/>
  <c r="AH278" i="26" s="1"/>
  <c r="AH281" i="26" s="1"/>
  <c r="M276" i="26"/>
  <c r="M278" i="26" s="1"/>
  <c r="M281" i="26" s="1"/>
  <c r="AE276" i="26"/>
  <c r="AE278" i="26" s="1"/>
  <c r="AE281" i="26" s="1"/>
  <c r="AB276" i="26"/>
  <c r="AB278" i="26" s="1"/>
  <c r="AB281" i="26" s="1"/>
  <c r="N276" i="26"/>
  <c r="N278" i="26" s="1"/>
  <c r="N281" i="26" s="1"/>
  <c r="AG276" i="26"/>
  <c r="AG278" i="26" s="1"/>
  <c r="AG281" i="26" s="1"/>
  <c r="S276" i="26"/>
  <c r="S278" i="26" s="1"/>
  <c r="S281" i="26" s="1"/>
  <c r="AA276" i="26"/>
  <c r="AA278" i="26" s="1"/>
  <c r="AA281" i="26" s="1"/>
  <c r="P276" i="26"/>
  <c r="P278" i="26" s="1"/>
  <c r="P281" i="26" s="1"/>
  <c r="AD276" i="26"/>
  <c r="AD278" i="26" s="1"/>
  <c r="AD281" i="26" s="1"/>
  <c r="O276" i="26"/>
  <c r="O278" i="26" s="1"/>
  <c r="O281" i="26" s="1"/>
  <c r="AC284" i="25"/>
  <c r="T260" i="25"/>
  <c r="Z260" i="25"/>
  <c r="K258" i="25"/>
  <c r="M260" i="25"/>
  <c r="U260" i="25"/>
  <c r="AD284" i="25"/>
  <c r="L260" i="25"/>
  <c r="L261" i="25" s="1"/>
  <c r="AG260" i="25"/>
  <c r="AF260" i="25"/>
  <c r="V260" i="25"/>
  <c r="AH260" i="25"/>
  <c r="X284" i="25"/>
  <c r="AE260" i="25"/>
  <c r="AC260" i="25"/>
  <c r="AB260" i="25"/>
  <c r="V284" i="25"/>
  <c r="AA260" i="25"/>
  <c r="O260" i="25"/>
  <c r="U284" i="25"/>
  <c r="Y260" i="25"/>
  <c r="W260" i="25"/>
  <c r="R260" i="25"/>
  <c r="P260" i="25"/>
  <c r="AD260" i="25"/>
  <c r="N260" i="25"/>
  <c r="X260" i="25"/>
  <c r="Q260" i="25"/>
  <c r="S260" i="25"/>
  <c r="AI260" i="25"/>
  <c r="AB284" i="25"/>
  <c r="AI303" i="25"/>
  <c r="AI305" i="25" s="1"/>
  <c r="Y303" i="25"/>
  <c r="AF303" i="25"/>
  <c r="S303" i="25"/>
  <c r="P303" i="25"/>
  <c r="AD303" i="25"/>
  <c r="AH303" i="25"/>
  <c r="Y129" i="27"/>
  <c r="Y125" i="27"/>
  <c r="R129" i="27"/>
  <c r="R125" i="27"/>
  <c r="AH129" i="27"/>
  <c r="AH125" i="27"/>
  <c r="W129" i="27"/>
  <c r="W125" i="27"/>
  <c r="L129" i="27"/>
  <c r="L125" i="27"/>
  <c r="AB129" i="27"/>
  <c r="AB125" i="27"/>
  <c r="X303" i="25"/>
  <c r="AE303" i="25"/>
  <c r="W303" i="25"/>
  <c r="M129" i="27"/>
  <c r="M125" i="27"/>
  <c r="AC129" i="27"/>
  <c r="AC125" i="27"/>
  <c r="V125" i="27"/>
  <c r="V129" i="27"/>
  <c r="K129" i="27"/>
  <c r="K125" i="27"/>
  <c r="AA129" i="27"/>
  <c r="AA125" i="27"/>
  <c r="P129" i="27"/>
  <c r="P125" i="27"/>
  <c r="AF129" i="27"/>
  <c r="AF125" i="27"/>
  <c r="O303" i="25"/>
  <c r="V303" i="25"/>
  <c r="AC303" i="25"/>
  <c r="AA303" i="25"/>
  <c r="Q303" i="25"/>
  <c r="Q129" i="27"/>
  <c r="Q125" i="27"/>
  <c r="AG129" i="27"/>
  <c r="AG125" i="27"/>
  <c r="Z125" i="27"/>
  <c r="Z129" i="27"/>
  <c r="O129" i="27"/>
  <c r="O125" i="27"/>
  <c r="AE129" i="27"/>
  <c r="AE125" i="27"/>
  <c r="T129" i="27"/>
  <c r="T125" i="27"/>
  <c r="AJ129" i="27"/>
  <c r="AJ125" i="27"/>
  <c r="N303" i="25"/>
  <c r="R303" i="25"/>
  <c r="L303" i="25"/>
  <c r="Z303" i="25"/>
  <c r="AG303" i="25"/>
  <c r="M303" i="25"/>
  <c r="T303" i="25"/>
  <c r="U129" i="27"/>
  <c r="U125" i="27"/>
  <c r="N125" i="27"/>
  <c r="N129" i="27"/>
  <c r="AD129" i="27"/>
  <c r="AD125" i="27"/>
  <c r="S129" i="27"/>
  <c r="S125" i="27"/>
  <c r="AI129" i="27"/>
  <c r="AI125" i="27"/>
  <c r="X125" i="27"/>
  <c r="X129" i="27"/>
  <c r="U303" i="25"/>
  <c r="AB303" i="25"/>
  <c r="O41" i="23" l="1"/>
  <c r="P74" i="40" s="1"/>
  <c r="L84" i="30"/>
  <c r="L83" i="30" s="1"/>
  <c r="L79" i="30" s="1"/>
  <c r="K76" i="23"/>
  <c r="J11" i="26" s="1"/>
  <c r="K71" i="23"/>
  <c r="O71" i="23" s="1"/>
  <c r="L75" i="30"/>
  <c r="L73" i="30" s="1"/>
  <c r="O36" i="23"/>
  <c r="P71" i="40" s="1"/>
  <c r="AH230" i="28"/>
  <c r="AH233" i="28"/>
  <c r="AH205" i="28"/>
  <c r="AH208" i="28" s="1"/>
  <c r="M81" i="12"/>
  <c r="S157" i="28"/>
  <c r="T157" i="28" s="1"/>
  <c r="U157" i="28" s="1"/>
  <c r="V157" i="28" s="1"/>
  <c r="W157" i="28" s="1"/>
  <c r="X157" i="28" s="1"/>
  <c r="Y157" i="28" s="1"/>
  <c r="Z157" i="28" s="1"/>
  <c r="AA157" i="28" s="1"/>
  <c r="AB157" i="28" s="1"/>
  <c r="AC157" i="28" s="1"/>
  <c r="AD157" i="28" s="1"/>
  <c r="AE157" i="28" s="1"/>
  <c r="AF157" i="28" s="1"/>
  <c r="AG157" i="28" s="1"/>
  <c r="AH157" i="28" s="1"/>
  <c r="AG157" i="41"/>
  <c r="N136" i="28"/>
  <c r="O136" i="28" s="1"/>
  <c r="P136" i="28" s="1"/>
  <c r="Q136" i="28" s="1"/>
  <c r="R136" i="28" s="1"/>
  <c r="S136" i="28" s="1"/>
  <c r="T136" i="28" s="1"/>
  <c r="U136" i="28" s="1"/>
  <c r="V136" i="28" s="1"/>
  <c r="W136" i="28" s="1"/>
  <c r="X136" i="28" s="1"/>
  <c r="Y136" i="28" s="1"/>
  <c r="Z136" i="28" s="1"/>
  <c r="AA136" i="28" s="1"/>
  <c r="AB136" i="28" s="1"/>
  <c r="AC136" i="28" s="1"/>
  <c r="AD136" i="28" s="1"/>
  <c r="AE136" i="28" s="1"/>
  <c r="AF136" i="28" s="1"/>
  <c r="AG136" i="28" s="1"/>
  <c r="AH136" i="28" s="1"/>
  <c r="AI125" i="28"/>
  <c r="AI203" i="28"/>
  <c r="AI130" i="28" s="1"/>
  <c r="AI129" i="28"/>
  <c r="M160" i="28"/>
  <c r="L101" i="12"/>
  <c r="N133" i="28"/>
  <c r="O133" i="28" s="1"/>
  <c r="P133" i="28" s="1"/>
  <c r="Q133" i="28" s="1"/>
  <c r="R133" i="28" s="1"/>
  <c r="S133" i="28" s="1"/>
  <c r="T133" i="28" s="1"/>
  <c r="U133" i="28" s="1"/>
  <c r="V133" i="28" s="1"/>
  <c r="W133" i="28" s="1"/>
  <c r="X133" i="28" s="1"/>
  <c r="Y133" i="28" s="1"/>
  <c r="Z133" i="28" s="1"/>
  <c r="AA133" i="28" s="1"/>
  <c r="AB133" i="28" s="1"/>
  <c r="AC133" i="28" s="1"/>
  <c r="AD133" i="28" s="1"/>
  <c r="AE133" i="28" s="1"/>
  <c r="AF133" i="28" s="1"/>
  <c r="AG133" i="28" s="1"/>
  <c r="AH133" i="28" s="1"/>
  <c r="AI227" i="28"/>
  <c r="AI154" i="28" s="1"/>
  <c r="AI149" i="28"/>
  <c r="AH154" i="41"/>
  <c r="AH156" i="41" s="1"/>
  <c r="AH159" i="41" s="1"/>
  <c r="AI101" i="28"/>
  <c r="AI179" i="28"/>
  <c r="AI153" i="28"/>
  <c r="AJ165" i="28"/>
  <c r="AJ174" i="28" s="1"/>
  <c r="AJ213" i="28"/>
  <c r="AJ222" i="28" s="1"/>
  <c r="AJ189" i="28"/>
  <c r="AJ198" i="28" s="1"/>
  <c r="AJ214" i="28"/>
  <c r="AJ226" i="28" s="1"/>
  <c r="AJ166" i="28"/>
  <c r="AJ178" i="28" s="1"/>
  <c r="AJ190" i="28"/>
  <c r="AJ202" i="28" s="1"/>
  <c r="AJ129" i="28" s="1"/>
  <c r="AJ255" i="26"/>
  <c r="N206" i="28"/>
  <c r="O206" i="28" s="1"/>
  <c r="P206" i="28" s="1"/>
  <c r="Q206" i="28" s="1"/>
  <c r="R206" i="28" s="1"/>
  <c r="S206" i="28" s="1"/>
  <c r="T206" i="28" s="1"/>
  <c r="U206" i="28" s="1"/>
  <c r="V206" i="28" s="1"/>
  <c r="W206" i="28" s="1"/>
  <c r="X206" i="28" s="1"/>
  <c r="Y206" i="28" s="1"/>
  <c r="Z206" i="28" s="1"/>
  <c r="AA206" i="28" s="1"/>
  <c r="AB206" i="28" s="1"/>
  <c r="AC206" i="28" s="1"/>
  <c r="AD206" i="28" s="1"/>
  <c r="AE206" i="28" s="1"/>
  <c r="AF206" i="28" s="1"/>
  <c r="AG206" i="28" s="1"/>
  <c r="AH206" i="28" s="1"/>
  <c r="N209" i="28"/>
  <c r="O209" i="28" s="1"/>
  <c r="P209" i="28" s="1"/>
  <c r="Q209" i="28" s="1"/>
  <c r="R209" i="28" s="1"/>
  <c r="S209" i="28" s="1"/>
  <c r="T209" i="28" s="1"/>
  <c r="U209" i="28" s="1"/>
  <c r="V209" i="28" s="1"/>
  <c r="W209" i="28" s="1"/>
  <c r="X209" i="28" s="1"/>
  <c r="Y209" i="28" s="1"/>
  <c r="Z209" i="28" s="1"/>
  <c r="AA209" i="28" s="1"/>
  <c r="AB209" i="28" s="1"/>
  <c r="AC209" i="28" s="1"/>
  <c r="AD209" i="28" s="1"/>
  <c r="AE209" i="28" s="1"/>
  <c r="AF209" i="28" s="1"/>
  <c r="AG209" i="28" s="1"/>
  <c r="AJ258" i="26"/>
  <c r="AJ278" i="26"/>
  <c r="AJ281" i="26" s="1"/>
  <c r="AJ302" i="26"/>
  <c r="K111" i="28"/>
  <c r="K112" i="28" s="1"/>
  <c r="L112" i="28" s="1"/>
  <c r="M112" i="28" s="1"/>
  <c r="N112" i="28" s="1"/>
  <c r="O112" i="28" s="1"/>
  <c r="P112" i="28" s="1"/>
  <c r="Q112" i="28" s="1"/>
  <c r="R112" i="28" s="1"/>
  <c r="S112" i="28" s="1"/>
  <c r="T112" i="28" s="1"/>
  <c r="U112" i="28" s="1"/>
  <c r="V112" i="28" s="1"/>
  <c r="W112" i="28" s="1"/>
  <c r="X112" i="28" s="1"/>
  <c r="Y112" i="28" s="1"/>
  <c r="Z112" i="28" s="1"/>
  <c r="AA112" i="28" s="1"/>
  <c r="AB112" i="28" s="1"/>
  <c r="AC112" i="28" s="1"/>
  <c r="AD112" i="28" s="1"/>
  <c r="AE112" i="28" s="1"/>
  <c r="AF112" i="28" s="1"/>
  <c r="AG112" i="28" s="1"/>
  <c r="AH112" i="28" s="1"/>
  <c r="K109" i="28"/>
  <c r="L109" i="28" s="1"/>
  <c r="M109" i="28" s="1"/>
  <c r="N109" i="28" s="1"/>
  <c r="O109" i="28" s="1"/>
  <c r="P109" i="28" s="1"/>
  <c r="Q109" i="28" s="1"/>
  <c r="R109" i="28" s="1"/>
  <c r="S109" i="28" s="1"/>
  <c r="T109" i="28" s="1"/>
  <c r="U109" i="28" s="1"/>
  <c r="V109" i="28" s="1"/>
  <c r="W109" i="28" s="1"/>
  <c r="X109" i="28" s="1"/>
  <c r="Y109" i="28" s="1"/>
  <c r="Z109" i="28" s="1"/>
  <c r="AA109" i="28" s="1"/>
  <c r="AB109" i="28" s="1"/>
  <c r="AC109" i="28" s="1"/>
  <c r="AD109" i="28" s="1"/>
  <c r="AE109" i="28" s="1"/>
  <c r="AF109" i="28" s="1"/>
  <c r="AG109" i="28" s="1"/>
  <c r="AH109" i="28" s="1"/>
  <c r="K184" i="28"/>
  <c r="K185" i="28" s="1"/>
  <c r="L185" i="28" s="1"/>
  <c r="M185" i="28" s="1"/>
  <c r="N185" i="28" s="1"/>
  <c r="O185" i="28" s="1"/>
  <c r="P185" i="28" s="1"/>
  <c r="Q185" i="28" s="1"/>
  <c r="R185" i="28" s="1"/>
  <c r="S185" i="28" s="1"/>
  <c r="T185" i="28" s="1"/>
  <c r="U185" i="28" s="1"/>
  <c r="V185" i="28" s="1"/>
  <c r="W185" i="28" s="1"/>
  <c r="X185" i="28" s="1"/>
  <c r="Y185" i="28" s="1"/>
  <c r="Z185" i="28" s="1"/>
  <c r="AA185" i="28" s="1"/>
  <c r="AB185" i="28" s="1"/>
  <c r="AC185" i="28" s="1"/>
  <c r="AD185" i="28" s="1"/>
  <c r="AE185" i="28" s="1"/>
  <c r="AF185" i="28" s="1"/>
  <c r="AG185" i="28" s="1"/>
  <c r="AH185" i="28" s="1"/>
  <c r="K182" i="28"/>
  <c r="L182" i="28" s="1"/>
  <c r="M182" i="28" s="1"/>
  <c r="N182" i="28" s="1"/>
  <c r="O182" i="28" s="1"/>
  <c r="P182" i="28" s="1"/>
  <c r="Q182" i="28" s="1"/>
  <c r="R182" i="28" s="1"/>
  <c r="S182" i="28" s="1"/>
  <c r="T182" i="28" s="1"/>
  <c r="U182" i="28" s="1"/>
  <c r="V182" i="28" s="1"/>
  <c r="W182" i="28" s="1"/>
  <c r="X182" i="28" s="1"/>
  <c r="Y182" i="28" s="1"/>
  <c r="Z182" i="28" s="1"/>
  <c r="AA182" i="28" s="1"/>
  <c r="AB182" i="28" s="1"/>
  <c r="AC182" i="28" s="1"/>
  <c r="AD182" i="28" s="1"/>
  <c r="AE182" i="28" s="1"/>
  <c r="AF182" i="28" s="1"/>
  <c r="AG182" i="28" s="1"/>
  <c r="AH182" i="28" s="1"/>
  <c r="AI140" i="19"/>
  <c r="AI116" i="19"/>
  <c r="K305" i="26"/>
  <c r="K306" i="26" s="1"/>
  <c r="L302" i="26"/>
  <c r="L305" i="26" s="1"/>
  <c r="AG160" i="41"/>
  <c r="AG73" i="41" s="1"/>
  <c r="N112" i="29"/>
  <c r="N81" i="12" s="1"/>
  <c r="O105" i="12"/>
  <c r="K89" i="12"/>
  <c r="O106" i="30"/>
  <c r="P106" i="30" s="1"/>
  <c r="Q106" i="30" s="1"/>
  <c r="O76" i="23"/>
  <c r="M72" i="29"/>
  <c r="AJ84" i="19"/>
  <c r="AJ141" i="19" s="1"/>
  <c r="AI93" i="19"/>
  <c r="AI117" i="19"/>
  <c r="AJ78" i="19"/>
  <c r="AJ116" i="19" s="1"/>
  <c r="AI92" i="19"/>
  <c r="M104" i="30"/>
  <c r="L103" i="30"/>
  <c r="L99" i="30" s="1"/>
  <c r="L96" i="30"/>
  <c r="N98" i="30"/>
  <c r="M98" i="30"/>
  <c r="L93" i="30"/>
  <c r="AI149" i="41"/>
  <c r="AJ156" i="41"/>
  <c r="AJ159" i="41" s="1"/>
  <c r="M97" i="19"/>
  <c r="M101" i="19" s="1"/>
  <c r="M106" i="19" s="1"/>
  <c r="Q97" i="19"/>
  <c r="U97" i="19"/>
  <c r="Y97" i="19"/>
  <c r="AC97" i="19"/>
  <c r="AG97" i="19"/>
  <c r="K97" i="19"/>
  <c r="N97" i="19"/>
  <c r="R97" i="19"/>
  <c r="V97" i="19"/>
  <c r="Z97" i="19"/>
  <c r="AD97" i="19"/>
  <c r="AH97" i="19"/>
  <c r="O97" i="19"/>
  <c r="O105" i="19" s="1"/>
  <c r="S97" i="19"/>
  <c r="W97" i="19"/>
  <c r="AA97" i="19"/>
  <c r="AE97" i="19"/>
  <c r="AI97" i="19"/>
  <c r="L97" i="19"/>
  <c r="L105" i="19" s="1"/>
  <c r="P97" i="19"/>
  <c r="T97" i="19"/>
  <c r="X97" i="19"/>
  <c r="AB97" i="19"/>
  <c r="AF97" i="19"/>
  <c r="P70" i="40"/>
  <c r="P77" i="40"/>
  <c r="P76" i="40"/>
  <c r="P160" i="29"/>
  <c r="Q153" i="29"/>
  <c r="Q156" i="29" s="1"/>
  <c r="Q159" i="29" s="1"/>
  <c r="T108" i="27"/>
  <c r="T111" i="27" s="1"/>
  <c r="R71" i="29"/>
  <c r="L76" i="30"/>
  <c r="M86" i="30"/>
  <c r="N86" i="30" s="1"/>
  <c r="N78" i="30"/>
  <c r="M78" i="30"/>
  <c r="M84" i="30"/>
  <c r="P11" i="19"/>
  <c r="AB11" i="19"/>
  <c r="S108" i="27"/>
  <c r="S111" i="27" s="1"/>
  <c r="R108" i="27"/>
  <c r="R111" i="27" s="1"/>
  <c r="Q108" i="27"/>
  <c r="Q111" i="27" s="1"/>
  <c r="O108" i="27"/>
  <c r="O111" i="27" s="1"/>
  <c r="P106" i="27"/>
  <c r="P108" i="27" s="1"/>
  <c r="P111" i="27" s="1"/>
  <c r="M108" i="27"/>
  <c r="M111" i="27" s="1"/>
  <c r="M112" i="27" s="1"/>
  <c r="M80" i="12" s="1"/>
  <c r="N108" i="27"/>
  <c r="N111" i="27" s="1"/>
  <c r="L89" i="12"/>
  <c r="W106" i="27"/>
  <c r="K159" i="27"/>
  <c r="K160" i="27" s="1"/>
  <c r="P157" i="29"/>
  <c r="N136" i="29"/>
  <c r="N93" i="12" s="1"/>
  <c r="L157" i="27"/>
  <c r="M157" i="27" s="1"/>
  <c r="N157" i="27" s="1"/>
  <c r="O157" i="27" s="1"/>
  <c r="P157" i="27" s="1"/>
  <c r="Q157" i="27" s="1"/>
  <c r="R157" i="27" s="1"/>
  <c r="S157" i="27" s="1"/>
  <c r="Q132" i="29"/>
  <c r="Q135" i="29" s="1"/>
  <c r="K284" i="25"/>
  <c r="K285" i="25" s="1"/>
  <c r="L285" i="25" s="1"/>
  <c r="M285" i="25" s="1"/>
  <c r="N285" i="25" s="1"/>
  <c r="O285" i="25" s="1"/>
  <c r="P285" i="25" s="1"/>
  <c r="Q285" i="25" s="1"/>
  <c r="R285" i="25" s="1"/>
  <c r="S285" i="25" s="1"/>
  <c r="T285" i="25" s="1"/>
  <c r="U285" i="25" s="1"/>
  <c r="V285" i="25" s="1"/>
  <c r="W285" i="25" s="1"/>
  <c r="X285" i="25" s="1"/>
  <c r="Y285" i="25" s="1"/>
  <c r="Z285" i="25" s="1"/>
  <c r="AA285" i="25" s="1"/>
  <c r="AB285" i="25" s="1"/>
  <c r="AC285" i="25" s="1"/>
  <c r="AD285" i="25" s="1"/>
  <c r="AE285" i="25" s="1"/>
  <c r="AF285" i="25" s="1"/>
  <c r="AG285" i="25" s="1"/>
  <c r="AH285" i="25" s="1"/>
  <c r="AI285" i="25" s="1"/>
  <c r="AJ285" i="25" s="1"/>
  <c r="S305" i="25"/>
  <c r="S308" i="25" s="1"/>
  <c r="P135" i="29"/>
  <c r="P133" i="29"/>
  <c r="Y305" i="25"/>
  <c r="Y308" i="25" s="1"/>
  <c r="P111" i="29"/>
  <c r="P109" i="29"/>
  <c r="Q108" i="29"/>
  <c r="Q111" i="29" s="1"/>
  <c r="R154" i="29"/>
  <c r="S88" i="29"/>
  <c r="R106" i="29"/>
  <c r="R130" i="29"/>
  <c r="AE305" i="25"/>
  <c r="AE308" i="25" s="1"/>
  <c r="X130" i="27"/>
  <c r="N130" i="27"/>
  <c r="N132" i="27" s="1"/>
  <c r="N135" i="27" s="1"/>
  <c r="V130" i="27"/>
  <c r="AB130" i="27"/>
  <c r="W130" i="27"/>
  <c r="R130" i="27"/>
  <c r="R132" i="27" s="1"/>
  <c r="R135" i="27" s="1"/>
  <c r="AI130" i="27"/>
  <c r="AD130" i="27"/>
  <c r="U130" i="27"/>
  <c r="AJ130" i="27"/>
  <c r="AE130" i="27"/>
  <c r="Q130" i="27"/>
  <c r="Q132" i="27" s="1"/>
  <c r="Q135" i="27" s="1"/>
  <c r="P130" i="27"/>
  <c r="P132" i="27" s="1"/>
  <c r="P135" i="27" s="1"/>
  <c r="AC130" i="27"/>
  <c r="Z130" i="27"/>
  <c r="L130" i="27"/>
  <c r="L132" i="27" s="1"/>
  <c r="L135" i="27" s="1"/>
  <c r="AH130" i="27"/>
  <c r="Y130" i="27"/>
  <c r="S130" i="27"/>
  <c r="S132" i="27" s="1"/>
  <c r="S135" i="27" s="1"/>
  <c r="T130" i="27"/>
  <c r="O130" i="27"/>
  <c r="O132" i="27" s="1"/>
  <c r="O135" i="27" s="1"/>
  <c r="AG130" i="27"/>
  <c r="AF130" i="27"/>
  <c r="AA130" i="27"/>
  <c r="M130" i="27"/>
  <c r="M132" i="27" s="1"/>
  <c r="M135" i="27" s="1"/>
  <c r="K130" i="27"/>
  <c r="K132" i="27" s="1"/>
  <c r="K135" i="27" s="1"/>
  <c r="K136" i="27" s="1"/>
  <c r="M261" i="25"/>
  <c r="N261" i="25" s="1"/>
  <c r="O261" i="25" s="1"/>
  <c r="P261" i="25" s="1"/>
  <c r="Q261" i="25" s="1"/>
  <c r="R261" i="25" s="1"/>
  <c r="S261" i="25" s="1"/>
  <c r="T261" i="25" s="1"/>
  <c r="U261" i="25" s="1"/>
  <c r="V261" i="25" s="1"/>
  <c r="W261" i="25" s="1"/>
  <c r="X261" i="25" s="1"/>
  <c r="Y261" i="25" s="1"/>
  <c r="Z261" i="25" s="1"/>
  <c r="AA261" i="25" s="1"/>
  <c r="AB261" i="25" s="1"/>
  <c r="AC261" i="25" s="1"/>
  <c r="AD261" i="25" s="1"/>
  <c r="AE261" i="25" s="1"/>
  <c r="AF261" i="25" s="1"/>
  <c r="AG261" i="25" s="1"/>
  <c r="AH261" i="25" s="1"/>
  <c r="AI261" i="25" s="1"/>
  <c r="AJ261" i="25" s="1"/>
  <c r="AI308" i="25"/>
  <c r="L282" i="25"/>
  <c r="L258" i="25"/>
  <c r="X305" i="25"/>
  <c r="AH305" i="25"/>
  <c r="P305" i="25"/>
  <c r="K305" i="25"/>
  <c r="W305" i="25"/>
  <c r="L279" i="26"/>
  <c r="M279" i="26" s="1"/>
  <c r="N279" i="26" s="1"/>
  <c r="O279" i="26" s="1"/>
  <c r="P279" i="26" s="1"/>
  <c r="Q279" i="26" s="1"/>
  <c r="R279" i="26" s="1"/>
  <c r="S279" i="26" s="1"/>
  <c r="T279" i="26" s="1"/>
  <c r="U279" i="26" s="1"/>
  <c r="V279" i="26" s="1"/>
  <c r="W279" i="26" s="1"/>
  <c r="X279" i="26" s="1"/>
  <c r="Y279" i="26" s="1"/>
  <c r="Z279" i="26" s="1"/>
  <c r="AA279" i="26" s="1"/>
  <c r="AB279" i="26" s="1"/>
  <c r="AC279" i="26" s="1"/>
  <c r="AD279" i="26" s="1"/>
  <c r="AE279" i="26" s="1"/>
  <c r="AF279" i="26" s="1"/>
  <c r="AG279" i="26" s="1"/>
  <c r="AH279" i="26" s="1"/>
  <c r="AI279" i="26" s="1"/>
  <c r="AA305" i="25"/>
  <c r="AD305" i="25"/>
  <c r="AF305" i="25"/>
  <c r="K281" i="26"/>
  <c r="K282" i="26" s="1"/>
  <c r="L282" i="26" s="1"/>
  <c r="M282" i="26" s="1"/>
  <c r="N282" i="26" s="1"/>
  <c r="O282" i="26" s="1"/>
  <c r="P282" i="26" s="1"/>
  <c r="Q282" i="26" s="1"/>
  <c r="R282" i="26" s="1"/>
  <c r="S282" i="26" s="1"/>
  <c r="T282" i="26" s="1"/>
  <c r="U282" i="26" s="1"/>
  <c r="V282" i="26" s="1"/>
  <c r="W282" i="26" s="1"/>
  <c r="X282" i="26" s="1"/>
  <c r="Y282" i="26" s="1"/>
  <c r="Z282" i="26" s="1"/>
  <c r="AA282" i="26" s="1"/>
  <c r="AB282" i="26" s="1"/>
  <c r="AC282" i="26" s="1"/>
  <c r="AD282" i="26" s="1"/>
  <c r="AE282" i="26" s="1"/>
  <c r="AF282" i="26" s="1"/>
  <c r="AG282" i="26" s="1"/>
  <c r="AH282" i="26" s="1"/>
  <c r="AI282" i="26" s="1"/>
  <c r="AB305" i="25"/>
  <c r="AC305" i="25"/>
  <c r="R305" i="25"/>
  <c r="AG305" i="25"/>
  <c r="V305" i="25"/>
  <c r="O305" i="25"/>
  <c r="T305" i="25"/>
  <c r="U305" i="25"/>
  <c r="N305" i="25"/>
  <c r="Z305" i="25"/>
  <c r="Q305" i="25"/>
  <c r="M305" i="25"/>
  <c r="L305" i="25"/>
  <c r="M75" i="30" l="1"/>
  <c r="N75" i="30" s="1"/>
  <c r="AH209" i="28"/>
  <c r="AI229" i="28"/>
  <c r="AI232" i="28" s="1"/>
  <c r="AI233" i="28" s="1"/>
  <c r="AJ279" i="26"/>
  <c r="AJ153" i="28"/>
  <c r="AI132" i="28"/>
  <c r="AI135" i="28" s="1"/>
  <c r="AI136" i="28" s="1"/>
  <c r="AJ203" i="28"/>
  <c r="AJ125" i="28"/>
  <c r="AJ227" i="28"/>
  <c r="AJ154" i="28" s="1"/>
  <c r="AJ149" i="28"/>
  <c r="AI106" i="28"/>
  <c r="AI108" i="28" s="1"/>
  <c r="AI111" i="28" s="1"/>
  <c r="AI112" i="28" s="1"/>
  <c r="AI181" i="28"/>
  <c r="AI184" i="28" s="1"/>
  <c r="AI185" i="28" s="1"/>
  <c r="N160" i="28"/>
  <c r="N73" i="28" s="1"/>
  <c r="M101" i="12"/>
  <c r="AI154" i="41"/>
  <c r="AI156" i="41" s="1"/>
  <c r="AH157" i="41"/>
  <c r="AJ105" i="28"/>
  <c r="AJ179" i="28"/>
  <c r="AJ106" i="28" s="1"/>
  <c r="AJ101" i="28"/>
  <c r="AI156" i="28"/>
  <c r="AI159" i="28" s="1"/>
  <c r="AI205" i="28"/>
  <c r="AI208" i="28" s="1"/>
  <c r="L145" i="19"/>
  <c r="AJ145" i="19"/>
  <c r="AJ282" i="26"/>
  <c r="AJ305" i="26"/>
  <c r="L306" i="26"/>
  <c r="M306" i="26" s="1"/>
  <c r="N306" i="26" s="1"/>
  <c r="O306" i="26" s="1"/>
  <c r="P306" i="26" s="1"/>
  <c r="Q306" i="26" s="1"/>
  <c r="R306" i="26" s="1"/>
  <c r="S306" i="26" s="1"/>
  <c r="T306" i="26" s="1"/>
  <c r="U306" i="26" s="1"/>
  <c r="V306" i="26" s="1"/>
  <c r="W306" i="26" s="1"/>
  <c r="X306" i="26" s="1"/>
  <c r="Y306" i="26" s="1"/>
  <c r="Z306" i="26" s="1"/>
  <c r="AA306" i="26" s="1"/>
  <c r="AB306" i="26" s="1"/>
  <c r="AC306" i="26" s="1"/>
  <c r="AD306" i="26" s="1"/>
  <c r="AE306" i="26" s="1"/>
  <c r="AF306" i="26" s="1"/>
  <c r="AG306" i="26" s="1"/>
  <c r="AH306" i="26" s="1"/>
  <c r="AI306" i="26" s="1"/>
  <c r="AJ140" i="19"/>
  <c r="L303" i="26"/>
  <c r="M303" i="26" s="1"/>
  <c r="N303" i="26" s="1"/>
  <c r="O303" i="26" s="1"/>
  <c r="P303" i="26" s="1"/>
  <c r="Q303" i="26" s="1"/>
  <c r="R303" i="26" s="1"/>
  <c r="S303" i="26" s="1"/>
  <c r="T303" i="26" s="1"/>
  <c r="U303" i="26" s="1"/>
  <c r="V303" i="26" s="1"/>
  <c r="W303" i="26" s="1"/>
  <c r="X303" i="26" s="1"/>
  <c r="Y303" i="26" s="1"/>
  <c r="Z303" i="26" s="1"/>
  <c r="AA303" i="26" s="1"/>
  <c r="AB303" i="26" s="1"/>
  <c r="AC303" i="26" s="1"/>
  <c r="AD303" i="26" s="1"/>
  <c r="AE303" i="26" s="1"/>
  <c r="AF303" i="26" s="1"/>
  <c r="AG303" i="26" s="1"/>
  <c r="AH303" i="26" s="1"/>
  <c r="AI303" i="26" s="1"/>
  <c r="AJ303" i="26" s="1"/>
  <c r="O112" i="29"/>
  <c r="O81" i="12" s="1"/>
  <c r="N73" i="29"/>
  <c r="AH160" i="41"/>
  <c r="AH73" i="41" s="1"/>
  <c r="K72" i="28"/>
  <c r="L72" i="28"/>
  <c r="M72" i="28"/>
  <c r="P105" i="12"/>
  <c r="M73" i="28"/>
  <c r="K73" i="28"/>
  <c r="L73" i="28"/>
  <c r="K104" i="12"/>
  <c r="K73" i="27"/>
  <c r="K92" i="12"/>
  <c r="K72" i="27"/>
  <c r="L160" i="27"/>
  <c r="O86" i="30"/>
  <c r="P86" i="30" s="1"/>
  <c r="Q86" i="30" s="1"/>
  <c r="AB96" i="30"/>
  <c r="M77" i="30"/>
  <c r="M81" i="30"/>
  <c r="N81" i="30" s="1"/>
  <c r="M74" i="30"/>
  <c r="N74" i="30" s="1"/>
  <c r="AB93" i="30"/>
  <c r="M101" i="30"/>
  <c r="M94" i="30"/>
  <c r="M97" i="30"/>
  <c r="N72" i="29"/>
  <c r="AJ92" i="19"/>
  <c r="AJ93" i="19"/>
  <c r="AJ117" i="19"/>
  <c r="T145" i="19"/>
  <c r="T153" i="19" s="1"/>
  <c r="K121" i="19"/>
  <c r="M103" i="30"/>
  <c r="N104" i="30"/>
  <c r="P69" i="40"/>
  <c r="AF121" i="19"/>
  <c r="AF129" i="19" s="1"/>
  <c r="P73" i="40"/>
  <c r="J109" i="40" s="1"/>
  <c r="Q160" i="29"/>
  <c r="AB73" i="30"/>
  <c r="Z73" i="30" s="1"/>
  <c r="J123" i="30"/>
  <c r="J128" i="30"/>
  <c r="J124" i="30"/>
  <c r="J129" i="30"/>
  <c r="J130" i="30"/>
  <c r="J125" i="30"/>
  <c r="T132" i="27"/>
  <c r="T135" i="27" s="1"/>
  <c r="R153" i="29"/>
  <c r="R156" i="29" s="1"/>
  <c r="R159" i="29" s="1"/>
  <c r="AB76" i="30"/>
  <c r="Z76" i="30" s="1"/>
  <c r="U108" i="27"/>
  <c r="U111" i="27" s="1"/>
  <c r="U156" i="27"/>
  <c r="U159" i="27" s="1"/>
  <c r="U132" i="27"/>
  <c r="U135" i="27" s="1"/>
  <c r="T156" i="27"/>
  <c r="T159" i="27" s="1"/>
  <c r="Y105" i="19"/>
  <c r="X105" i="19"/>
  <c r="S101" i="19"/>
  <c r="S106" i="19" s="1"/>
  <c r="AE105" i="19"/>
  <c r="V101" i="19"/>
  <c r="V106" i="19" s="1"/>
  <c r="W101" i="19"/>
  <c r="W106" i="19" s="1"/>
  <c r="R101" i="19"/>
  <c r="R106" i="19" s="1"/>
  <c r="AG101" i="19"/>
  <c r="AG106" i="19" s="1"/>
  <c r="AA105" i="19"/>
  <c r="Q105" i="19"/>
  <c r="AC101" i="19"/>
  <c r="AC106" i="19" s="1"/>
  <c r="AI105" i="19"/>
  <c r="AB105" i="19"/>
  <c r="AF101" i="19"/>
  <c r="AF106" i="19" s="1"/>
  <c r="K105" i="19"/>
  <c r="S71" i="29"/>
  <c r="M83" i="30"/>
  <c r="N84" i="30"/>
  <c r="K145" i="19"/>
  <c r="K153" i="19" s="1"/>
  <c r="Q121" i="19"/>
  <c r="S145" i="19"/>
  <c r="S149" i="19" s="1"/>
  <c r="S154" i="19" s="1"/>
  <c r="O101" i="19"/>
  <c r="O106" i="19" s="1"/>
  <c r="O108" i="19" s="1"/>
  <c r="O111" i="19" s="1"/>
  <c r="Y121" i="19"/>
  <c r="Y129" i="19" s="1"/>
  <c r="U121" i="19"/>
  <c r="U129" i="19" s="1"/>
  <c r="Z121" i="19"/>
  <c r="Z125" i="19" s="1"/>
  <c r="Z130" i="19" s="1"/>
  <c r="AA121" i="19"/>
  <c r="AA125" i="19" s="1"/>
  <c r="AA130" i="19" s="1"/>
  <c r="AE121" i="19"/>
  <c r="Y145" i="19"/>
  <c r="Y153" i="19" s="1"/>
  <c r="W145" i="19"/>
  <c r="W153" i="19" s="1"/>
  <c r="M145" i="19"/>
  <c r="M149" i="19" s="1"/>
  <c r="M154" i="19" s="1"/>
  <c r="P145" i="19"/>
  <c r="X145" i="19"/>
  <c r="X149" i="19" s="1"/>
  <c r="X154" i="19" s="1"/>
  <c r="N105" i="19"/>
  <c r="V121" i="19"/>
  <c r="AJ121" i="19"/>
  <c r="W121" i="19"/>
  <c r="S121" i="19"/>
  <c r="AI121" i="19"/>
  <c r="AI125" i="19" s="1"/>
  <c r="AI130" i="19" s="1"/>
  <c r="AD121" i="19"/>
  <c r="AD129" i="19" s="1"/>
  <c r="AC121" i="19"/>
  <c r="AC125" i="19" s="1"/>
  <c r="AC130" i="19" s="1"/>
  <c r="N121" i="19"/>
  <c r="N129" i="19" s="1"/>
  <c r="AG121" i="19"/>
  <c r="L121" i="19"/>
  <c r="L129" i="19" s="1"/>
  <c r="P121" i="19"/>
  <c r="P125" i="19" s="1"/>
  <c r="P130" i="19" s="1"/>
  <c r="R121" i="19"/>
  <c r="R129" i="19" s="1"/>
  <c r="O121" i="19"/>
  <c r="O129" i="19" s="1"/>
  <c r="X121" i="19"/>
  <c r="X125" i="19" s="1"/>
  <c r="X130" i="19" s="1"/>
  <c r="AH121" i="19"/>
  <c r="AH125" i="19" s="1"/>
  <c r="AH130" i="19" s="1"/>
  <c r="T121" i="19"/>
  <c r="AB121" i="19"/>
  <c r="AB129" i="19" s="1"/>
  <c r="M121" i="19"/>
  <c r="M129" i="19" s="1"/>
  <c r="K101" i="19"/>
  <c r="K106" i="19" s="1"/>
  <c r="L101" i="19"/>
  <c r="L106" i="19" s="1"/>
  <c r="L108" i="19" s="1"/>
  <c r="L111" i="19" s="1"/>
  <c r="O145" i="19"/>
  <c r="O153" i="19" s="1"/>
  <c r="AF145" i="19"/>
  <c r="AF153" i="19" s="1"/>
  <c r="AE145" i="19"/>
  <c r="AE149" i="19" s="1"/>
  <c r="AE154" i="19" s="1"/>
  <c r="U145" i="19"/>
  <c r="AG145" i="19"/>
  <c r="AB145" i="19"/>
  <c r="AC145" i="19"/>
  <c r="AC149" i="19" s="1"/>
  <c r="AC154" i="19" s="1"/>
  <c r="Z145" i="19"/>
  <c r="N101" i="19"/>
  <c r="N106" i="19" s="1"/>
  <c r="AA145" i="19"/>
  <c r="V145" i="19"/>
  <c r="V153" i="19" s="1"/>
  <c r="AI145" i="19"/>
  <c r="AI153" i="19" s="1"/>
  <c r="AH145" i="19"/>
  <c r="AH153" i="19" s="1"/>
  <c r="R145" i="19"/>
  <c r="R153" i="19" s="1"/>
  <c r="N145" i="19"/>
  <c r="AD145" i="19"/>
  <c r="AD149" i="19" s="1"/>
  <c r="AD154" i="19" s="1"/>
  <c r="Q145" i="19"/>
  <c r="M105" i="19"/>
  <c r="M108" i="19" s="1"/>
  <c r="M111" i="19" s="1"/>
  <c r="K18" i="26"/>
  <c r="AC13" i="26" s="1"/>
  <c r="N112" i="27"/>
  <c r="N80" i="12" s="1"/>
  <c r="M109" i="27"/>
  <c r="N109" i="27" s="1"/>
  <c r="O109" i="27" s="1"/>
  <c r="P109" i="27" s="1"/>
  <c r="Q109" i="27" s="1"/>
  <c r="R109" i="27" s="1"/>
  <c r="S109" i="27" s="1"/>
  <c r="T109" i="27" s="1"/>
  <c r="Q133" i="29"/>
  <c r="O136" i="29"/>
  <c r="O93" i="12" s="1"/>
  <c r="Q157" i="29"/>
  <c r="K133" i="27"/>
  <c r="L133" i="27" s="1"/>
  <c r="M133" i="27" s="1"/>
  <c r="N133" i="27" s="1"/>
  <c r="O133" i="27" s="1"/>
  <c r="P133" i="27" s="1"/>
  <c r="Q133" i="27" s="1"/>
  <c r="R133" i="27" s="1"/>
  <c r="S133" i="27" s="1"/>
  <c r="R132" i="29"/>
  <c r="R135" i="29" s="1"/>
  <c r="Q109" i="29"/>
  <c r="R108" i="29"/>
  <c r="R111" i="29" s="1"/>
  <c r="S154" i="29"/>
  <c r="T88" i="29"/>
  <c r="S130" i="29"/>
  <c r="S106" i="29"/>
  <c r="L308" i="25"/>
  <c r="M308" i="25"/>
  <c r="N308" i="25"/>
  <c r="O308" i="25"/>
  <c r="AG308" i="25"/>
  <c r="AH308" i="25"/>
  <c r="Q308" i="25"/>
  <c r="U308" i="25"/>
  <c r="T308" i="25"/>
  <c r="V308" i="25"/>
  <c r="AC308" i="25"/>
  <c r="AB308" i="25"/>
  <c r="K306" i="25"/>
  <c r="L306" i="25" s="1"/>
  <c r="X308" i="25"/>
  <c r="Z308" i="25"/>
  <c r="AF308" i="25"/>
  <c r="AD308" i="25"/>
  <c r="P308" i="25"/>
  <c r="R308" i="25"/>
  <c r="AA308" i="25"/>
  <c r="W308" i="25"/>
  <c r="M258" i="25"/>
  <c r="M282" i="25"/>
  <c r="K308" i="25"/>
  <c r="K309" i="25" s="1"/>
  <c r="L136" i="27"/>
  <c r="L92" i="12" s="1"/>
  <c r="AI209" i="28" l="1"/>
  <c r="AI230" i="28"/>
  <c r="AJ156" i="28"/>
  <c r="AJ159" i="28" s="1"/>
  <c r="AI133" i="28"/>
  <c r="AJ181" i="28"/>
  <c r="AJ184" i="28" s="1"/>
  <c r="AJ185" i="28" s="1"/>
  <c r="AJ108" i="28"/>
  <c r="AJ111" i="28" s="1"/>
  <c r="AJ112" i="28" s="1"/>
  <c r="L33" i="42" s="1"/>
  <c r="AI159" i="41"/>
  <c r="AI160" i="41" s="1"/>
  <c r="AI157" i="41"/>
  <c r="AJ157" i="41" s="1"/>
  <c r="O160" i="28"/>
  <c r="O73" i="28" s="1"/>
  <c r="N101" i="12"/>
  <c r="AJ205" i="28"/>
  <c r="AJ208" i="28" s="1"/>
  <c r="AJ130" i="28"/>
  <c r="AJ132" i="28" s="1"/>
  <c r="AJ135" i="28" s="1"/>
  <c r="AJ136" i="28" s="1"/>
  <c r="AI182" i="28"/>
  <c r="AI206" i="28"/>
  <c r="AJ229" i="28"/>
  <c r="AJ232" i="28" s="1"/>
  <c r="AJ233" i="28" s="1"/>
  <c r="AI109" i="28"/>
  <c r="AI157" i="28"/>
  <c r="K218" i="26"/>
  <c r="AJ218" i="26"/>
  <c r="AJ306" i="26"/>
  <c r="AJ149" i="19"/>
  <c r="AJ154" i="19" s="1"/>
  <c r="O218" i="26"/>
  <c r="S218" i="26"/>
  <c r="W218" i="26"/>
  <c r="AA218" i="26"/>
  <c r="AE218" i="26"/>
  <c r="AI218" i="26"/>
  <c r="P218" i="26"/>
  <c r="AF218" i="26"/>
  <c r="M218" i="26"/>
  <c r="Q218" i="26"/>
  <c r="U218" i="26"/>
  <c r="Y218" i="26"/>
  <c r="AC218" i="26"/>
  <c r="AG218" i="26"/>
  <c r="L218" i="26"/>
  <c r="X218" i="26"/>
  <c r="N218" i="26"/>
  <c r="R218" i="26"/>
  <c r="V218" i="26"/>
  <c r="Z218" i="26"/>
  <c r="AD218" i="26"/>
  <c r="AH218" i="26"/>
  <c r="T218" i="26"/>
  <c r="AB218" i="26"/>
  <c r="P112" i="29"/>
  <c r="P81" i="12" s="1"/>
  <c r="O73" i="29"/>
  <c r="J107" i="40"/>
  <c r="L107" i="40" s="1"/>
  <c r="M34" i="43"/>
  <c r="N72" i="28"/>
  <c r="Q105" i="12"/>
  <c r="L104" i="12"/>
  <c r="L73" i="27"/>
  <c r="M160" i="27"/>
  <c r="N97" i="30"/>
  <c r="N96" i="30" s="1"/>
  <c r="O96" i="30" s="1"/>
  <c r="P96" i="30" s="1"/>
  <c r="Q96" i="30" s="1"/>
  <c r="N94" i="30"/>
  <c r="N93" i="30" s="1"/>
  <c r="J11" i="48" s="1"/>
  <c r="K20" i="48" s="1"/>
  <c r="N77" i="30"/>
  <c r="N76" i="30" s="1"/>
  <c r="K77" i="12"/>
  <c r="N89" i="12"/>
  <c r="M89" i="12"/>
  <c r="O112" i="27"/>
  <c r="O80" i="12" s="1"/>
  <c r="L72" i="27"/>
  <c r="O72" i="29"/>
  <c r="AJ125" i="19"/>
  <c r="AJ130" i="19" s="1"/>
  <c r="T149" i="19"/>
  <c r="T154" i="19" s="1"/>
  <c r="M96" i="30"/>
  <c r="M93" i="30"/>
  <c r="L23" i="42"/>
  <c r="N101" i="30"/>
  <c r="N100" i="30" s="1"/>
  <c r="M100" i="30"/>
  <c r="M99" i="30" s="1"/>
  <c r="O104" i="30"/>
  <c r="N103" i="30"/>
  <c r="AF125" i="19"/>
  <c r="AF130" i="19" s="1"/>
  <c r="J102" i="40"/>
  <c r="K102" i="40" s="1"/>
  <c r="R160" i="29"/>
  <c r="M153" i="19"/>
  <c r="M156" i="19" s="1"/>
  <c r="M159" i="19" s="1"/>
  <c r="J104" i="40"/>
  <c r="L104" i="40" s="1"/>
  <c r="AD125" i="19"/>
  <c r="AD130" i="19" s="1"/>
  <c r="K109" i="40"/>
  <c r="L109" i="40"/>
  <c r="M109" i="40"/>
  <c r="N109" i="40"/>
  <c r="O109" i="40"/>
  <c r="P109" i="40"/>
  <c r="Q109" i="40"/>
  <c r="R109" i="40"/>
  <c r="S109" i="40"/>
  <c r="T109" i="40"/>
  <c r="U109" i="40"/>
  <c r="V109" i="40"/>
  <c r="W109" i="40"/>
  <c r="X109" i="40"/>
  <c r="Y109" i="40"/>
  <c r="Z109" i="40"/>
  <c r="AA109" i="40"/>
  <c r="AB109" i="40"/>
  <c r="AC109" i="40"/>
  <c r="AD109" i="40"/>
  <c r="AE109" i="40"/>
  <c r="AF109" i="40"/>
  <c r="AG109" i="40"/>
  <c r="AH109" i="40"/>
  <c r="AI109" i="40"/>
  <c r="AJ109" i="40"/>
  <c r="AA101" i="19"/>
  <c r="AA106" i="19" s="1"/>
  <c r="T133" i="27"/>
  <c r="U133" i="27" s="1"/>
  <c r="M73" i="30"/>
  <c r="M125" i="30"/>
  <c r="N125" i="30"/>
  <c r="R125" i="30"/>
  <c r="V125" i="30"/>
  <c r="Z125" i="30"/>
  <c r="AD125" i="30"/>
  <c r="AH125" i="30"/>
  <c r="O125" i="30"/>
  <c r="S125" i="30"/>
  <c r="W125" i="30"/>
  <c r="AA125" i="30"/>
  <c r="AE125" i="30"/>
  <c r="AI125" i="30"/>
  <c r="P125" i="30"/>
  <c r="T125" i="30"/>
  <c r="X125" i="30"/>
  <c r="AB125" i="30"/>
  <c r="AF125" i="30"/>
  <c r="AJ125" i="30"/>
  <c r="L125" i="30"/>
  <c r="Q125" i="30"/>
  <c r="U125" i="30"/>
  <c r="Y125" i="30"/>
  <c r="AC125" i="30"/>
  <c r="AG125" i="30"/>
  <c r="K125" i="30"/>
  <c r="L128" i="30"/>
  <c r="P128" i="30"/>
  <c r="T128" i="30"/>
  <c r="X128" i="30"/>
  <c r="AB128" i="30"/>
  <c r="AF128" i="30"/>
  <c r="AJ128" i="30"/>
  <c r="O128" i="30"/>
  <c r="S128" i="30"/>
  <c r="W128" i="30"/>
  <c r="AA128" i="30"/>
  <c r="AE128" i="30"/>
  <c r="AI128" i="30"/>
  <c r="M128" i="30"/>
  <c r="U128" i="30"/>
  <c r="AC128" i="30"/>
  <c r="N128" i="30"/>
  <c r="V128" i="30"/>
  <c r="AD128" i="30"/>
  <c r="Q128" i="30"/>
  <c r="Y128" i="30"/>
  <c r="AG128" i="30"/>
  <c r="K128" i="30"/>
  <c r="R128" i="30"/>
  <c r="Z128" i="30"/>
  <c r="AH128" i="30"/>
  <c r="N130" i="30"/>
  <c r="R130" i="30"/>
  <c r="V130" i="30"/>
  <c r="Z130" i="30"/>
  <c r="AD130" i="30"/>
  <c r="AH130" i="30"/>
  <c r="K130" i="30"/>
  <c r="M130" i="30"/>
  <c r="Q130" i="30"/>
  <c r="U130" i="30"/>
  <c r="Y130" i="30"/>
  <c r="AC130" i="30"/>
  <c r="AG130" i="30"/>
  <c r="S130" i="30"/>
  <c r="AA130" i="30"/>
  <c r="AI130" i="30"/>
  <c r="L130" i="30"/>
  <c r="T130" i="30"/>
  <c r="AB130" i="30"/>
  <c r="AJ130" i="30"/>
  <c r="O130" i="30"/>
  <c r="W130" i="30"/>
  <c r="AE130" i="30"/>
  <c r="P130" i="30"/>
  <c r="X130" i="30"/>
  <c r="AF130" i="30"/>
  <c r="O129" i="30"/>
  <c r="S129" i="30"/>
  <c r="W129" i="30"/>
  <c r="AA129" i="30"/>
  <c r="AE129" i="30"/>
  <c r="AI129" i="30"/>
  <c r="N129" i="30"/>
  <c r="R129" i="30"/>
  <c r="V129" i="30"/>
  <c r="Z129" i="30"/>
  <c r="AD129" i="30"/>
  <c r="AH129" i="30"/>
  <c r="K129" i="30"/>
  <c r="L129" i="30"/>
  <c r="T129" i="30"/>
  <c r="AB129" i="30"/>
  <c r="AJ129" i="30"/>
  <c r="M129" i="30"/>
  <c r="U129" i="30"/>
  <c r="AC129" i="30"/>
  <c r="P129" i="30"/>
  <c r="X129" i="30"/>
  <c r="AF129" i="30"/>
  <c r="Q129" i="30"/>
  <c r="Y129" i="30"/>
  <c r="AG129" i="30"/>
  <c r="K124" i="30"/>
  <c r="AG124" i="30"/>
  <c r="AC124" i="30"/>
  <c r="Y124" i="30"/>
  <c r="U124" i="30"/>
  <c r="Q124" i="30"/>
  <c r="M124" i="30"/>
  <c r="AJ124" i="30"/>
  <c r="AF124" i="30"/>
  <c r="AB124" i="30"/>
  <c r="X124" i="30"/>
  <c r="T124" i="30"/>
  <c r="P124" i="30"/>
  <c r="L124" i="30"/>
  <c r="AI124" i="30"/>
  <c r="AE124" i="30"/>
  <c r="AA124" i="30"/>
  <c r="W124" i="30"/>
  <c r="S124" i="30"/>
  <c r="O124" i="30"/>
  <c r="AH124" i="30"/>
  <c r="AD124" i="30"/>
  <c r="Z124" i="30"/>
  <c r="V124" i="30"/>
  <c r="R124" i="30"/>
  <c r="N124" i="30"/>
  <c r="M123" i="30"/>
  <c r="Q123" i="30"/>
  <c r="U123" i="30"/>
  <c r="Y123" i="30"/>
  <c r="AC123" i="30"/>
  <c r="AG123" i="30"/>
  <c r="N123" i="30"/>
  <c r="R123" i="30"/>
  <c r="V123" i="30"/>
  <c r="Z123" i="30"/>
  <c r="AD123" i="30"/>
  <c r="AH123" i="30"/>
  <c r="AJ123" i="30"/>
  <c r="O123" i="30"/>
  <c r="S123" i="30"/>
  <c r="W123" i="30"/>
  <c r="AA123" i="30"/>
  <c r="AE123" i="30"/>
  <c r="AI123" i="30"/>
  <c r="L123" i="30"/>
  <c r="P123" i="30"/>
  <c r="T123" i="30"/>
  <c r="X123" i="30"/>
  <c r="AB123" i="30"/>
  <c r="AF123" i="30"/>
  <c r="K123" i="30"/>
  <c r="AJ129" i="19"/>
  <c r="S153" i="29"/>
  <c r="S156" i="29" s="1"/>
  <c r="S159" i="29" s="1"/>
  <c r="S129" i="19"/>
  <c r="AA129" i="19"/>
  <c r="T105" i="19"/>
  <c r="W125" i="19"/>
  <c r="W130" i="19" s="1"/>
  <c r="W129" i="19"/>
  <c r="T101" i="19"/>
  <c r="T106" i="19" s="1"/>
  <c r="V105" i="19"/>
  <c r="AH105" i="19"/>
  <c r="T129" i="19"/>
  <c r="AJ101" i="19"/>
  <c r="AJ106" i="19" s="1"/>
  <c r="T125" i="19"/>
  <c r="T130" i="19" s="1"/>
  <c r="AD101" i="19"/>
  <c r="AD106" i="19" s="1"/>
  <c r="P105" i="19"/>
  <c r="K108" i="19"/>
  <c r="K109" i="19" s="1"/>
  <c r="L109" i="19" s="1"/>
  <c r="M109" i="19" s="1"/>
  <c r="N125" i="19"/>
  <c r="N130" i="19" s="1"/>
  <c r="N132" i="19" s="1"/>
  <c r="N135" i="19" s="1"/>
  <c r="Z129" i="19"/>
  <c r="P101" i="19"/>
  <c r="P106" i="19" s="1"/>
  <c r="AG105" i="19"/>
  <c r="Q101" i="19"/>
  <c r="Q106" i="19" s="1"/>
  <c r="Q108" i="19" s="1"/>
  <c r="Q111" i="19" s="1"/>
  <c r="S105" i="19"/>
  <c r="S108" i="19" s="1"/>
  <c r="S111" i="19" s="1"/>
  <c r="X153" i="19"/>
  <c r="U109" i="27"/>
  <c r="AE101" i="19"/>
  <c r="AE106" i="19" s="1"/>
  <c r="T157" i="27"/>
  <c r="U157" i="27" s="1"/>
  <c r="V156" i="27"/>
  <c r="V159" i="27" s="1"/>
  <c r="V132" i="27"/>
  <c r="V135" i="27" s="1"/>
  <c r="V108" i="27"/>
  <c r="V111" i="27" s="1"/>
  <c r="W105" i="19"/>
  <c r="U125" i="19"/>
  <c r="U130" i="19" s="1"/>
  <c r="Y149" i="19"/>
  <c r="Y154" i="19" s="1"/>
  <c r="L125" i="19"/>
  <c r="L130" i="19" s="1"/>
  <c r="L132" i="19" s="1"/>
  <c r="L135" i="19" s="1"/>
  <c r="Y101" i="19"/>
  <c r="Y106" i="19" s="1"/>
  <c r="AC105" i="19"/>
  <c r="AD105" i="19"/>
  <c r="AH129" i="19"/>
  <c r="AE129" i="19"/>
  <c r="Y125" i="19"/>
  <c r="Y130" i="19" s="1"/>
  <c r="K129" i="19"/>
  <c r="AJ105" i="19"/>
  <c r="R125" i="19"/>
  <c r="R130" i="19" s="1"/>
  <c r="R132" i="19" s="1"/>
  <c r="R135" i="19" s="1"/>
  <c r="AG129" i="19"/>
  <c r="X101" i="19"/>
  <c r="X106" i="19" s="1"/>
  <c r="R105" i="19"/>
  <c r="R108" i="19" s="1"/>
  <c r="R111" i="19" s="1"/>
  <c r="AH101" i="19"/>
  <c r="AH106" i="19" s="1"/>
  <c r="Z105" i="19"/>
  <c r="Z101" i="19"/>
  <c r="Z106" i="19" s="1"/>
  <c r="AF149" i="19"/>
  <c r="AF154" i="19" s="1"/>
  <c r="AI101" i="19"/>
  <c r="AI106" i="19" s="1"/>
  <c r="AF105" i="19"/>
  <c r="U105" i="19"/>
  <c r="U101" i="19"/>
  <c r="U106" i="19" s="1"/>
  <c r="AB101" i="19"/>
  <c r="AB106" i="19" s="1"/>
  <c r="T71" i="29"/>
  <c r="P153" i="19"/>
  <c r="Q125" i="19"/>
  <c r="Q130" i="19" s="1"/>
  <c r="V129" i="19"/>
  <c r="N73" i="30"/>
  <c r="M76" i="30"/>
  <c r="N80" i="30"/>
  <c r="M80" i="30"/>
  <c r="M79" i="30" s="1"/>
  <c r="N83" i="30"/>
  <c r="O84" i="30"/>
  <c r="AC12" i="26"/>
  <c r="AB11" i="26" s="1"/>
  <c r="Q13" i="26"/>
  <c r="AJ194" i="26" s="1"/>
  <c r="Q12" i="26"/>
  <c r="AJ153" i="19"/>
  <c r="V149" i="19"/>
  <c r="V154" i="19" s="1"/>
  <c r="W149" i="19"/>
  <c r="W154" i="19" s="1"/>
  <c r="P149" i="19"/>
  <c r="P154" i="19" s="1"/>
  <c r="AG125" i="19"/>
  <c r="AG130" i="19" s="1"/>
  <c r="S125" i="19"/>
  <c r="S130" i="19" s="1"/>
  <c r="AE125" i="19"/>
  <c r="AE130" i="19" s="1"/>
  <c r="AB125" i="19"/>
  <c r="AB130" i="19" s="1"/>
  <c r="S153" i="19"/>
  <c r="S156" i="19" s="1"/>
  <c r="S159" i="19" s="1"/>
  <c r="X129" i="19"/>
  <c r="O149" i="19"/>
  <c r="O154" i="19" s="1"/>
  <c r="O156" i="19" s="1"/>
  <c r="O159" i="19" s="1"/>
  <c r="AI129" i="19"/>
  <c r="P129" i="19"/>
  <c r="P132" i="19" s="1"/>
  <c r="P135" i="19" s="1"/>
  <c r="N108" i="19"/>
  <c r="N111" i="19" s="1"/>
  <c r="AA153" i="19"/>
  <c r="Q129" i="19"/>
  <c r="K149" i="19"/>
  <c r="K154" i="19" s="1"/>
  <c r="K156" i="19" s="1"/>
  <c r="M125" i="19"/>
  <c r="M130" i="19" s="1"/>
  <c r="M132" i="19" s="1"/>
  <c r="M135" i="19" s="1"/>
  <c r="Q153" i="19"/>
  <c r="AC129" i="19"/>
  <c r="AA149" i="19"/>
  <c r="AA154" i="19" s="1"/>
  <c r="V125" i="19"/>
  <c r="V130" i="19" s="1"/>
  <c r="Q149" i="19"/>
  <c r="Q154" i="19" s="1"/>
  <c r="AG153" i="19"/>
  <c r="K125" i="19"/>
  <c r="K130" i="19" s="1"/>
  <c r="N153" i="19"/>
  <c r="O125" i="19"/>
  <c r="O130" i="19" s="1"/>
  <c r="O132" i="19" s="1"/>
  <c r="O135" i="19" s="1"/>
  <c r="AI149" i="19"/>
  <c r="AI154" i="19" s="1"/>
  <c r="R149" i="19"/>
  <c r="R154" i="19" s="1"/>
  <c r="R156" i="19" s="1"/>
  <c r="R159" i="19" s="1"/>
  <c r="AD153" i="19"/>
  <c r="Z153" i="19"/>
  <c r="U149" i="19"/>
  <c r="U154" i="19" s="1"/>
  <c r="N149" i="19"/>
  <c r="N154" i="19" s="1"/>
  <c r="AB153" i="19"/>
  <c r="AC153" i="19"/>
  <c r="AE153" i="19"/>
  <c r="AB149" i="19"/>
  <c r="AB154" i="19" s="1"/>
  <c r="AH149" i="19"/>
  <c r="AH154" i="19" s="1"/>
  <c r="Z149" i="19"/>
  <c r="Z154" i="19" s="1"/>
  <c r="U153" i="19"/>
  <c r="L149" i="19"/>
  <c r="L154" i="19" s="1"/>
  <c r="L153" i="19"/>
  <c r="AG149" i="19"/>
  <c r="AG154" i="19" s="1"/>
  <c r="K13" i="26"/>
  <c r="AJ170" i="26" s="1"/>
  <c r="R157" i="29"/>
  <c r="M136" i="27"/>
  <c r="M92" i="12" s="1"/>
  <c r="P136" i="29"/>
  <c r="P93" i="12" s="1"/>
  <c r="S132" i="29"/>
  <c r="S135" i="29" s="1"/>
  <c r="R133" i="29"/>
  <c r="R109" i="29"/>
  <c r="S108" i="29"/>
  <c r="S111" i="29" s="1"/>
  <c r="T154" i="29"/>
  <c r="U88" i="29"/>
  <c r="T130" i="29"/>
  <c r="T106" i="29"/>
  <c r="L309" i="25"/>
  <c r="M309" i="25" s="1"/>
  <c r="N309" i="25" s="1"/>
  <c r="O309" i="25" s="1"/>
  <c r="P309" i="25" s="1"/>
  <c r="Q309" i="25" s="1"/>
  <c r="R309" i="25" s="1"/>
  <c r="S309" i="25" s="1"/>
  <c r="T309" i="25" s="1"/>
  <c r="U309" i="25" s="1"/>
  <c r="V309" i="25" s="1"/>
  <c r="W309" i="25" s="1"/>
  <c r="X309" i="25" s="1"/>
  <c r="Y309" i="25" s="1"/>
  <c r="Z309" i="25" s="1"/>
  <c r="AA309" i="25" s="1"/>
  <c r="AB309" i="25" s="1"/>
  <c r="AC309" i="25" s="1"/>
  <c r="AD309" i="25" s="1"/>
  <c r="AE309" i="25" s="1"/>
  <c r="AF309" i="25" s="1"/>
  <c r="AG309" i="25" s="1"/>
  <c r="AH309" i="25" s="1"/>
  <c r="AI309" i="25" s="1"/>
  <c r="AJ309" i="25" s="1"/>
  <c r="M306" i="25"/>
  <c r="N282" i="25"/>
  <c r="N258" i="25"/>
  <c r="AJ209" i="28" l="1"/>
  <c r="AJ157" i="28"/>
  <c r="AJ182" i="28"/>
  <c r="AJ109" i="28"/>
  <c r="AJ133" i="28"/>
  <c r="AJ206" i="28"/>
  <c r="M33" i="42"/>
  <c r="AJ72" i="28"/>
  <c r="P104" i="30"/>
  <c r="AJ174" i="26"/>
  <c r="AJ178" i="26"/>
  <c r="AJ97" i="26"/>
  <c r="AJ230" i="28"/>
  <c r="P160" i="28"/>
  <c r="P73" i="28" s="1"/>
  <c r="O101" i="12"/>
  <c r="AJ198" i="26"/>
  <c r="AJ202" i="26"/>
  <c r="AJ129" i="26" s="1"/>
  <c r="AJ222" i="26"/>
  <c r="AJ149" i="26" s="1"/>
  <c r="AJ145" i="26"/>
  <c r="AJ226" i="26"/>
  <c r="K170" i="26"/>
  <c r="L170" i="26"/>
  <c r="L194" i="26"/>
  <c r="K194" i="26"/>
  <c r="Q112" i="29"/>
  <c r="Q81" i="12" s="1"/>
  <c r="P73" i="29"/>
  <c r="W107" i="40"/>
  <c r="W110" i="40" s="1"/>
  <c r="W124" i="40" s="1"/>
  <c r="X107" i="40"/>
  <c r="X110" i="40" s="1"/>
  <c r="X124" i="40" s="1"/>
  <c r="AI107" i="40"/>
  <c r="AI110" i="40" s="1"/>
  <c r="AI124" i="40" s="1"/>
  <c r="P107" i="40"/>
  <c r="P110" i="40" s="1"/>
  <c r="P124" i="40" s="1"/>
  <c r="AD107" i="40"/>
  <c r="AD110" i="40" s="1"/>
  <c r="AD124" i="40" s="1"/>
  <c r="M107" i="40"/>
  <c r="M110" i="40" s="1"/>
  <c r="M124" i="40" s="1"/>
  <c r="AE107" i="40"/>
  <c r="AE110" i="40" s="1"/>
  <c r="AE124" i="40" s="1"/>
  <c r="Q107" i="40"/>
  <c r="Q110" i="40" s="1"/>
  <c r="Q124" i="40" s="1"/>
  <c r="AI73" i="41"/>
  <c r="AJ160" i="41"/>
  <c r="AG107" i="40"/>
  <c r="AG110" i="40" s="1"/>
  <c r="AG124" i="40" s="1"/>
  <c r="AA107" i="40"/>
  <c r="AA110" i="40" s="1"/>
  <c r="AA124" i="40" s="1"/>
  <c r="V107" i="40"/>
  <c r="V110" i="40" s="1"/>
  <c r="V124" i="40" s="1"/>
  <c r="N107" i="40"/>
  <c r="N110" i="40" s="1"/>
  <c r="N124" i="40" s="1"/>
  <c r="AF107" i="40"/>
  <c r="AF110" i="40" s="1"/>
  <c r="AF124" i="40" s="1"/>
  <c r="Y107" i="40"/>
  <c r="Y110" i="40" s="1"/>
  <c r="Y124" i="40" s="1"/>
  <c r="S107" i="40"/>
  <c r="S110" i="40" s="1"/>
  <c r="S124" i="40" s="1"/>
  <c r="O107" i="40"/>
  <c r="O110" i="40" s="1"/>
  <c r="O124" i="40" s="1"/>
  <c r="AH107" i="40"/>
  <c r="AH110" i="40" s="1"/>
  <c r="AH124" i="40" s="1"/>
  <c r="Z107" i="40"/>
  <c r="Z110" i="40" s="1"/>
  <c r="Z124" i="40" s="1"/>
  <c r="R107" i="40"/>
  <c r="R110" i="40" s="1"/>
  <c r="R124" i="40" s="1"/>
  <c r="AC107" i="40"/>
  <c r="AC110" i="40" s="1"/>
  <c r="AC124" i="40" s="1"/>
  <c r="U107" i="40"/>
  <c r="U110" i="40" s="1"/>
  <c r="U124" i="40" s="1"/>
  <c r="K107" i="40"/>
  <c r="K110" i="40" s="1"/>
  <c r="AJ107" i="40"/>
  <c r="AJ110" i="40" s="1"/>
  <c r="AJ124" i="40" s="1"/>
  <c r="AB107" i="40"/>
  <c r="AB110" i="40" s="1"/>
  <c r="AB124" i="40" s="1"/>
  <c r="T107" i="40"/>
  <c r="T110" i="40" s="1"/>
  <c r="T124" i="40" s="1"/>
  <c r="O72" i="28"/>
  <c r="R105" i="12"/>
  <c r="M104" i="12"/>
  <c r="M73" i="27"/>
  <c r="S160" i="29"/>
  <c r="N160" i="27"/>
  <c r="O89" i="12"/>
  <c r="L77" i="12"/>
  <c r="R96" i="30"/>
  <c r="AC12" i="48"/>
  <c r="AB15" i="48"/>
  <c r="AC15" i="48" s="1"/>
  <c r="K13" i="48"/>
  <c r="AC13" i="48"/>
  <c r="P112" i="27"/>
  <c r="P80" i="12" s="1"/>
  <c r="M72" i="27"/>
  <c r="P72" i="29"/>
  <c r="N99" i="30"/>
  <c r="N194" i="26"/>
  <c r="R194" i="26"/>
  <c r="V194" i="26"/>
  <c r="Z194" i="26"/>
  <c r="AD194" i="26"/>
  <c r="AH194" i="26"/>
  <c r="W194" i="26"/>
  <c r="AE194" i="26"/>
  <c r="P194" i="26"/>
  <c r="X194" i="26"/>
  <c r="AF194" i="26"/>
  <c r="O194" i="26"/>
  <c r="AB194" i="26"/>
  <c r="M194" i="26"/>
  <c r="Q194" i="26"/>
  <c r="U194" i="26"/>
  <c r="Y194" i="26"/>
  <c r="AC194" i="26"/>
  <c r="AG194" i="26"/>
  <c r="S194" i="26"/>
  <c r="AA194" i="26"/>
  <c r="AI194" i="26"/>
  <c r="T194" i="26"/>
  <c r="O103" i="30"/>
  <c r="O170" i="26"/>
  <c r="S170" i="26"/>
  <c r="W170" i="26"/>
  <c r="AA170" i="26"/>
  <c r="AE170" i="26"/>
  <c r="AI170" i="26"/>
  <c r="X170" i="26"/>
  <c r="AF170" i="26"/>
  <c r="T170" i="26"/>
  <c r="M170" i="26"/>
  <c r="Q170" i="26"/>
  <c r="U170" i="26"/>
  <c r="U178" i="26" s="1"/>
  <c r="Y170" i="26"/>
  <c r="AC170" i="26"/>
  <c r="AG170" i="26"/>
  <c r="N170" i="26"/>
  <c r="R170" i="26"/>
  <c r="V170" i="26"/>
  <c r="Z170" i="26"/>
  <c r="AD170" i="26"/>
  <c r="AH170" i="26"/>
  <c r="P170" i="26"/>
  <c r="AB170" i="26"/>
  <c r="L102" i="40"/>
  <c r="L105" i="40" s="1"/>
  <c r="L123" i="40" s="1"/>
  <c r="K104" i="40"/>
  <c r="K105" i="40" s="1"/>
  <c r="M36" i="43" s="1"/>
  <c r="P108" i="19"/>
  <c r="P111" i="19" s="1"/>
  <c r="AE102" i="40"/>
  <c r="AA102" i="40"/>
  <c r="S102" i="40"/>
  <c r="AI102" i="40"/>
  <c r="O102" i="40"/>
  <c r="W102" i="40"/>
  <c r="AH102" i="40"/>
  <c r="AD102" i="40"/>
  <c r="Z102" i="40"/>
  <c r="V102" i="40"/>
  <c r="R102" i="40"/>
  <c r="N102" i="40"/>
  <c r="AG102" i="40"/>
  <c r="AC102" i="40"/>
  <c r="Y102" i="40"/>
  <c r="U102" i="40"/>
  <c r="Q102" i="40"/>
  <c r="M102" i="40"/>
  <c r="AJ102" i="40"/>
  <c r="AF102" i="40"/>
  <c r="AB102" i="40"/>
  <c r="X102" i="40"/>
  <c r="T102" i="40"/>
  <c r="P102" i="40"/>
  <c r="AA104" i="40"/>
  <c r="O83" i="30"/>
  <c r="J11" i="25"/>
  <c r="K22" i="25" s="1"/>
  <c r="L110" i="40"/>
  <c r="L124" i="40" s="1"/>
  <c r="W104" i="40"/>
  <c r="AI104" i="40"/>
  <c r="S104" i="40"/>
  <c r="AE104" i="40"/>
  <c r="P104" i="40"/>
  <c r="AH104" i="40"/>
  <c r="AD104" i="40"/>
  <c r="Z104" i="40"/>
  <c r="V104" i="40"/>
  <c r="R104" i="40"/>
  <c r="M104" i="40"/>
  <c r="AG104" i="40"/>
  <c r="AC104" i="40"/>
  <c r="Y104" i="40"/>
  <c r="U104" i="40"/>
  <c r="Q104" i="40"/>
  <c r="N104" i="40"/>
  <c r="AJ104" i="40"/>
  <c r="AF104" i="40"/>
  <c r="AB104" i="40"/>
  <c r="X104" i="40"/>
  <c r="T104" i="40"/>
  <c r="O104" i="40"/>
  <c r="K111" i="19"/>
  <c r="K112" i="19" s="1"/>
  <c r="AI126" i="30"/>
  <c r="S126" i="30"/>
  <c r="K126" i="30"/>
  <c r="Z126" i="30"/>
  <c r="AG126" i="30"/>
  <c r="Q126" i="30"/>
  <c r="AD126" i="30"/>
  <c r="N126" i="30"/>
  <c r="U126" i="30"/>
  <c r="AH126" i="30"/>
  <c r="R126" i="30"/>
  <c r="AF126" i="30"/>
  <c r="P126" i="30"/>
  <c r="AA126" i="30"/>
  <c r="AB126" i="30"/>
  <c r="L126" i="30"/>
  <c r="W126" i="30"/>
  <c r="Y126" i="30"/>
  <c r="V131" i="30"/>
  <c r="W131" i="30"/>
  <c r="M126" i="30"/>
  <c r="K131" i="30"/>
  <c r="AH131" i="30"/>
  <c r="AF131" i="30"/>
  <c r="AG131" i="30"/>
  <c r="P131" i="30"/>
  <c r="X126" i="30"/>
  <c r="Z131" i="30"/>
  <c r="Y131" i="30"/>
  <c r="N131" i="30"/>
  <c r="AI131" i="30"/>
  <c r="S131" i="30"/>
  <c r="AB131" i="30"/>
  <c r="L131" i="30"/>
  <c r="T126" i="30"/>
  <c r="AE126" i="30"/>
  <c r="O126" i="30"/>
  <c r="R131" i="30"/>
  <c r="Q131" i="30"/>
  <c r="AC131" i="30"/>
  <c r="AE131" i="30"/>
  <c r="O131" i="30"/>
  <c r="X131" i="30"/>
  <c r="M131" i="30"/>
  <c r="AJ126" i="30"/>
  <c r="V126" i="30"/>
  <c r="AC126" i="30"/>
  <c r="AD131" i="30"/>
  <c r="U131" i="30"/>
  <c r="AA131" i="30"/>
  <c r="AJ131" i="30"/>
  <c r="T131" i="30"/>
  <c r="T153" i="29"/>
  <c r="T156" i="29" s="1"/>
  <c r="T159" i="29" s="1"/>
  <c r="S132" i="19"/>
  <c r="S135" i="19" s="1"/>
  <c r="V157" i="27"/>
  <c r="K132" i="19"/>
  <c r="K133" i="19" s="1"/>
  <c r="L133" i="19" s="1"/>
  <c r="M133" i="19" s="1"/>
  <c r="N133" i="19" s="1"/>
  <c r="O133" i="19" s="1"/>
  <c r="P133" i="19" s="1"/>
  <c r="V109" i="27"/>
  <c r="V133" i="27"/>
  <c r="Q132" i="19"/>
  <c r="Q135" i="19" s="1"/>
  <c r="P156" i="19"/>
  <c r="P159" i="19" s="1"/>
  <c r="U71" i="29"/>
  <c r="N79" i="30"/>
  <c r="AB15" i="26"/>
  <c r="P11" i="26"/>
  <c r="P84" i="30" s="1"/>
  <c r="P15" i="26"/>
  <c r="N109" i="19"/>
  <c r="O109" i="19" s="1"/>
  <c r="N156" i="19"/>
  <c r="N159" i="19" s="1"/>
  <c r="Q156" i="19"/>
  <c r="Q159" i="19" s="1"/>
  <c r="L156" i="19"/>
  <c r="L159" i="19" s="1"/>
  <c r="W226" i="26"/>
  <c r="K159" i="19"/>
  <c r="K160" i="19" s="1"/>
  <c r="K157" i="19"/>
  <c r="S157" i="29"/>
  <c r="S133" i="29"/>
  <c r="N136" i="27"/>
  <c r="N92" i="12" s="1"/>
  <c r="Q136" i="29"/>
  <c r="Q93" i="12" s="1"/>
  <c r="T132" i="29"/>
  <c r="T135" i="29" s="1"/>
  <c r="S109" i="29"/>
  <c r="T108" i="19"/>
  <c r="T111" i="19" s="1"/>
  <c r="T156" i="19"/>
  <c r="T159" i="19" s="1"/>
  <c r="U154" i="29"/>
  <c r="V88" i="29"/>
  <c r="U130" i="29"/>
  <c r="U106" i="29"/>
  <c r="T108" i="29"/>
  <c r="T132" i="19"/>
  <c r="T135" i="19" s="1"/>
  <c r="N306" i="25"/>
  <c r="O258" i="25"/>
  <c r="O282" i="25"/>
  <c r="AJ105" i="26" l="1"/>
  <c r="Q160" i="28"/>
  <c r="Q73" i="28" s="1"/>
  <c r="P101" i="12"/>
  <c r="AJ179" i="26"/>
  <c r="AJ181" i="26" s="1"/>
  <c r="AJ101" i="26"/>
  <c r="R112" i="29"/>
  <c r="R81" i="12" s="1"/>
  <c r="Q73" i="29"/>
  <c r="AJ73" i="41"/>
  <c r="J73" i="41" s="1"/>
  <c r="V43" i="41" s="1"/>
  <c r="N24" i="43" s="1"/>
  <c r="N16" i="43"/>
  <c r="K123" i="40"/>
  <c r="B26" i="40" s="1"/>
  <c r="B26" i="35" s="1"/>
  <c r="K124" i="40"/>
  <c r="B31" i="40" s="1"/>
  <c r="B31" i="35" s="1"/>
  <c r="M35" i="43"/>
  <c r="P72" i="28"/>
  <c r="T160" i="29"/>
  <c r="T105" i="12" s="1"/>
  <c r="S105" i="12"/>
  <c r="K100" i="12"/>
  <c r="K73" i="19"/>
  <c r="N104" i="12"/>
  <c r="N73" i="27"/>
  <c r="O160" i="27"/>
  <c r="P89" i="12"/>
  <c r="S96" i="30"/>
  <c r="T96" i="30" s="1"/>
  <c r="X96" i="30" s="1"/>
  <c r="O100" i="30"/>
  <c r="P100" i="30" s="1"/>
  <c r="Q100" i="30" s="1"/>
  <c r="M77" i="12"/>
  <c r="X218" i="48"/>
  <c r="AG218" i="48"/>
  <c r="K218" i="48"/>
  <c r="U218" i="48"/>
  <c r="Y218" i="48"/>
  <c r="AC218" i="48"/>
  <c r="AJ218" i="48"/>
  <c r="T218" i="48"/>
  <c r="AA218" i="48"/>
  <c r="O218" i="48"/>
  <c r="S218" i="48"/>
  <c r="W218" i="48"/>
  <c r="AF218" i="48"/>
  <c r="P218" i="48"/>
  <c r="V218" i="48"/>
  <c r="AE218" i="48"/>
  <c r="AI218" i="48"/>
  <c r="N218" i="48"/>
  <c r="R218" i="48"/>
  <c r="AB218" i="48"/>
  <c r="L218" i="48"/>
  <c r="Q218" i="48"/>
  <c r="Z218" i="48"/>
  <c r="AD218" i="48"/>
  <c r="AH218" i="48"/>
  <c r="M218" i="48"/>
  <c r="W170" i="48"/>
  <c r="AG170" i="48"/>
  <c r="Q170" i="48"/>
  <c r="R170" i="48"/>
  <c r="AD170" i="48"/>
  <c r="AB170" i="48"/>
  <c r="AI170" i="48"/>
  <c r="S170" i="48"/>
  <c r="AC170" i="48"/>
  <c r="M170" i="48"/>
  <c r="AF170" i="48"/>
  <c r="V170" i="48"/>
  <c r="T170" i="48"/>
  <c r="AE170" i="48"/>
  <c r="O170" i="48"/>
  <c r="Y170" i="48"/>
  <c r="AH170" i="48"/>
  <c r="X170" i="48"/>
  <c r="N170" i="48"/>
  <c r="L170" i="48"/>
  <c r="AA170" i="48"/>
  <c r="K170" i="48"/>
  <c r="U170" i="48"/>
  <c r="Z170" i="48"/>
  <c r="P170" i="48"/>
  <c r="AJ170" i="48"/>
  <c r="AB11" i="48"/>
  <c r="O93" i="30" s="1"/>
  <c r="L112" i="19"/>
  <c r="K76" i="12"/>
  <c r="Q112" i="27"/>
  <c r="Q80" i="12" s="1"/>
  <c r="N72" i="27"/>
  <c r="Q72" i="29"/>
  <c r="L25" i="42"/>
  <c r="L24" i="42"/>
  <c r="P103" i="30"/>
  <c r="Q104" i="30"/>
  <c r="Q103" i="30" s="1"/>
  <c r="AA105" i="40"/>
  <c r="AA123" i="40" s="1"/>
  <c r="P109" i="19"/>
  <c r="Q109" i="19" s="1"/>
  <c r="R109" i="19" s="1"/>
  <c r="S109" i="19" s="1"/>
  <c r="T109" i="19" s="1"/>
  <c r="AE105" i="40"/>
  <c r="AE123" i="40" s="1"/>
  <c r="S105" i="40"/>
  <c r="S123" i="40" s="1"/>
  <c r="O105" i="40"/>
  <c r="O123" i="40" s="1"/>
  <c r="AI105" i="40"/>
  <c r="AI123" i="40" s="1"/>
  <c r="W105" i="40"/>
  <c r="W123" i="40" s="1"/>
  <c r="T105" i="40"/>
  <c r="T123" i="40" s="1"/>
  <c r="Q105" i="40"/>
  <c r="Q123" i="40" s="1"/>
  <c r="Z105" i="40"/>
  <c r="Z123" i="40" s="1"/>
  <c r="P105" i="40"/>
  <c r="P123" i="40" s="1"/>
  <c r="AF105" i="40"/>
  <c r="AF123" i="40" s="1"/>
  <c r="U105" i="40"/>
  <c r="U123" i="40" s="1"/>
  <c r="AD105" i="40"/>
  <c r="AD123" i="40" s="1"/>
  <c r="N105" i="40"/>
  <c r="N123" i="40" s="1"/>
  <c r="V105" i="40"/>
  <c r="V123" i="40" s="1"/>
  <c r="AG105" i="40"/>
  <c r="AG123" i="40" s="1"/>
  <c r="M105" i="40"/>
  <c r="M123" i="40" s="1"/>
  <c r="X105" i="40"/>
  <c r="X123" i="40" s="1"/>
  <c r="AB105" i="40"/>
  <c r="AB123" i="40" s="1"/>
  <c r="AC105" i="40"/>
  <c r="AC123" i="40" s="1"/>
  <c r="R105" i="40"/>
  <c r="R123" i="40" s="1"/>
  <c r="AH105" i="40"/>
  <c r="AH123" i="40" s="1"/>
  <c r="AJ105" i="40"/>
  <c r="AJ123" i="40" s="1"/>
  <c r="Y105" i="40"/>
  <c r="Y123" i="40" s="1"/>
  <c r="U153" i="29"/>
  <c r="U156" i="29" s="1"/>
  <c r="K135" i="19"/>
  <c r="K136" i="19" s="1"/>
  <c r="W132" i="27"/>
  <c r="W135" i="27" s="1"/>
  <c r="W108" i="27"/>
  <c r="W111" i="27" s="1"/>
  <c r="W156" i="27"/>
  <c r="W159" i="27" s="1"/>
  <c r="X108" i="27"/>
  <c r="X111" i="27" s="1"/>
  <c r="X156" i="27"/>
  <c r="X159" i="27" s="1"/>
  <c r="X132" i="27"/>
  <c r="X135" i="27" s="1"/>
  <c r="Q133" i="19"/>
  <c r="R133" i="19" s="1"/>
  <c r="S133" i="19" s="1"/>
  <c r="T133" i="19" s="1"/>
  <c r="V71" i="29"/>
  <c r="AC13" i="25"/>
  <c r="Q13" i="25"/>
  <c r="P15" i="25"/>
  <c r="O80" i="30" s="1"/>
  <c r="AB14" i="25"/>
  <c r="AC14" i="25" s="1"/>
  <c r="P14" i="25"/>
  <c r="O76" i="30" s="1"/>
  <c r="AC12" i="25"/>
  <c r="K13" i="25"/>
  <c r="Q12" i="25"/>
  <c r="AB15" i="25"/>
  <c r="AC15" i="25" s="1"/>
  <c r="P83" i="30"/>
  <c r="Q84" i="30"/>
  <c r="Q83" i="30" s="1"/>
  <c r="L157" i="19"/>
  <c r="M157" i="19" s="1"/>
  <c r="N157" i="19" s="1"/>
  <c r="O157" i="19" s="1"/>
  <c r="P157" i="19" s="1"/>
  <c r="Q157" i="19" s="1"/>
  <c r="R157" i="19" s="1"/>
  <c r="S157" i="19" s="1"/>
  <c r="T157" i="19" s="1"/>
  <c r="L160" i="19"/>
  <c r="Y222" i="26"/>
  <c r="Y145" i="26"/>
  <c r="U226" i="26"/>
  <c r="U153" i="26" s="1"/>
  <c r="U222" i="26"/>
  <c r="U145" i="26"/>
  <c r="Z222" i="26"/>
  <c r="Z145" i="26"/>
  <c r="AA222" i="26"/>
  <c r="AA145" i="26"/>
  <c r="X145" i="26"/>
  <c r="X222" i="26"/>
  <c r="L145" i="26"/>
  <c r="L226" i="26"/>
  <c r="L153" i="26" s="1"/>
  <c r="L222" i="26"/>
  <c r="AA202" i="26"/>
  <c r="AA129" i="26" s="1"/>
  <c r="AA198" i="26"/>
  <c r="AA121" i="26"/>
  <c r="AG97" i="26"/>
  <c r="AG174" i="26"/>
  <c r="W97" i="26"/>
  <c r="W174" i="26"/>
  <c r="AI121" i="26"/>
  <c r="AI202" i="26"/>
  <c r="AI129" i="26" s="1"/>
  <c r="AI198" i="26"/>
  <c r="P121" i="26"/>
  <c r="P198" i="26"/>
  <c r="P202" i="26"/>
  <c r="P129" i="26" s="1"/>
  <c r="X202" i="26"/>
  <c r="X129" i="26" s="1"/>
  <c r="X121" i="26"/>
  <c r="X198" i="26"/>
  <c r="L198" i="26"/>
  <c r="L121" i="26"/>
  <c r="L202" i="26"/>
  <c r="L129" i="26" s="1"/>
  <c r="Z174" i="26"/>
  <c r="Z97" i="26"/>
  <c r="U198" i="26"/>
  <c r="U121" i="26"/>
  <c r="U202" i="26"/>
  <c r="U129" i="26" s="1"/>
  <c r="AJ121" i="26"/>
  <c r="T97" i="26"/>
  <c r="T174" i="26"/>
  <c r="T178" i="26"/>
  <c r="AE174" i="26"/>
  <c r="AE97" i="26"/>
  <c r="V145" i="26"/>
  <c r="V222" i="26"/>
  <c r="V226" i="26"/>
  <c r="V153" i="26" s="1"/>
  <c r="R226" i="26"/>
  <c r="R153" i="26" s="1"/>
  <c r="R222" i="26"/>
  <c r="R145" i="26"/>
  <c r="N222" i="26"/>
  <c r="N226" i="26"/>
  <c r="N153" i="26" s="1"/>
  <c r="N145" i="26"/>
  <c r="AH145" i="26"/>
  <c r="AH222" i="26"/>
  <c r="Q226" i="26"/>
  <c r="Q153" i="26" s="1"/>
  <c r="Q145" i="26"/>
  <c r="Q222" i="26"/>
  <c r="O222" i="26"/>
  <c r="O226" i="26"/>
  <c r="O153" i="26" s="1"/>
  <c r="O145" i="26"/>
  <c r="M222" i="26"/>
  <c r="M226" i="26"/>
  <c r="M153" i="26" s="1"/>
  <c r="M145" i="26"/>
  <c r="R202" i="26"/>
  <c r="R129" i="26" s="1"/>
  <c r="R121" i="26"/>
  <c r="R198" i="26"/>
  <c r="U174" i="26"/>
  <c r="U97" i="26"/>
  <c r="AH198" i="26"/>
  <c r="AH121" i="26"/>
  <c r="AH202" i="26"/>
  <c r="AH129" i="26" s="1"/>
  <c r="Q97" i="26"/>
  <c r="Q178" i="26"/>
  <c r="Q174" i="26"/>
  <c r="Y121" i="26"/>
  <c r="Y202" i="26"/>
  <c r="Y129" i="26" s="1"/>
  <c r="Y198" i="26"/>
  <c r="K198" i="26"/>
  <c r="K121" i="26"/>
  <c r="K202" i="26"/>
  <c r="K129" i="26" s="1"/>
  <c r="S178" i="26"/>
  <c r="S97" i="26"/>
  <c r="S174" i="26"/>
  <c r="AC202" i="26"/>
  <c r="AC129" i="26" s="1"/>
  <c r="AC198" i="26"/>
  <c r="AC121" i="26"/>
  <c r="O198" i="26"/>
  <c r="O202" i="26"/>
  <c r="O129" i="26" s="1"/>
  <c r="O121" i="26"/>
  <c r="Y174" i="26"/>
  <c r="Y97" i="26"/>
  <c r="N178" i="26"/>
  <c r="N174" i="26"/>
  <c r="N97" i="26"/>
  <c r="M97" i="26"/>
  <c r="M174" i="26"/>
  <c r="M178" i="26"/>
  <c r="T145" i="26"/>
  <c r="T226" i="26"/>
  <c r="T153" i="26" s="1"/>
  <c r="T222" i="26"/>
  <c r="P222" i="26"/>
  <c r="P226" i="26"/>
  <c r="P153" i="26" s="1"/>
  <c r="P145" i="26"/>
  <c r="W222" i="26"/>
  <c r="W145" i="26"/>
  <c r="AB145" i="26"/>
  <c r="AB222" i="26"/>
  <c r="K226" i="26"/>
  <c r="K153" i="26" s="1"/>
  <c r="K145" i="26"/>
  <c r="K222" i="26"/>
  <c r="AE145" i="26"/>
  <c r="AE222" i="26"/>
  <c r="AF198" i="26"/>
  <c r="AF121" i="26"/>
  <c r="AF202" i="26"/>
  <c r="AF129" i="26" s="1"/>
  <c r="W202" i="26"/>
  <c r="W129" i="26" s="1"/>
  <c r="W121" i="26"/>
  <c r="W198" i="26"/>
  <c r="AC174" i="26"/>
  <c r="AC97" i="26"/>
  <c r="T202" i="26"/>
  <c r="T129" i="26" s="1"/>
  <c r="T198" i="26"/>
  <c r="T121" i="26"/>
  <c r="AG121" i="26"/>
  <c r="AG198" i="26"/>
  <c r="AG202" i="26"/>
  <c r="AG129" i="26" s="1"/>
  <c r="AI174" i="26"/>
  <c r="AI97" i="26"/>
  <c r="AB121" i="26"/>
  <c r="AB198" i="26"/>
  <c r="AB202" i="26"/>
  <c r="AB129" i="26" s="1"/>
  <c r="S198" i="26"/>
  <c r="S121" i="26"/>
  <c r="S202" i="26"/>
  <c r="S129" i="26" s="1"/>
  <c r="V174" i="26"/>
  <c r="V97" i="26"/>
  <c r="V202" i="26"/>
  <c r="V129" i="26" s="1"/>
  <c r="V121" i="26"/>
  <c r="V198" i="26"/>
  <c r="AH97" i="26"/>
  <c r="AH174" i="26"/>
  <c r="AB97" i="26"/>
  <c r="AB174" i="26"/>
  <c r="L178" i="26"/>
  <c r="L174" i="26"/>
  <c r="L97" i="26"/>
  <c r="AI145" i="26"/>
  <c r="AI222" i="26"/>
  <c r="AG222" i="26"/>
  <c r="AG145" i="26"/>
  <c r="AC145" i="26"/>
  <c r="AC222" i="26"/>
  <c r="AF222" i="26"/>
  <c r="AF145" i="26"/>
  <c r="S226" i="26"/>
  <c r="S153" i="26" s="1"/>
  <c r="S145" i="26"/>
  <c r="S222" i="26"/>
  <c r="AD222" i="26"/>
  <c r="AD145" i="26"/>
  <c r="AE198" i="26"/>
  <c r="AE202" i="26"/>
  <c r="AE129" i="26" s="1"/>
  <c r="AE121" i="26"/>
  <c r="Z198" i="26"/>
  <c r="Z121" i="26"/>
  <c r="Z202" i="26"/>
  <c r="Z129" i="26" s="1"/>
  <c r="AD174" i="26"/>
  <c r="AD97" i="26"/>
  <c r="N121" i="26"/>
  <c r="N202" i="26"/>
  <c r="N129" i="26" s="1"/>
  <c r="N198" i="26"/>
  <c r="AD202" i="26"/>
  <c r="AD129" i="26" s="1"/>
  <c r="AD198" i="26"/>
  <c r="AD121" i="26"/>
  <c r="AF97" i="26"/>
  <c r="AF174" i="26"/>
  <c r="M202" i="26"/>
  <c r="M129" i="26" s="1"/>
  <c r="M198" i="26"/>
  <c r="M121" i="26"/>
  <c r="X174" i="26"/>
  <c r="X97" i="26"/>
  <c r="R178" i="26"/>
  <c r="R174" i="26"/>
  <c r="R97" i="26"/>
  <c r="Q198" i="26"/>
  <c r="Q202" i="26"/>
  <c r="Q129" i="26" s="1"/>
  <c r="Q121" i="26"/>
  <c r="AA174" i="26"/>
  <c r="AA97" i="26"/>
  <c r="P178" i="26"/>
  <c r="P97" i="26"/>
  <c r="P174" i="26"/>
  <c r="O97" i="26"/>
  <c r="O174" i="26"/>
  <c r="O178" i="26"/>
  <c r="K174" i="26"/>
  <c r="K97" i="26"/>
  <c r="K178" i="26"/>
  <c r="O136" i="27"/>
  <c r="O92" i="12" s="1"/>
  <c r="R136" i="29"/>
  <c r="R93" i="12" s="1"/>
  <c r="T133" i="29"/>
  <c r="T157" i="29"/>
  <c r="U132" i="29"/>
  <c r="U135" i="29" s="1"/>
  <c r="U156" i="19"/>
  <c r="U159" i="19" s="1"/>
  <c r="U108" i="19"/>
  <c r="U111" i="19" s="1"/>
  <c r="U132" i="19"/>
  <c r="U135" i="19" s="1"/>
  <c r="V154" i="29"/>
  <c r="W88" i="29"/>
  <c r="V106" i="29"/>
  <c r="V130" i="29"/>
  <c r="U108" i="29"/>
  <c r="U111" i="29" s="1"/>
  <c r="T111" i="29"/>
  <c r="T109" i="29"/>
  <c r="X226" i="26"/>
  <c r="W153" i="26"/>
  <c r="U105" i="26"/>
  <c r="V178" i="26"/>
  <c r="O306" i="25"/>
  <c r="P282" i="25"/>
  <c r="P258" i="25"/>
  <c r="K221" i="25" l="1"/>
  <c r="K225" i="25" s="1"/>
  <c r="R160" i="28"/>
  <c r="R73" i="28" s="1"/>
  <c r="Q101" i="12"/>
  <c r="AJ221" i="25"/>
  <c r="AJ225" i="25" s="1"/>
  <c r="AJ230" i="25" s="1"/>
  <c r="K173" i="25"/>
  <c r="K100" i="25" s="1"/>
  <c r="AJ173" i="25"/>
  <c r="L221" i="25"/>
  <c r="S112" i="29"/>
  <c r="S81" i="12" s="1"/>
  <c r="R73" i="29"/>
  <c r="Q72" i="28"/>
  <c r="K88" i="12"/>
  <c r="K72" i="19"/>
  <c r="L100" i="12"/>
  <c r="L73" i="19"/>
  <c r="O104" i="12"/>
  <c r="O73" i="27"/>
  <c r="P160" i="27"/>
  <c r="Q89" i="12"/>
  <c r="O99" i="30"/>
  <c r="J149" i="30"/>
  <c r="J154" i="30"/>
  <c r="AI154" i="30" s="1"/>
  <c r="Q99" i="30"/>
  <c r="R99" i="30" s="1"/>
  <c r="S99" i="30" s="1"/>
  <c r="T99" i="30" s="1"/>
  <c r="X99" i="30" s="1"/>
  <c r="P99" i="30"/>
  <c r="N77" i="12"/>
  <c r="AJ97" i="48"/>
  <c r="AJ178" i="48"/>
  <c r="AJ174" i="48"/>
  <c r="K174" i="48"/>
  <c r="K97" i="48"/>
  <c r="K178" i="48"/>
  <c r="X97" i="48"/>
  <c r="X174" i="48"/>
  <c r="X178" i="48"/>
  <c r="AE97" i="48"/>
  <c r="AE174" i="48"/>
  <c r="AE178" i="48"/>
  <c r="M97" i="48"/>
  <c r="M178" i="48"/>
  <c r="M174" i="48"/>
  <c r="AB97" i="48"/>
  <c r="AB178" i="48"/>
  <c r="AB174" i="48"/>
  <c r="AG97" i="48"/>
  <c r="AG174" i="48"/>
  <c r="AG178" i="48"/>
  <c r="AD145" i="48"/>
  <c r="AD222" i="48"/>
  <c r="AD226" i="48"/>
  <c r="AB145" i="48"/>
  <c r="AB222" i="48"/>
  <c r="AB226" i="48"/>
  <c r="AE145" i="48"/>
  <c r="AE226" i="48"/>
  <c r="AE222" i="48"/>
  <c r="W145" i="48"/>
  <c r="W226" i="48"/>
  <c r="W222" i="48"/>
  <c r="T145" i="48"/>
  <c r="T226" i="48"/>
  <c r="T222" i="48"/>
  <c r="U145" i="48"/>
  <c r="U226" i="48"/>
  <c r="U222" i="48"/>
  <c r="P97" i="48"/>
  <c r="P174" i="48"/>
  <c r="P178" i="48"/>
  <c r="AA97" i="48"/>
  <c r="AA178" i="48"/>
  <c r="AA174" i="48"/>
  <c r="AH97" i="48"/>
  <c r="AH174" i="48"/>
  <c r="AH178" i="48"/>
  <c r="T97" i="48"/>
  <c r="T174" i="48"/>
  <c r="T178" i="48"/>
  <c r="AC97" i="48"/>
  <c r="AC174" i="48"/>
  <c r="AC178" i="48"/>
  <c r="AD97" i="48"/>
  <c r="AD178" i="48"/>
  <c r="AD174" i="48"/>
  <c r="W97" i="48"/>
  <c r="W178" i="48"/>
  <c r="W174" i="48"/>
  <c r="Z145" i="48"/>
  <c r="Z222" i="48"/>
  <c r="Z226" i="48"/>
  <c r="R145" i="48"/>
  <c r="R226" i="48"/>
  <c r="R222" i="48"/>
  <c r="AJ145" i="48"/>
  <c r="AJ222" i="48"/>
  <c r="AJ226" i="48"/>
  <c r="K145" i="48"/>
  <c r="K226" i="48"/>
  <c r="K222" i="48"/>
  <c r="V145" i="48"/>
  <c r="V226" i="48"/>
  <c r="V222" i="48"/>
  <c r="Z97" i="48"/>
  <c r="Z174" i="48"/>
  <c r="Z178" i="48"/>
  <c r="L97" i="48"/>
  <c r="L178" i="48"/>
  <c r="L174" i="48"/>
  <c r="Y97" i="48"/>
  <c r="Y178" i="48"/>
  <c r="Y174" i="48"/>
  <c r="V97" i="48"/>
  <c r="V178" i="48"/>
  <c r="V174" i="48"/>
  <c r="S97" i="48"/>
  <c r="S174" i="48"/>
  <c r="S178" i="48"/>
  <c r="R97" i="48"/>
  <c r="R174" i="48"/>
  <c r="R178" i="48"/>
  <c r="M145" i="48"/>
  <c r="M222" i="48"/>
  <c r="M226" i="48"/>
  <c r="Q145" i="48"/>
  <c r="Q226" i="48"/>
  <c r="Q222" i="48"/>
  <c r="N145" i="48"/>
  <c r="N226" i="48"/>
  <c r="N222" i="48"/>
  <c r="P145" i="48"/>
  <c r="P226" i="48"/>
  <c r="P222" i="48"/>
  <c r="O145" i="48"/>
  <c r="O226" i="48"/>
  <c r="O222" i="48"/>
  <c r="AC145" i="48"/>
  <c r="AC226" i="48"/>
  <c r="AC222" i="48"/>
  <c r="AG145" i="48"/>
  <c r="AG226" i="48"/>
  <c r="AG222" i="48"/>
  <c r="S145" i="48"/>
  <c r="S226" i="48"/>
  <c r="S222" i="48"/>
  <c r="U97" i="48"/>
  <c r="U174" i="48"/>
  <c r="U178" i="48"/>
  <c r="N97" i="48"/>
  <c r="N178" i="48"/>
  <c r="N174" i="48"/>
  <c r="O97" i="48"/>
  <c r="O174" i="48"/>
  <c r="O178" i="48"/>
  <c r="AF97" i="48"/>
  <c r="AF174" i="48"/>
  <c r="AF178" i="48"/>
  <c r="AI97" i="48"/>
  <c r="AI178" i="48"/>
  <c r="AI174" i="48"/>
  <c r="Q97" i="48"/>
  <c r="Q174" i="48"/>
  <c r="Q178" i="48"/>
  <c r="AH145" i="48"/>
  <c r="AH226" i="48"/>
  <c r="AH222" i="48"/>
  <c r="L145" i="48"/>
  <c r="L226" i="48"/>
  <c r="L222" i="48"/>
  <c r="AI145" i="48"/>
  <c r="AI226" i="48"/>
  <c r="AI222" i="48"/>
  <c r="AF145" i="48"/>
  <c r="AF226" i="48"/>
  <c r="AF222" i="48"/>
  <c r="AA145" i="48"/>
  <c r="AA222" i="48"/>
  <c r="AA226" i="48"/>
  <c r="Y145" i="48"/>
  <c r="Y226" i="48"/>
  <c r="Y222" i="48"/>
  <c r="X145" i="48"/>
  <c r="X226" i="48"/>
  <c r="X222" i="48"/>
  <c r="M160" i="19"/>
  <c r="M112" i="19"/>
  <c r="L76" i="12"/>
  <c r="R112" i="27"/>
  <c r="R80" i="12" s="1"/>
  <c r="O72" i="27"/>
  <c r="R72" i="29"/>
  <c r="Q14" i="25"/>
  <c r="P76" i="30"/>
  <c r="Q76" i="30" s="1"/>
  <c r="Q15" i="25"/>
  <c r="P80" i="30"/>
  <c r="N173" i="25"/>
  <c r="R173" i="25"/>
  <c r="V173" i="25"/>
  <c r="Z173" i="25"/>
  <c r="AD173" i="25"/>
  <c r="AH173" i="25"/>
  <c r="AE173" i="25"/>
  <c r="O173" i="25"/>
  <c r="S173" i="25"/>
  <c r="W173" i="25"/>
  <c r="AA173" i="25"/>
  <c r="AI173" i="25"/>
  <c r="L173" i="25"/>
  <c r="L177" i="25" s="1"/>
  <c r="P173" i="25"/>
  <c r="T173" i="25"/>
  <c r="X173" i="25"/>
  <c r="AB173" i="25"/>
  <c r="AF173" i="25"/>
  <c r="M173" i="25"/>
  <c r="Q173" i="25"/>
  <c r="U173" i="25"/>
  <c r="Y173" i="25"/>
  <c r="AC173" i="25"/>
  <c r="AG173" i="25"/>
  <c r="P221" i="25"/>
  <c r="T221" i="25"/>
  <c r="X221" i="25"/>
  <c r="X229" i="25" s="1"/>
  <c r="AB221" i="25"/>
  <c r="AF221" i="25"/>
  <c r="AG221" i="25"/>
  <c r="N221" i="25"/>
  <c r="R221" i="25"/>
  <c r="V221" i="25"/>
  <c r="Z221" i="25"/>
  <c r="AD221" i="25"/>
  <c r="AH221" i="25"/>
  <c r="O221" i="25"/>
  <c r="S221" i="25"/>
  <c r="W221" i="25"/>
  <c r="AA221" i="25"/>
  <c r="AE221" i="25"/>
  <c r="AI221" i="25"/>
  <c r="M221" i="25"/>
  <c r="M229" i="25" s="1"/>
  <c r="Q221" i="25"/>
  <c r="U221" i="25"/>
  <c r="Y221" i="25"/>
  <c r="AC221" i="25"/>
  <c r="L136" i="19"/>
  <c r="V153" i="29"/>
  <c r="V156" i="29" s="1"/>
  <c r="V159" i="29" s="1"/>
  <c r="W133" i="27"/>
  <c r="X133" i="27" s="1"/>
  <c r="W109" i="27"/>
  <c r="X109" i="27" s="1"/>
  <c r="W157" i="27"/>
  <c r="X157" i="27" s="1"/>
  <c r="Y132" i="27"/>
  <c r="Y135" i="27" s="1"/>
  <c r="Y108" i="27"/>
  <c r="Y111" i="27" s="1"/>
  <c r="Y156" i="27"/>
  <c r="Y159" i="27" s="1"/>
  <c r="P11" i="25"/>
  <c r="O73" i="30" s="1"/>
  <c r="W71" i="29"/>
  <c r="AB11" i="25"/>
  <c r="P93" i="30" s="1"/>
  <c r="Q93" i="30" s="1"/>
  <c r="K105" i="26"/>
  <c r="O101" i="26"/>
  <c r="O179" i="26"/>
  <c r="P105" i="26"/>
  <c r="R105" i="26"/>
  <c r="M203" i="26"/>
  <c r="M125" i="26"/>
  <c r="S227" i="26"/>
  <c r="S154" i="26" s="1"/>
  <c r="S156" i="26" s="1"/>
  <c r="S159" i="26" s="1"/>
  <c r="S149" i="26"/>
  <c r="AF149" i="26"/>
  <c r="AF227" i="26"/>
  <c r="AF154" i="26" s="1"/>
  <c r="AG227" i="26"/>
  <c r="AG154" i="26" s="1"/>
  <c r="AG149" i="26"/>
  <c r="AB101" i="26"/>
  <c r="AB179" i="26"/>
  <c r="AB106" i="26" s="1"/>
  <c r="V125" i="26"/>
  <c r="V203" i="26"/>
  <c r="V101" i="26"/>
  <c r="V179" i="26"/>
  <c r="V106" i="26" s="1"/>
  <c r="AI179" i="26"/>
  <c r="AI106" i="26" s="1"/>
  <c r="AI101" i="26"/>
  <c r="AC101" i="26"/>
  <c r="AC179" i="26"/>
  <c r="AC106" i="26" s="1"/>
  <c r="AB149" i="26"/>
  <c r="AB227" i="26"/>
  <c r="AB154" i="26" s="1"/>
  <c r="O203" i="26"/>
  <c r="O125" i="26"/>
  <c r="S179" i="26"/>
  <c r="S101" i="26"/>
  <c r="U101" i="26"/>
  <c r="U179" i="26"/>
  <c r="M227" i="26"/>
  <c r="M154" i="26" s="1"/>
  <c r="M156" i="26" s="1"/>
  <c r="M159" i="26" s="1"/>
  <c r="M149" i="26"/>
  <c r="Q227" i="26"/>
  <c r="Q154" i="26" s="1"/>
  <c r="Q156" i="26" s="1"/>
  <c r="Q159" i="26" s="1"/>
  <c r="Q149" i="26"/>
  <c r="V227" i="26"/>
  <c r="V154" i="26" s="1"/>
  <c r="V156" i="26" s="1"/>
  <c r="V159" i="26" s="1"/>
  <c r="V149" i="26"/>
  <c r="Z101" i="26"/>
  <c r="Z179" i="26"/>
  <c r="Z106" i="26" s="1"/>
  <c r="X203" i="26"/>
  <c r="X125" i="26"/>
  <c r="P203" i="26"/>
  <c r="P125" i="26"/>
  <c r="L149" i="26"/>
  <c r="L227" i="26"/>
  <c r="L154" i="26" s="1"/>
  <c r="L156" i="26" s="1"/>
  <c r="L159" i="26" s="1"/>
  <c r="AJ227" i="26"/>
  <c r="AA227" i="26"/>
  <c r="AA154" i="26" s="1"/>
  <c r="AA149" i="26"/>
  <c r="U149" i="26"/>
  <c r="U227" i="26"/>
  <c r="Q125" i="26"/>
  <c r="Q203" i="26"/>
  <c r="AD125" i="26"/>
  <c r="AD203" i="26"/>
  <c r="AE203" i="26"/>
  <c r="AE125" i="26"/>
  <c r="AC149" i="26"/>
  <c r="AC227" i="26"/>
  <c r="AC154" i="26" s="1"/>
  <c r="AI149" i="26"/>
  <c r="AI227" i="26"/>
  <c r="AI154" i="26" s="1"/>
  <c r="AB203" i="26"/>
  <c r="AB125" i="26"/>
  <c r="T125" i="26"/>
  <c r="T203" i="26"/>
  <c r="W203" i="26"/>
  <c r="W125" i="26"/>
  <c r="K227" i="26"/>
  <c r="K154" i="26" s="1"/>
  <c r="K156" i="26" s="1"/>
  <c r="K159" i="26" s="1"/>
  <c r="K160" i="26" s="1"/>
  <c r="K103" i="12" s="1"/>
  <c r="K149" i="26"/>
  <c r="Y101" i="26"/>
  <c r="Y179" i="26"/>
  <c r="Y106" i="26" s="1"/>
  <c r="K125" i="26"/>
  <c r="K203" i="26"/>
  <c r="Q179" i="26"/>
  <c r="Q101" i="26"/>
  <c r="AJ106" i="26"/>
  <c r="R149" i="26"/>
  <c r="R227" i="26"/>
  <c r="R154" i="26" s="1"/>
  <c r="R156" i="26" s="1"/>
  <c r="R159" i="26" s="1"/>
  <c r="AE179" i="26"/>
  <c r="AE106" i="26" s="1"/>
  <c r="AE101" i="26"/>
  <c r="W101" i="26"/>
  <c r="W179" i="26"/>
  <c r="W106" i="26" s="1"/>
  <c r="X227" i="26"/>
  <c r="X154" i="26" s="1"/>
  <c r="X149" i="26"/>
  <c r="K101" i="26"/>
  <c r="K179" i="26"/>
  <c r="P101" i="26"/>
  <c r="P179" i="26"/>
  <c r="AA179" i="26"/>
  <c r="AA106" i="26" s="1"/>
  <c r="AA101" i="26"/>
  <c r="X101" i="26"/>
  <c r="X179" i="26"/>
  <c r="X106" i="26" s="1"/>
  <c r="AF179" i="26"/>
  <c r="AF106" i="26" s="1"/>
  <c r="AF101" i="26"/>
  <c r="Z125" i="26"/>
  <c r="Z203" i="26"/>
  <c r="L179" i="26"/>
  <c r="L101" i="26"/>
  <c r="AH179" i="26"/>
  <c r="AH106" i="26" s="1"/>
  <c r="AH101" i="26"/>
  <c r="AG125" i="26"/>
  <c r="AG203" i="26"/>
  <c r="AF125" i="26"/>
  <c r="AF203" i="26"/>
  <c r="P149" i="26"/>
  <c r="P227" i="26"/>
  <c r="P154" i="26" s="1"/>
  <c r="P156" i="26" s="1"/>
  <c r="P159" i="26" s="1"/>
  <c r="M105" i="26"/>
  <c r="N101" i="26"/>
  <c r="N179" i="26"/>
  <c r="AC125" i="26"/>
  <c r="AC203" i="26"/>
  <c r="S105" i="26"/>
  <c r="Y125" i="26"/>
  <c r="Y203" i="26"/>
  <c r="Q105" i="26"/>
  <c r="AH125" i="26"/>
  <c r="AH203" i="26"/>
  <c r="T105" i="26"/>
  <c r="AJ203" i="26"/>
  <c r="AJ125" i="26"/>
  <c r="U203" i="26"/>
  <c r="U125" i="26"/>
  <c r="AI203" i="26"/>
  <c r="AI125" i="26"/>
  <c r="AA203" i="26"/>
  <c r="AA125" i="26"/>
  <c r="Z149" i="26"/>
  <c r="Z227" i="26"/>
  <c r="Z154" i="26" s="1"/>
  <c r="O105" i="26"/>
  <c r="R101" i="26"/>
  <c r="R179" i="26"/>
  <c r="N125" i="26"/>
  <c r="N203" i="26"/>
  <c r="AD101" i="26"/>
  <c r="AD179" i="26"/>
  <c r="AD106" i="26" s="1"/>
  <c r="AD149" i="26"/>
  <c r="AD227" i="26"/>
  <c r="AD154" i="26" s="1"/>
  <c r="L105" i="26"/>
  <c r="S125" i="26"/>
  <c r="S203" i="26"/>
  <c r="AE149" i="26"/>
  <c r="AE227" i="26"/>
  <c r="AE154" i="26" s="1"/>
  <c r="W227" i="26"/>
  <c r="W149" i="26"/>
  <c r="T149" i="26"/>
  <c r="T227" i="26"/>
  <c r="T154" i="26" s="1"/>
  <c r="T156" i="26" s="1"/>
  <c r="T159" i="26" s="1"/>
  <c r="M179" i="26"/>
  <c r="M101" i="26"/>
  <c r="N105" i="26"/>
  <c r="R203" i="26"/>
  <c r="R125" i="26"/>
  <c r="O227" i="26"/>
  <c r="O154" i="26" s="1"/>
  <c r="O156" i="26" s="1"/>
  <c r="O159" i="26" s="1"/>
  <c r="O149" i="26"/>
  <c r="AH227" i="26"/>
  <c r="AH154" i="26" s="1"/>
  <c r="AH149" i="26"/>
  <c r="N227" i="26"/>
  <c r="N154" i="26" s="1"/>
  <c r="N156" i="26" s="1"/>
  <c r="N159" i="26" s="1"/>
  <c r="N149" i="26"/>
  <c r="T101" i="26"/>
  <c r="T179" i="26"/>
  <c r="L203" i="26"/>
  <c r="L125" i="26"/>
  <c r="AG101" i="26"/>
  <c r="AG179" i="26"/>
  <c r="AG106" i="26" s="1"/>
  <c r="Y227" i="26"/>
  <c r="Y154" i="26" s="1"/>
  <c r="Y149" i="26"/>
  <c r="P136" i="27"/>
  <c r="P92" i="12" s="1"/>
  <c r="S136" i="29"/>
  <c r="S93" i="12" s="1"/>
  <c r="U133" i="29"/>
  <c r="U109" i="19"/>
  <c r="U133" i="19"/>
  <c r="V132" i="19"/>
  <c r="V135" i="19" s="1"/>
  <c r="V108" i="29"/>
  <c r="V111" i="29" s="1"/>
  <c r="V156" i="19"/>
  <c r="V159" i="19" s="1"/>
  <c r="W154" i="29"/>
  <c r="X88" i="29"/>
  <c r="W106" i="29"/>
  <c r="W130" i="29"/>
  <c r="V108" i="19"/>
  <c r="V111" i="19" s="1"/>
  <c r="V132" i="29"/>
  <c r="V135" i="29" s="1"/>
  <c r="U159" i="29"/>
  <c r="U160" i="29" s="1"/>
  <c r="U157" i="29"/>
  <c r="U109" i="29"/>
  <c r="U157" i="19"/>
  <c r="Y226" i="26"/>
  <c r="X153" i="26"/>
  <c r="W178" i="26"/>
  <c r="V105" i="26"/>
  <c r="P306" i="25"/>
  <c r="Q258" i="25"/>
  <c r="Q282" i="25"/>
  <c r="S160" i="28" l="1"/>
  <c r="S73" i="28" s="1"/>
  <c r="R101" i="12"/>
  <c r="AJ229" i="25"/>
  <c r="AJ232" i="25" s="1"/>
  <c r="AJ235" i="25" s="1"/>
  <c r="AJ148" i="25"/>
  <c r="K197" i="25"/>
  <c r="AJ197" i="25"/>
  <c r="AJ177" i="25"/>
  <c r="AJ182" i="25" s="1"/>
  <c r="AJ181" i="25"/>
  <c r="AJ108" i="25" s="1"/>
  <c r="AJ100" i="25"/>
  <c r="K177" i="25"/>
  <c r="AJ154" i="26"/>
  <c r="AJ229" i="26"/>
  <c r="L197" i="25"/>
  <c r="L201" i="25" s="1"/>
  <c r="L206" i="25" s="1"/>
  <c r="L229" i="25"/>
  <c r="L225" i="25"/>
  <c r="S73" i="29"/>
  <c r="T112" i="29"/>
  <c r="U112" i="29" s="1"/>
  <c r="U81" i="12" s="1"/>
  <c r="R72" i="28"/>
  <c r="L88" i="12"/>
  <c r="L72" i="19"/>
  <c r="U105" i="12"/>
  <c r="M100" i="12"/>
  <c r="M73" i="19"/>
  <c r="P104" i="12"/>
  <c r="P73" i="27"/>
  <c r="R89" i="12"/>
  <c r="S112" i="27"/>
  <c r="S80" i="12" s="1"/>
  <c r="Q160" i="27"/>
  <c r="AA154" i="30"/>
  <c r="P154" i="30"/>
  <c r="AB154" i="30"/>
  <c r="Q154" i="30"/>
  <c r="S154" i="30"/>
  <c r="AE154" i="30"/>
  <c r="W154" i="30"/>
  <c r="O154" i="30"/>
  <c r="N154" i="30"/>
  <c r="AD154" i="30"/>
  <c r="T154" i="30"/>
  <c r="M154" i="30"/>
  <c r="AG154" i="30"/>
  <c r="R154" i="30"/>
  <c r="AH154" i="30"/>
  <c r="X154" i="30"/>
  <c r="U154" i="30"/>
  <c r="V154" i="30"/>
  <c r="K154" i="30"/>
  <c r="AF154" i="30"/>
  <c r="Y154" i="30"/>
  <c r="Z154" i="30"/>
  <c r="L154" i="30"/>
  <c r="AJ154" i="30"/>
  <c r="AC154" i="30"/>
  <c r="AA149" i="30"/>
  <c r="L149" i="30"/>
  <c r="AB149" i="30"/>
  <c r="M149" i="30"/>
  <c r="AC149" i="30"/>
  <c r="N149" i="30"/>
  <c r="O149" i="30"/>
  <c r="AE149" i="30"/>
  <c r="P149" i="30"/>
  <c r="AF149" i="30"/>
  <c r="Q149" i="30"/>
  <c r="AG149" i="30"/>
  <c r="AD149" i="30"/>
  <c r="S149" i="30"/>
  <c r="AI149" i="30"/>
  <c r="T149" i="30"/>
  <c r="AJ149" i="30"/>
  <c r="U149" i="30"/>
  <c r="K149" i="30"/>
  <c r="AH149" i="30"/>
  <c r="W149" i="30"/>
  <c r="V149" i="30"/>
  <c r="X149" i="30"/>
  <c r="Z149" i="30"/>
  <c r="Y149" i="30"/>
  <c r="R149" i="30"/>
  <c r="J150" i="30"/>
  <c r="AG150" i="30" s="1"/>
  <c r="J155" i="30"/>
  <c r="U155" i="30" s="1"/>
  <c r="O77" i="12"/>
  <c r="R93" i="30"/>
  <c r="R76" i="30"/>
  <c r="X149" i="48"/>
  <c r="X227" i="48"/>
  <c r="X154" i="48" s="1"/>
  <c r="Y153" i="48"/>
  <c r="AI227" i="48"/>
  <c r="AI154" i="48" s="1"/>
  <c r="AI149" i="48"/>
  <c r="L153" i="48"/>
  <c r="AI179" i="48"/>
  <c r="AI106" i="48" s="1"/>
  <c r="AI101" i="48"/>
  <c r="AF179" i="48"/>
  <c r="AF106" i="48" s="1"/>
  <c r="AF101" i="48"/>
  <c r="U105" i="48"/>
  <c r="S153" i="48"/>
  <c r="O149" i="48"/>
  <c r="O227" i="48"/>
  <c r="O154" i="48" s="1"/>
  <c r="P153" i="48"/>
  <c r="M153" i="48"/>
  <c r="R101" i="48"/>
  <c r="R179" i="48"/>
  <c r="R106" i="48" s="1"/>
  <c r="Y101" i="48"/>
  <c r="Y179" i="48"/>
  <c r="Y106" i="48" s="1"/>
  <c r="L105" i="48"/>
  <c r="K227" i="48"/>
  <c r="K154" i="48" s="1"/>
  <c r="K149" i="48"/>
  <c r="AJ149" i="48"/>
  <c r="AJ227" i="48"/>
  <c r="AJ154" i="48" s="1"/>
  <c r="W101" i="48"/>
  <c r="W179" i="48"/>
  <c r="W106" i="48" s="1"/>
  <c r="AD105" i="48"/>
  <c r="AH105" i="48"/>
  <c r="AA105" i="48"/>
  <c r="T149" i="48"/>
  <c r="T227" i="48"/>
  <c r="T154" i="48" s="1"/>
  <c r="W153" i="48"/>
  <c r="AD153" i="48"/>
  <c r="AG101" i="48"/>
  <c r="AG179" i="48"/>
  <c r="AG106" i="48" s="1"/>
  <c r="AE105" i="48"/>
  <c r="X101" i="48"/>
  <c r="X179" i="48"/>
  <c r="X106" i="48" s="1"/>
  <c r="K101" i="48"/>
  <c r="K179" i="48"/>
  <c r="K106" i="48" s="1"/>
  <c r="X153" i="48"/>
  <c r="AF149" i="48"/>
  <c r="AF227" i="48"/>
  <c r="AF154" i="48" s="1"/>
  <c r="AI153" i="48"/>
  <c r="Q105" i="48"/>
  <c r="AI105" i="48"/>
  <c r="N101" i="48"/>
  <c r="N179" i="48"/>
  <c r="N106" i="48" s="1"/>
  <c r="U101" i="48"/>
  <c r="U179" i="48"/>
  <c r="U106" i="48" s="1"/>
  <c r="AC149" i="48"/>
  <c r="AC227" i="48"/>
  <c r="AC154" i="48" s="1"/>
  <c r="O153" i="48"/>
  <c r="Q149" i="48"/>
  <c r="Q227" i="48"/>
  <c r="Q154" i="48" s="1"/>
  <c r="M227" i="48"/>
  <c r="M154" i="48" s="1"/>
  <c r="M149" i="48"/>
  <c r="V179" i="48"/>
  <c r="V106" i="48" s="1"/>
  <c r="V101" i="48"/>
  <c r="Y105" i="48"/>
  <c r="V149" i="48"/>
  <c r="V227" i="48"/>
  <c r="V154" i="48" s="1"/>
  <c r="K153" i="48"/>
  <c r="Z153" i="48"/>
  <c r="W105" i="48"/>
  <c r="T105" i="48"/>
  <c r="AH179" i="48"/>
  <c r="AH106" i="48" s="1"/>
  <c r="AH101" i="48"/>
  <c r="U227" i="48"/>
  <c r="U154" i="48" s="1"/>
  <c r="U149" i="48"/>
  <c r="T153" i="48"/>
  <c r="AB153" i="48"/>
  <c r="AD149" i="48"/>
  <c r="AD227" i="48"/>
  <c r="AD154" i="48" s="1"/>
  <c r="M101" i="48"/>
  <c r="M179" i="48"/>
  <c r="M106" i="48" s="1"/>
  <c r="AE101" i="48"/>
  <c r="AE179" i="48"/>
  <c r="AE106" i="48" s="1"/>
  <c r="AJ101" i="48"/>
  <c r="AJ179" i="48"/>
  <c r="AJ106" i="48" s="1"/>
  <c r="AA153" i="48"/>
  <c r="AF153" i="48"/>
  <c r="AH227" i="48"/>
  <c r="AH154" i="48" s="1"/>
  <c r="AH149" i="48"/>
  <c r="Q179" i="48"/>
  <c r="Q106" i="48" s="1"/>
  <c r="Q101" i="48"/>
  <c r="O105" i="48"/>
  <c r="N105" i="48"/>
  <c r="AG149" i="48"/>
  <c r="AG227" i="48"/>
  <c r="AG154" i="48" s="1"/>
  <c r="AC153" i="48"/>
  <c r="N149" i="48"/>
  <c r="N227" i="48"/>
  <c r="N154" i="48" s="1"/>
  <c r="Q153" i="48"/>
  <c r="S105" i="48"/>
  <c r="V105" i="48"/>
  <c r="Z105" i="48"/>
  <c r="V153" i="48"/>
  <c r="R149" i="48"/>
  <c r="R227" i="48"/>
  <c r="R154" i="48" s="1"/>
  <c r="Z227" i="48"/>
  <c r="Z154" i="48" s="1"/>
  <c r="Z149" i="48"/>
  <c r="AC105" i="48"/>
  <c r="T101" i="48"/>
  <c r="T179" i="48"/>
  <c r="T106" i="48" s="1"/>
  <c r="P105" i="48"/>
  <c r="U153" i="48"/>
  <c r="AE227" i="48"/>
  <c r="AE154" i="48" s="1"/>
  <c r="AE149" i="48"/>
  <c r="AB149" i="48"/>
  <c r="AB227" i="48"/>
  <c r="AB154" i="48" s="1"/>
  <c r="AB101" i="48"/>
  <c r="AB179" i="48"/>
  <c r="AB106" i="48" s="1"/>
  <c r="M105" i="48"/>
  <c r="K105" i="48"/>
  <c r="AJ105" i="48"/>
  <c r="Y227" i="48"/>
  <c r="Y154" i="48" s="1"/>
  <c r="Y149" i="48"/>
  <c r="AA149" i="48"/>
  <c r="AA227" i="48"/>
  <c r="AA154" i="48" s="1"/>
  <c r="L227" i="48"/>
  <c r="L154" i="48" s="1"/>
  <c r="L149" i="48"/>
  <c r="AH153" i="48"/>
  <c r="AF105" i="48"/>
  <c r="O101" i="48"/>
  <c r="O179" i="48"/>
  <c r="O106" i="48" s="1"/>
  <c r="S149" i="48"/>
  <c r="S227" i="48"/>
  <c r="S154" i="48" s="1"/>
  <c r="AG153" i="48"/>
  <c r="P227" i="48"/>
  <c r="P154" i="48" s="1"/>
  <c r="P149" i="48"/>
  <c r="N153" i="48"/>
  <c r="R105" i="48"/>
  <c r="S101" i="48"/>
  <c r="S179" i="48"/>
  <c r="S106" i="48" s="1"/>
  <c r="L101" i="48"/>
  <c r="L179" i="48"/>
  <c r="L106" i="48" s="1"/>
  <c r="Z179" i="48"/>
  <c r="Z106" i="48" s="1"/>
  <c r="Z101" i="48"/>
  <c r="AJ153" i="48"/>
  <c r="R153" i="48"/>
  <c r="AD101" i="48"/>
  <c r="AD179" i="48"/>
  <c r="AD106" i="48" s="1"/>
  <c r="AC101" i="48"/>
  <c r="AC179" i="48"/>
  <c r="AC106" i="48" s="1"/>
  <c r="AA179" i="48"/>
  <c r="AA106" i="48" s="1"/>
  <c r="AA101" i="48"/>
  <c r="P101" i="48"/>
  <c r="P179" i="48"/>
  <c r="P106" i="48" s="1"/>
  <c r="W227" i="48"/>
  <c r="W154" i="48" s="1"/>
  <c r="W149" i="48"/>
  <c r="AE153" i="48"/>
  <c r="AG105" i="48"/>
  <c r="AB105" i="48"/>
  <c r="X105" i="48"/>
  <c r="N160" i="19"/>
  <c r="N112" i="19"/>
  <c r="M76" i="12"/>
  <c r="P72" i="27"/>
  <c r="S72" i="29"/>
  <c r="O197" i="25"/>
  <c r="O124" i="25" s="1"/>
  <c r="N197" i="25"/>
  <c r="N205" i="25" s="1"/>
  <c r="M197" i="25"/>
  <c r="M124" i="25" s="1"/>
  <c r="AI197" i="25"/>
  <c r="AI205" i="25" s="1"/>
  <c r="AI132" i="25" s="1"/>
  <c r="AC197" i="25"/>
  <c r="AC205" i="25" s="1"/>
  <c r="W197" i="25"/>
  <c r="W201" i="25" s="1"/>
  <c r="R197" i="25"/>
  <c r="R205" i="25" s="1"/>
  <c r="X197" i="25"/>
  <c r="X205" i="25" s="1"/>
  <c r="AH197" i="25"/>
  <c r="AH124" i="25" s="1"/>
  <c r="Z197" i="25"/>
  <c r="Z205" i="25" s="1"/>
  <c r="Z132" i="25" s="1"/>
  <c r="AA197" i="25"/>
  <c r="AA205" i="25" s="1"/>
  <c r="AG197" i="25"/>
  <c r="AG124" i="25" s="1"/>
  <c r="Q197" i="25"/>
  <c r="Q201" i="25" s="1"/>
  <c r="AB197" i="25"/>
  <c r="AB124" i="25" s="1"/>
  <c r="V197" i="25"/>
  <c r="V124" i="25" s="1"/>
  <c r="S197" i="25"/>
  <c r="S201" i="25" s="1"/>
  <c r="Y197" i="25"/>
  <c r="Y201" i="25" s="1"/>
  <c r="T197" i="25"/>
  <c r="T124" i="25" s="1"/>
  <c r="AD197" i="25"/>
  <c r="AD201" i="25" s="1"/>
  <c r="AE197" i="25"/>
  <c r="AE201" i="25" s="1"/>
  <c r="U197" i="25"/>
  <c r="U124" i="25" s="1"/>
  <c r="AF197" i="25"/>
  <c r="AF124" i="25" s="1"/>
  <c r="P197" i="25"/>
  <c r="P205" i="25" s="1"/>
  <c r="M136" i="19"/>
  <c r="M88" i="12" s="1"/>
  <c r="O79" i="30"/>
  <c r="Q80" i="30"/>
  <c r="Q79" i="30" s="1"/>
  <c r="R79" i="30" s="1"/>
  <c r="P79" i="30"/>
  <c r="P73" i="30"/>
  <c r="Q73" i="30" s="1"/>
  <c r="W153" i="29"/>
  <c r="W156" i="29" s="1"/>
  <c r="W159" i="29" s="1"/>
  <c r="Y133" i="27"/>
  <c r="Y157" i="27"/>
  <c r="Z132" i="27"/>
  <c r="Z135" i="27" s="1"/>
  <c r="Z108" i="27"/>
  <c r="Z111" i="27" s="1"/>
  <c r="Y109" i="27"/>
  <c r="X71" i="29"/>
  <c r="AG148" i="25"/>
  <c r="AG225" i="25"/>
  <c r="AE148" i="25"/>
  <c r="AE225" i="25"/>
  <c r="M148" i="25"/>
  <c r="M225" i="25"/>
  <c r="R148" i="25"/>
  <c r="R229" i="25"/>
  <c r="R225" i="25"/>
  <c r="X148" i="25"/>
  <c r="X225" i="25"/>
  <c r="U229" i="25"/>
  <c r="U148" i="25"/>
  <c r="U225" i="25"/>
  <c r="S225" i="25"/>
  <c r="S148" i="25"/>
  <c r="S229" i="25"/>
  <c r="AG181" i="25"/>
  <c r="AG177" i="25"/>
  <c r="AG100" i="25"/>
  <c r="AH100" i="25"/>
  <c r="AH181" i="25"/>
  <c r="AH177" i="25"/>
  <c r="Z177" i="25"/>
  <c r="Z181" i="25"/>
  <c r="Z100" i="25"/>
  <c r="AB181" i="25"/>
  <c r="AB177" i="25"/>
  <c r="AB100" i="25"/>
  <c r="X181" i="25"/>
  <c r="X177" i="25"/>
  <c r="X100" i="25"/>
  <c r="AE181" i="25"/>
  <c r="AE100" i="25"/>
  <c r="AE177" i="25"/>
  <c r="Q229" i="25"/>
  <c r="Q148" i="25"/>
  <c r="Q225" i="25"/>
  <c r="O229" i="25"/>
  <c r="O148" i="25"/>
  <c r="O225" i="25"/>
  <c r="AB225" i="25"/>
  <c r="AB148" i="25"/>
  <c r="N229" i="25"/>
  <c r="N148" i="25"/>
  <c r="N225" i="25"/>
  <c r="Z148" i="25"/>
  <c r="Z225" i="25"/>
  <c r="AJ152" i="25"/>
  <c r="AC100" i="25"/>
  <c r="AC177" i="25"/>
  <c r="AC181" i="25"/>
  <c r="U181" i="25"/>
  <c r="U177" i="25"/>
  <c r="U100" i="25"/>
  <c r="AD100" i="25"/>
  <c r="AD181" i="25"/>
  <c r="AD177" i="25"/>
  <c r="AI181" i="25"/>
  <c r="AI177" i="25"/>
  <c r="AI100" i="25"/>
  <c r="W177" i="25"/>
  <c r="W181" i="25"/>
  <c r="W100" i="25"/>
  <c r="AF225" i="25"/>
  <c r="AF148" i="25"/>
  <c r="V225" i="25"/>
  <c r="V229" i="25"/>
  <c r="V148" i="25"/>
  <c r="L148" i="25"/>
  <c r="Y225" i="25"/>
  <c r="Y148" i="25"/>
  <c r="W225" i="25"/>
  <c r="W148" i="25"/>
  <c r="W229" i="25"/>
  <c r="T225" i="25"/>
  <c r="T148" i="25"/>
  <c r="T229" i="25"/>
  <c r="AF181" i="25"/>
  <c r="AF177" i="25"/>
  <c r="AF100" i="25"/>
  <c r="V181" i="25"/>
  <c r="V177" i="25"/>
  <c r="V100" i="25"/>
  <c r="Q177" i="25"/>
  <c r="Q181" i="25"/>
  <c r="Q100" i="25"/>
  <c r="Y100" i="25"/>
  <c r="Y177" i="25"/>
  <c r="Y181" i="25"/>
  <c r="AH148" i="25"/>
  <c r="AH225" i="25"/>
  <c r="P225" i="25"/>
  <c r="P148" i="25"/>
  <c r="P229" i="25"/>
  <c r="AC148" i="25"/>
  <c r="AC225" i="25"/>
  <c r="AA148" i="25"/>
  <c r="AA225" i="25"/>
  <c r="AD225" i="25"/>
  <c r="AD148" i="25"/>
  <c r="K148" i="25"/>
  <c r="K229" i="25"/>
  <c r="AI225" i="25"/>
  <c r="AI148" i="25"/>
  <c r="S177" i="25"/>
  <c r="S100" i="25"/>
  <c r="S181" i="25"/>
  <c r="P177" i="25"/>
  <c r="P100" i="25"/>
  <c r="P181" i="25"/>
  <c r="R181" i="25"/>
  <c r="R100" i="25"/>
  <c r="R177" i="25"/>
  <c r="T177" i="25"/>
  <c r="T100" i="25"/>
  <c r="T181" i="25"/>
  <c r="AA177" i="25"/>
  <c r="AA100" i="25"/>
  <c r="AA181" i="25"/>
  <c r="N100" i="25"/>
  <c r="N181" i="25"/>
  <c r="N177" i="25"/>
  <c r="M181" i="25"/>
  <c r="M177" i="25"/>
  <c r="M100" i="25"/>
  <c r="O181" i="25"/>
  <c r="O100" i="25"/>
  <c r="O177" i="25"/>
  <c r="K181" i="25"/>
  <c r="L181" i="25"/>
  <c r="L100" i="25"/>
  <c r="V181" i="26"/>
  <c r="V184" i="26" s="1"/>
  <c r="X229" i="26"/>
  <c r="X232" i="26" s="1"/>
  <c r="X156" i="26"/>
  <c r="X159" i="26" s="1"/>
  <c r="V108" i="26"/>
  <c r="V111" i="26" s="1"/>
  <c r="V229" i="26"/>
  <c r="V232" i="26" s="1"/>
  <c r="S229" i="26"/>
  <c r="S232" i="26" s="1"/>
  <c r="K229" i="26"/>
  <c r="K232" i="26" s="1"/>
  <c r="K233" i="26" s="1"/>
  <c r="R229" i="26"/>
  <c r="R232" i="26" s="1"/>
  <c r="W154" i="26"/>
  <c r="W156" i="26" s="1"/>
  <c r="W159" i="26" s="1"/>
  <c r="W229" i="26"/>
  <c r="W232" i="26" s="1"/>
  <c r="N229" i="26"/>
  <c r="N232" i="26" s="1"/>
  <c r="T229" i="26"/>
  <c r="T232" i="26" s="1"/>
  <c r="U154" i="26"/>
  <c r="U156" i="26" s="1"/>
  <c r="U159" i="26" s="1"/>
  <c r="U229" i="26"/>
  <c r="U232" i="26" s="1"/>
  <c r="P229" i="26"/>
  <c r="P232" i="26" s="1"/>
  <c r="O229" i="26"/>
  <c r="O232" i="26" s="1"/>
  <c r="Q229" i="26"/>
  <c r="Q232" i="26" s="1"/>
  <c r="M229" i="26"/>
  <c r="M232" i="26" s="1"/>
  <c r="L229" i="26"/>
  <c r="L232" i="26" s="1"/>
  <c r="K157" i="26"/>
  <c r="L157" i="26" s="1"/>
  <c r="M157" i="26" s="1"/>
  <c r="N157" i="26" s="1"/>
  <c r="O157" i="26" s="1"/>
  <c r="P157" i="26" s="1"/>
  <c r="Q157" i="26" s="1"/>
  <c r="R157" i="26" s="1"/>
  <c r="S157" i="26" s="1"/>
  <c r="T157" i="26" s="1"/>
  <c r="L160" i="26"/>
  <c r="L103" i="12" s="1"/>
  <c r="L130" i="26"/>
  <c r="L132" i="26" s="1"/>
  <c r="L135" i="26" s="1"/>
  <c r="L205" i="26"/>
  <c r="L208" i="26" s="1"/>
  <c r="AH130" i="26"/>
  <c r="AH132" i="26" s="1"/>
  <c r="AH135" i="26" s="1"/>
  <c r="AH205" i="26"/>
  <c r="AH208" i="26" s="1"/>
  <c r="Y130" i="26"/>
  <c r="Y132" i="26" s="1"/>
  <c r="Y135" i="26" s="1"/>
  <c r="Y205" i="26"/>
  <c r="Y208" i="26" s="1"/>
  <c r="AC130" i="26"/>
  <c r="AC132" i="26" s="1"/>
  <c r="AC135" i="26" s="1"/>
  <c r="AC205" i="26"/>
  <c r="AC208" i="26" s="1"/>
  <c r="AF130" i="26"/>
  <c r="AF132" i="26" s="1"/>
  <c r="AF135" i="26" s="1"/>
  <c r="AF205" i="26"/>
  <c r="AF208" i="26" s="1"/>
  <c r="K106" i="26"/>
  <c r="K108" i="26" s="1"/>
  <c r="K181" i="26"/>
  <c r="AD130" i="26"/>
  <c r="AD132" i="26" s="1"/>
  <c r="AD135" i="26" s="1"/>
  <c r="AD205" i="26"/>
  <c r="AD208" i="26" s="1"/>
  <c r="U106" i="26"/>
  <c r="U108" i="26" s="1"/>
  <c r="U111" i="26" s="1"/>
  <c r="U181" i="26"/>
  <c r="U184" i="26" s="1"/>
  <c r="O106" i="26"/>
  <c r="O108" i="26" s="1"/>
  <c r="O111" i="26" s="1"/>
  <c r="O181" i="26"/>
  <c r="O184" i="26" s="1"/>
  <c r="T106" i="26"/>
  <c r="T108" i="26" s="1"/>
  <c r="T111" i="26" s="1"/>
  <c r="T181" i="26"/>
  <c r="T184" i="26" s="1"/>
  <c r="S130" i="26"/>
  <c r="S132" i="26" s="1"/>
  <c r="S135" i="26" s="1"/>
  <c r="S205" i="26"/>
  <c r="S208" i="26" s="1"/>
  <c r="R106" i="26"/>
  <c r="R108" i="26" s="1"/>
  <c r="R111" i="26" s="1"/>
  <c r="R181" i="26"/>
  <c r="R184" i="26" s="1"/>
  <c r="AA130" i="26"/>
  <c r="AA132" i="26" s="1"/>
  <c r="AA135" i="26" s="1"/>
  <c r="AA205" i="26"/>
  <c r="AA208" i="26" s="1"/>
  <c r="U130" i="26"/>
  <c r="U132" i="26" s="1"/>
  <c r="U135" i="26" s="1"/>
  <c r="U205" i="26"/>
  <c r="U208" i="26" s="1"/>
  <c r="Q106" i="26"/>
  <c r="Q108" i="26" s="1"/>
  <c r="Q111" i="26" s="1"/>
  <c r="Q181" i="26"/>
  <c r="Q184" i="26" s="1"/>
  <c r="W130" i="26"/>
  <c r="W132" i="26" s="1"/>
  <c r="W135" i="26" s="1"/>
  <c r="W205" i="26"/>
  <c r="W208" i="26" s="1"/>
  <c r="AB130" i="26"/>
  <c r="AB132" i="26" s="1"/>
  <c r="AB135" i="26" s="1"/>
  <c r="AB205" i="26"/>
  <c r="AB208" i="26" s="1"/>
  <c r="P130" i="26"/>
  <c r="P132" i="26" s="1"/>
  <c r="P135" i="26" s="1"/>
  <c r="P205" i="26"/>
  <c r="P208" i="26" s="1"/>
  <c r="O130" i="26"/>
  <c r="O132" i="26" s="1"/>
  <c r="O135" i="26" s="1"/>
  <c r="O205" i="26"/>
  <c r="O208" i="26" s="1"/>
  <c r="R130" i="26"/>
  <c r="R132" i="26" s="1"/>
  <c r="R135" i="26" s="1"/>
  <c r="R205" i="26"/>
  <c r="R208" i="26" s="1"/>
  <c r="M106" i="26"/>
  <c r="M108" i="26" s="1"/>
  <c r="M111" i="26" s="1"/>
  <c r="M181" i="26"/>
  <c r="M184" i="26" s="1"/>
  <c r="N106" i="26"/>
  <c r="N108" i="26" s="1"/>
  <c r="N111" i="26" s="1"/>
  <c r="N181" i="26"/>
  <c r="N184" i="26" s="1"/>
  <c r="AG130" i="26"/>
  <c r="AG132" i="26" s="1"/>
  <c r="AG135" i="26" s="1"/>
  <c r="AG205" i="26"/>
  <c r="AG208" i="26" s="1"/>
  <c r="Z130" i="26"/>
  <c r="Z132" i="26" s="1"/>
  <c r="Z135" i="26" s="1"/>
  <c r="Z205" i="26"/>
  <c r="Z208" i="26" s="1"/>
  <c r="P106" i="26"/>
  <c r="P108" i="26" s="1"/>
  <c r="P111" i="26" s="1"/>
  <c r="P181" i="26"/>
  <c r="P184" i="26" s="1"/>
  <c r="K130" i="26"/>
  <c r="K132" i="26" s="1"/>
  <c r="K205" i="26"/>
  <c r="T130" i="26"/>
  <c r="T132" i="26" s="1"/>
  <c r="T135" i="26" s="1"/>
  <c r="T205" i="26"/>
  <c r="T208" i="26" s="1"/>
  <c r="Q130" i="26"/>
  <c r="Q132" i="26" s="1"/>
  <c r="Q135" i="26" s="1"/>
  <c r="Q205" i="26"/>
  <c r="Q208" i="26" s="1"/>
  <c r="V130" i="26"/>
  <c r="V132" i="26" s="1"/>
  <c r="V135" i="26" s="1"/>
  <c r="V205" i="26"/>
  <c r="V208" i="26" s="1"/>
  <c r="N130" i="26"/>
  <c r="N132" i="26" s="1"/>
  <c r="N135" i="26" s="1"/>
  <c r="N205" i="26"/>
  <c r="N208" i="26" s="1"/>
  <c r="AI130" i="26"/>
  <c r="AI132" i="26" s="1"/>
  <c r="AI135" i="26" s="1"/>
  <c r="AI205" i="26"/>
  <c r="AI208" i="26" s="1"/>
  <c r="AJ130" i="26"/>
  <c r="AJ205" i="26"/>
  <c r="AJ208" i="26" s="1"/>
  <c r="L106" i="26"/>
  <c r="L108" i="26" s="1"/>
  <c r="L111" i="26" s="1"/>
  <c r="L181" i="26"/>
  <c r="L184" i="26" s="1"/>
  <c r="AE130" i="26"/>
  <c r="AE132" i="26" s="1"/>
  <c r="AE135" i="26" s="1"/>
  <c r="AE205" i="26"/>
  <c r="AE208" i="26" s="1"/>
  <c r="X130" i="26"/>
  <c r="X132" i="26" s="1"/>
  <c r="X135" i="26" s="1"/>
  <c r="X205" i="26"/>
  <c r="X208" i="26" s="1"/>
  <c r="S106" i="26"/>
  <c r="S108" i="26" s="1"/>
  <c r="S111" i="26" s="1"/>
  <c r="S181" i="26"/>
  <c r="S184" i="26" s="1"/>
  <c r="M130" i="26"/>
  <c r="M132" i="26" s="1"/>
  <c r="M135" i="26" s="1"/>
  <c r="M205" i="26"/>
  <c r="M208" i="26" s="1"/>
  <c r="V160" i="29"/>
  <c r="S89" i="12"/>
  <c r="Q136" i="27"/>
  <c r="Q92" i="12" s="1"/>
  <c r="T136" i="29"/>
  <c r="T93" i="12" s="1"/>
  <c r="V157" i="29"/>
  <c r="V157" i="19"/>
  <c r="V133" i="19"/>
  <c r="V109" i="29"/>
  <c r="V133" i="29"/>
  <c r="W132" i="19"/>
  <c r="W135" i="19" s="1"/>
  <c r="W132" i="29"/>
  <c r="W135" i="29" s="1"/>
  <c r="W108" i="19"/>
  <c r="W111" i="19" s="1"/>
  <c r="X154" i="29"/>
  <c r="Y88" i="29"/>
  <c r="X130" i="29"/>
  <c r="X106" i="29"/>
  <c r="V109" i="19"/>
  <c r="W156" i="19"/>
  <c r="W159" i="19" s="1"/>
  <c r="W108" i="29"/>
  <c r="W111" i="29" s="1"/>
  <c r="Z226" i="26"/>
  <c r="Y153" i="26"/>
  <c r="Y156" i="26" s="1"/>
  <c r="Y159" i="26" s="1"/>
  <c r="Y229" i="26"/>
  <c r="Y232" i="26" s="1"/>
  <c r="W181" i="26"/>
  <c r="W184" i="26" s="1"/>
  <c r="W105" i="26"/>
  <c r="W108" i="26" s="1"/>
  <c r="W111" i="26" s="1"/>
  <c r="X178" i="26"/>
  <c r="X156" i="25"/>
  <c r="Y229" i="25"/>
  <c r="Q306" i="25"/>
  <c r="R282" i="25"/>
  <c r="R258" i="25"/>
  <c r="T81" i="12" l="1"/>
  <c r="T160" i="28"/>
  <c r="T73" i="28" s="1"/>
  <c r="S101" i="12"/>
  <c r="AJ184" i="25"/>
  <c r="AJ187" i="25" s="1"/>
  <c r="AJ104" i="25"/>
  <c r="AJ205" i="25"/>
  <c r="AJ132" i="25" s="1"/>
  <c r="AJ201" i="25"/>
  <c r="AJ206" i="25" s="1"/>
  <c r="AJ124" i="25"/>
  <c r="AJ132" i="26"/>
  <c r="L205" i="25"/>
  <c r="L208" i="25" s="1"/>
  <c r="K205" i="25"/>
  <c r="K132" i="25" s="1"/>
  <c r="K201" i="25"/>
  <c r="K128" i="25" s="1"/>
  <c r="V112" i="29"/>
  <c r="V81" i="12" s="1"/>
  <c r="T73" i="29"/>
  <c r="U73" i="29"/>
  <c r="S72" i="28"/>
  <c r="V105" i="12"/>
  <c r="N100" i="12"/>
  <c r="N73" i="19"/>
  <c r="Q104" i="12"/>
  <c r="Q73" i="27"/>
  <c r="T112" i="27"/>
  <c r="T80" i="12" s="1"/>
  <c r="R160" i="27"/>
  <c r="M160" i="26"/>
  <c r="M103" i="12" s="1"/>
  <c r="M150" i="30"/>
  <c r="X155" i="30"/>
  <c r="K155" i="30"/>
  <c r="AA150" i="30"/>
  <c r="AB150" i="30"/>
  <c r="AH150" i="30"/>
  <c r="AE150" i="30"/>
  <c r="S150" i="30"/>
  <c r="X150" i="30"/>
  <c r="AD150" i="30"/>
  <c r="O150" i="30"/>
  <c r="AJ150" i="30"/>
  <c r="T150" i="30"/>
  <c r="R150" i="30"/>
  <c r="K150" i="30"/>
  <c r="AI150" i="30"/>
  <c r="AF150" i="30"/>
  <c r="L150" i="30"/>
  <c r="N150" i="30"/>
  <c r="AC150" i="30"/>
  <c r="U150" i="30"/>
  <c r="Q150" i="30"/>
  <c r="V155" i="30"/>
  <c r="P150" i="30"/>
  <c r="V150" i="30"/>
  <c r="W150" i="30"/>
  <c r="Y150" i="30"/>
  <c r="O155" i="30"/>
  <c r="S155" i="30"/>
  <c r="W155" i="30"/>
  <c r="AB155" i="30"/>
  <c r="L155" i="30"/>
  <c r="Z155" i="30"/>
  <c r="AA155" i="30"/>
  <c r="M155" i="30"/>
  <c r="AJ155" i="30"/>
  <c r="T155" i="30"/>
  <c r="AH155" i="30"/>
  <c r="N155" i="30"/>
  <c r="AG155" i="30"/>
  <c r="AE155" i="30"/>
  <c r="AF155" i="30"/>
  <c r="P155" i="30"/>
  <c r="AD155" i="30"/>
  <c r="AI155" i="30"/>
  <c r="Q155" i="30"/>
  <c r="S76" i="30"/>
  <c r="T76" i="30" s="1"/>
  <c r="X76" i="30" s="1"/>
  <c r="S93" i="30"/>
  <c r="T93" i="30" s="1"/>
  <c r="X93" i="30" s="1"/>
  <c r="J148" i="30" s="1"/>
  <c r="Z150" i="30"/>
  <c r="AC155" i="30"/>
  <c r="Y155" i="30"/>
  <c r="P77" i="12"/>
  <c r="S79" i="30"/>
  <c r="T79" i="30" s="1"/>
  <c r="X79" i="30" s="1"/>
  <c r="R155" i="30"/>
  <c r="S156" i="48"/>
  <c r="S159" i="48" s="1"/>
  <c r="R73" i="30"/>
  <c r="X181" i="48"/>
  <c r="X184" i="48" s="1"/>
  <c r="AB181" i="48"/>
  <c r="AB184" i="48" s="1"/>
  <c r="AG181" i="48"/>
  <c r="AG184" i="48" s="1"/>
  <c r="W156" i="48"/>
  <c r="W159" i="48" s="1"/>
  <c r="O201" i="25"/>
  <c r="O206" i="25" s="1"/>
  <c r="O133" i="25" s="1"/>
  <c r="AB108" i="48"/>
  <c r="AB111" i="48" s="1"/>
  <c r="R181" i="48"/>
  <c r="R184" i="48" s="1"/>
  <c r="AJ229" i="48"/>
  <c r="AJ232" i="48" s="1"/>
  <c r="L108" i="48"/>
  <c r="L111" i="48" s="1"/>
  <c r="AF181" i="48"/>
  <c r="AF184" i="48" s="1"/>
  <c r="AG108" i="48"/>
  <c r="AG111" i="48" s="1"/>
  <c r="AF108" i="48"/>
  <c r="AF111" i="48" s="1"/>
  <c r="AJ181" i="48"/>
  <c r="AJ184" i="48" s="1"/>
  <c r="M181" i="48"/>
  <c r="M184" i="48" s="1"/>
  <c r="AJ156" i="48"/>
  <c r="AJ159" i="48" s="1"/>
  <c r="K181" i="48"/>
  <c r="K184" i="48" s="1"/>
  <c r="K185" i="48" s="1"/>
  <c r="Y108" i="48"/>
  <c r="Y111" i="48" s="1"/>
  <c r="Y181" i="48"/>
  <c r="Y184" i="48" s="1"/>
  <c r="K108" i="48"/>
  <c r="K109" i="48" s="1"/>
  <c r="AJ108" i="48"/>
  <c r="AJ111" i="48" s="1"/>
  <c r="M108" i="48"/>
  <c r="M111" i="48" s="1"/>
  <c r="R108" i="48"/>
  <c r="R111" i="48" s="1"/>
  <c r="AC229" i="48"/>
  <c r="AC232" i="48" s="1"/>
  <c r="N181" i="48"/>
  <c r="N184" i="48" s="1"/>
  <c r="P156" i="48"/>
  <c r="P159" i="48" s="1"/>
  <c r="U229" i="48"/>
  <c r="U232" i="48" s="1"/>
  <c r="AF229" i="48"/>
  <c r="AF232" i="48" s="1"/>
  <c r="T229" i="48"/>
  <c r="T232" i="48" s="1"/>
  <c r="N229" i="48"/>
  <c r="N232" i="48" s="1"/>
  <c r="AG229" i="48"/>
  <c r="AG232" i="48" s="1"/>
  <c r="AI229" i="48"/>
  <c r="AI232" i="48" s="1"/>
  <c r="Y156" i="48"/>
  <c r="Y159" i="48" s="1"/>
  <c r="AB156" i="48"/>
  <c r="AB159" i="48" s="1"/>
  <c r="M156" i="48"/>
  <c r="M159" i="48" s="1"/>
  <c r="L156" i="48"/>
  <c r="L159" i="48" s="1"/>
  <c r="Q229" i="48"/>
  <c r="Q232" i="48" s="1"/>
  <c r="V229" i="48"/>
  <c r="V232" i="48" s="1"/>
  <c r="N108" i="48"/>
  <c r="N111" i="48" s="1"/>
  <c r="X229" i="48"/>
  <c r="X232" i="48" s="1"/>
  <c r="AD156" i="48"/>
  <c r="AD159" i="48" s="1"/>
  <c r="K229" i="48"/>
  <c r="K230" i="48" s="1"/>
  <c r="O229" i="48"/>
  <c r="O232" i="48" s="1"/>
  <c r="Z108" i="48"/>
  <c r="Z111" i="48" s="1"/>
  <c r="AI181" i="48"/>
  <c r="AI184" i="48" s="1"/>
  <c r="X108" i="48"/>
  <c r="X111" i="48" s="1"/>
  <c r="R229" i="48"/>
  <c r="R232" i="48" s="1"/>
  <c r="V181" i="48"/>
  <c r="V184" i="48" s="1"/>
  <c r="AE156" i="48"/>
  <c r="AE159" i="48" s="1"/>
  <c r="Z156" i="48"/>
  <c r="Z159" i="48" s="1"/>
  <c r="S108" i="48"/>
  <c r="S111" i="48" s="1"/>
  <c r="W108" i="48"/>
  <c r="W111" i="48" s="1"/>
  <c r="AC108" i="48"/>
  <c r="AC111" i="48" s="1"/>
  <c r="P108" i="48"/>
  <c r="P111" i="48" s="1"/>
  <c r="V108" i="48"/>
  <c r="V111" i="48" s="1"/>
  <c r="O108" i="48"/>
  <c r="O111" i="48" s="1"/>
  <c r="AH156" i="48"/>
  <c r="AH159" i="48" s="1"/>
  <c r="W181" i="48"/>
  <c r="W184" i="48" s="1"/>
  <c r="K156" i="48"/>
  <c r="K159" i="48" s="1"/>
  <c r="K160" i="48" s="1"/>
  <c r="AI108" i="48"/>
  <c r="AI111" i="48" s="1"/>
  <c r="P181" i="48"/>
  <c r="P184" i="48" s="1"/>
  <c r="AC181" i="48"/>
  <c r="AC184" i="48" s="1"/>
  <c r="R156" i="48"/>
  <c r="R159" i="48" s="1"/>
  <c r="Z181" i="48"/>
  <c r="Z184" i="48" s="1"/>
  <c r="S181" i="48"/>
  <c r="S184" i="48" s="1"/>
  <c r="N156" i="48"/>
  <c r="N159" i="48" s="1"/>
  <c r="AG156" i="48"/>
  <c r="AG159" i="48" s="1"/>
  <c r="O181" i="48"/>
  <c r="O184" i="48" s="1"/>
  <c r="AA229" i="48"/>
  <c r="AA232" i="48" s="1"/>
  <c r="W229" i="48"/>
  <c r="W232" i="48" s="1"/>
  <c r="AA181" i="48"/>
  <c r="AA184" i="48" s="1"/>
  <c r="AD181" i="48"/>
  <c r="AD184" i="48" s="1"/>
  <c r="L181" i="48"/>
  <c r="L184" i="48" s="1"/>
  <c r="P229" i="48"/>
  <c r="P232" i="48" s="1"/>
  <c r="S229" i="48"/>
  <c r="S232" i="48" s="1"/>
  <c r="L229" i="48"/>
  <c r="L232" i="48" s="1"/>
  <c r="Y229" i="48"/>
  <c r="Y232" i="48" s="1"/>
  <c r="AA108" i="48"/>
  <c r="AA111" i="48" s="1"/>
  <c r="AD108" i="48"/>
  <c r="AD111" i="48" s="1"/>
  <c r="AE229" i="48"/>
  <c r="AE232" i="48" s="1"/>
  <c r="AH229" i="48"/>
  <c r="AH232" i="48" s="1"/>
  <c r="AA156" i="48"/>
  <c r="AA159" i="48" s="1"/>
  <c r="AB229" i="48"/>
  <c r="AB232" i="48" s="1"/>
  <c r="T181" i="48"/>
  <c r="T184" i="48" s="1"/>
  <c r="Z229" i="48"/>
  <c r="Z232" i="48" s="1"/>
  <c r="V156" i="48"/>
  <c r="V159" i="48" s="1"/>
  <c r="Q156" i="48"/>
  <c r="Q159" i="48" s="1"/>
  <c r="AC156" i="48"/>
  <c r="AC159" i="48" s="1"/>
  <c r="Q181" i="48"/>
  <c r="Q184" i="48" s="1"/>
  <c r="AF156" i="48"/>
  <c r="AF159" i="48" s="1"/>
  <c r="AE181" i="48"/>
  <c r="AE184" i="48" s="1"/>
  <c r="AD229" i="48"/>
  <c r="AD232" i="48" s="1"/>
  <c r="T156" i="48"/>
  <c r="T159" i="48" s="1"/>
  <c r="AH181" i="48"/>
  <c r="AH184" i="48" s="1"/>
  <c r="M229" i="48"/>
  <c r="M232" i="48" s="1"/>
  <c r="O156" i="48"/>
  <c r="O159" i="48" s="1"/>
  <c r="U181" i="48"/>
  <c r="U184" i="48" s="1"/>
  <c r="X156" i="48"/>
  <c r="X159" i="48" s="1"/>
  <c r="U156" i="48"/>
  <c r="U159" i="48" s="1"/>
  <c r="T108" i="48"/>
  <c r="T111" i="48" s="1"/>
  <c r="Q108" i="48"/>
  <c r="Q111" i="48" s="1"/>
  <c r="AE108" i="48"/>
  <c r="AE111" i="48" s="1"/>
  <c r="AH108" i="48"/>
  <c r="AH111" i="48" s="1"/>
  <c r="U108" i="48"/>
  <c r="U111" i="48" s="1"/>
  <c r="AI156" i="48"/>
  <c r="AI159" i="48" s="1"/>
  <c r="O160" i="19"/>
  <c r="O112" i="19"/>
  <c r="N76" i="12"/>
  <c r="Q72" i="27"/>
  <c r="T72" i="29"/>
  <c r="M72" i="19"/>
  <c r="O205" i="25"/>
  <c r="O132" i="25" s="1"/>
  <c r="AI124" i="25"/>
  <c r="S124" i="25"/>
  <c r="X201" i="25"/>
  <c r="X206" i="25" s="1"/>
  <c r="X133" i="25" s="1"/>
  <c r="N124" i="25"/>
  <c r="AB205" i="25"/>
  <c r="AB132" i="25" s="1"/>
  <c r="W124" i="25"/>
  <c r="Z124" i="25"/>
  <c r="W205" i="25"/>
  <c r="W132" i="25" s="1"/>
  <c r="AB201" i="25"/>
  <c r="AB128" i="25" s="1"/>
  <c r="Z201" i="25"/>
  <c r="Z206" i="25" s="1"/>
  <c r="L124" i="25"/>
  <c r="P124" i="25"/>
  <c r="AD124" i="25"/>
  <c r="Q124" i="25"/>
  <c r="AH205" i="25"/>
  <c r="AH132" i="25" s="1"/>
  <c r="M201" i="25"/>
  <c r="M206" i="25" s="1"/>
  <c r="M133" i="25" s="1"/>
  <c r="AH201" i="25"/>
  <c r="AH206" i="25" s="1"/>
  <c r="AH133" i="25" s="1"/>
  <c r="S205" i="25"/>
  <c r="S132" i="25" s="1"/>
  <c r="Q205" i="25"/>
  <c r="Q132" i="25" s="1"/>
  <c r="AC124" i="25"/>
  <c r="AI201" i="25"/>
  <c r="AI128" i="25" s="1"/>
  <c r="AD205" i="25"/>
  <c r="AD132" i="25" s="1"/>
  <c r="N201" i="25"/>
  <c r="N206" i="25" s="1"/>
  <c r="N133" i="25" s="1"/>
  <c r="AC201" i="25"/>
  <c r="AC206" i="25" s="1"/>
  <c r="AC133" i="25" s="1"/>
  <c r="M205" i="25"/>
  <c r="M132" i="25" s="1"/>
  <c r="P201" i="25"/>
  <c r="P128" i="25" s="1"/>
  <c r="X124" i="25"/>
  <c r="V201" i="25"/>
  <c r="V206" i="25" s="1"/>
  <c r="V133" i="25" s="1"/>
  <c r="R124" i="25"/>
  <c r="AA124" i="25"/>
  <c r="AF205" i="25"/>
  <c r="AF132" i="25" s="1"/>
  <c r="AF201" i="25"/>
  <c r="AF128" i="25" s="1"/>
  <c r="T205" i="25"/>
  <c r="T132" i="25" s="1"/>
  <c r="T201" i="25"/>
  <c r="T128" i="25" s="1"/>
  <c r="V205" i="25"/>
  <c r="V132" i="25" s="1"/>
  <c r="R201" i="25"/>
  <c r="R206" i="25" s="1"/>
  <c r="R133" i="25" s="1"/>
  <c r="K124" i="25"/>
  <c r="AA201" i="25"/>
  <c r="AA206" i="25" s="1"/>
  <c r="AA133" i="25" s="1"/>
  <c r="U205" i="25"/>
  <c r="U132" i="25" s="1"/>
  <c r="U201" i="25"/>
  <c r="U128" i="25" s="1"/>
  <c r="AG201" i="25"/>
  <c r="AG128" i="25" s="1"/>
  <c r="AG205" i="25"/>
  <c r="AG132" i="25" s="1"/>
  <c r="Y205" i="25"/>
  <c r="Y132" i="25" s="1"/>
  <c r="AE205" i="25"/>
  <c r="AE132" i="25" s="1"/>
  <c r="Y124" i="25"/>
  <c r="AE124" i="25"/>
  <c r="N136" i="19"/>
  <c r="N88" i="12" s="1"/>
  <c r="X153" i="29"/>
  <c r="X156" i="29" s="1"/>
  <c r="X159" i="29" s="1"/>
  <c r="Z133" i="27"/>
  <c r="Z156" i="27"/>
  <c r="Z159" i="27" s="1"/>
  <c r="Z109" i="27"/>
  <c r="AA156" i="27"/>
  <c r="AA159" i="27" s="1"/>
  <c r="Y71" i="29"/>
  <c r="T108" i="25"/>
  <c r="W128" i="25"/>
  <c r="W206" i="25"/>
  <c r="W133" i="25" s="1"/>
  <c r="P108" i="25"/>
  <c r="S206" i="25"/>
  <c r="S133" i="25" s="1"/>
  <c r="S128" i="25"/>
  <c r="Q128" i="25"/>
  <c r="Q206" i="25"/>
  <c r="AC132" i="25"/>
  <c r="K152" i="25"/>
  <c r="K230" i="25"/>
  <c r="K157" i="25" s="1"/>
  <c r="AD230" i="25"/>
  <c r="AD157" i="25" s="1"/>
  <c r="AD152" i="25"/>
  <c r="AH230" i="25"/>
  <c r="AH157" i="25" s="1"/>
  <c r="AH152" i="25"/>
  <c r="Q104" i="25"/>
  <c r="Q182" i="25"/>
  <c r="Q109" i="25" s="1"/>
  <c r="AF182" i="25"/>
  <c r="AF109" i="25" s="1"/>
  <c r="AF104" i="25"/>
  <c r="T230" i="25"/>
  <c r="T157" i="25" s="1"/>
  <c r="T152" i="25"/>
  <c r="L230" i="25"/>
  <c r="L157" i="25" s="1"/>
  <c r="L152" i="25"/>
  <c r="AD206" i="25"/>
  <c r="AD133" i="25" s="1"/>
  <c r="AD128" i="25"/>
  <c r="P132" i="25"/>
  <c r="W182" i="25"/>
  <c r="W109" i="25" s="1"/>
  <c r="W104" i="25"/>
  <c r="AC182" i="25"/>
  <c r="AC109" i="25" s="1"/>
  <c r="AC104" i="25"/>
  <c r="Z152" i="25"/>
  <c r="Z230" i="25"/>
  <c r="Z157" i="25" s="1"/>
  <c r="N156" i="25"/>
  <c r="Q156" i="25"/>
  <c r="AE104" i="25"/>
  <c r="AE182" i="25"/>
  <c r="X104" i="25"/>
  <c r="X182" i="25"/>
  <c r="AB108" i="25"/>
  <c r="X132" i="25"/>
  <c r="S152" i="25"/>
  <c r="S230" i="25"/>
  <c r="S157" i="25" s="1"/>
  <c r="X230" i="25"/>
  <c r="X152" i="25"/>
  <c r="AE152" i="25"/>
  <c r="AE230" i="25"/>
  <c r="AE157" i="25" s="1"/>
  <c r="AA108" i="25"/>
  <c r="R108" i="25"/>
  <c r="S108" i="25"/>
  <c r="K156" i="25"/>
  <c r="AA230" i="25"/>
  <c r="AA157" i="25" s="1"/>
  <c r="AA152" i="25"/>
  <c r="P156" i="25"/>
  <c r="Y108" i="25"/>
  <c r="L133" i="25"/>
  <c r="L128" i="25"/>
  <c r="V104" i="25"/>
  <c r="V182" i="25"/>
  <c r="V109" i="25" s="1"/>
  <c r="AF108" i="25"/>
  <c r="W156" i="25"/>
  <c r="Y152" i="25"/>
  <c r="Y230" i="25"/>
  <c r="Y157" i="25" s="1"/>
  <c r="AF230" i="25"/>
  <c r="AF157" i="25" s="1"/>
  <c r="AF152" i="25"/>
  <c r="N132" i="25"/>
  <c r="U182" i="25"/>
  <c r="U109" i="25" s="1"/>
  <c r="U104" i="25"/>
  <c r="O156" i="25"/>
  <c r="X108" i="25"/>
  <c r="Z108" i="25"/>
  <c r="AH104" i="25"/>
  <c r="AH182" i="25"/>
  <c r="AG104" i="25"/>
  <c r="AG182" i="25"/>
  <c r="U152" i="25"/>
  <c r="U230" i="25"/>
  <c r="U157" i="25" s="1"/>
  <c r="M230" i="25"/>
  <c r="M157" i="25" s="1"/>
  <c r="M152" i="25"/>
  <c r="T104" i="25"/>
  <c r="T182" i="25"/>
  <c r="T109" i="25" s="1"/>
  <c r="P104" i="25"/>
  <c r="P182" i="25"/>
  <c r="P109" i="25" s="1"/>
  <c r="AJ109" i="25"/>
  <c r="AJ111" i="25" s="1"/>
  <c r="Y104" i="25"/>
  <c r="Y182" i="25"/>
  <c r="V108" i="25"/>
  <c r="T156" i="25"/>
  <c r="V156" i="25"/>
  <c r="AI104" i="25"/>
  <c r="AI182" i="25"/>
  <c r="AD182" i="25"/>
  <c r="AD109" i="25" s="1"/>
  <c r="AD104" i="25"/>
  <c r="Y128" i="25"/>
  <c r="Y206" i="25"/>
  <c r="U108" i="25"/>
  <c r="AJ157" i="25"/>
  <c r="N230" i="25"/>
  <c r="N157" i="25" s="1"/>
  <c r="N152" i="25"/>
  <c r="AB230" i="25"/>
  <c r="AB157" i="25" s="1"/>
  <c r="AB152" i="25"/>
  <c r="Q230" i="25"/>
  <c r="Q157" i="25" s="1"/>
  <c r="Q152" i="25"/>
  <c r="AE108" i="25"/>
  <c r="AE128" i="25"/>
  <c r="AE206" i="25"/>
  <c r="Z182" i="25"/>
  <c r="Z109" i="25" s="1"/>
  <c r="Z104" i="25"/>
  <c r="AH108" i="25"/>
  <c r="AG108" i="25"/>
  <c r="S156" i="25"/>
  <c r="R230" i="25"/>
  <c r="R157" i="25" s="1"/>
  <c r="R152" i="25"/>
  <c r="M156" i="25"/>
  <c r="AG230" i="25"/>
  <c r="AG157" i="25" s="1"/>
  <c r="AG152" i="25"/>
  <c r="AA104" i="25"/>
  <c r="AA182" i="25"/>
  <c r="AA109" i="25" s="1"/>
  <c r="R182" i="25"/>
  <c r="R109" i="25" s="1"/>
  <c r="R104" i="25"/>
  <c r="S104" i="25"/>
  <c r="S182" i="25"/>
  <c r="S109" i="25" s="1"/>
  <c r="AI230" i="25"/>
  <c r="AI157" i="25" s="1"/>
  <c r="AI152" i="25"/>
  <c r="AC230" i="25"/>
  <c r="AC157" i="25" s="1"/>
  <c r="AC152" i="25"/>
  <c r="P152" i="25"/>
  <c r="P230" i="25"/>
  <c r="P157" i="25" s="1"/>
  <c r="Q108" i="25"/>
  <c r="AA132" i="25"/>
  <c r="W152" i="25"/>
  <c r="W230" i="25"/>
  <c r="W157" i="25" s="1"/>
  <c r="L156" i="25"/>
  <c r="V230" i="25"/>
  <c r="V157" i="25" s="1"/>
  <c r="V152" i="25"/>
  <c r="R132" i="25"/>
  <c r="W108" i="25"/>
  <c r="AI108" i="25"/>
  <c r="AD108" i="25"/>
  <c r="AC108" i="25"/>
  <c r="O152" i="25"/>
  <c r="O230" i="25"/>
  <c r="O157" i="25" s="1"/>
  <c r="AB104" i="25"/>
  <c r="AB182" i="25"/>
  <c r="U156" i="25"/>
  <c r="R156" i="25"/>
  <c r="L108" i="25"/>
  <c r="O108" i="25"/>
  <c r="M182" i="25"/>
  <c r="M109" i="25" s="1"/>
  <c r="M104" i="25"/>
  <c r="N182" i="25"/>
  <c r="N109" i="25" s="1"/>
  <c r="N104" i="25"/>
  <c r="K104" i="25"/>
  <c r="K182" i="25"/>
  <c r="M108" i="25"/>
  <c r="N108" i="25"/>
  <c r="L104" i="25"/>
  <c r="L182" i="25"/>
  <c r="K108" i="25"/>
  <c r="O182" i="25"/>
  <c r="O109" i="25" s="1"/>
  <c r="O104" i="25"/>
  <c r="U157" i="26"/>
  <c r="V157" i="26" s="1"/>
  <c r="W157" i="26" s="1"/>
  <c r="X157" i="26" s="1"/>
  <c r="Y157" i="26" s="1"/>
  <c r="L233" i="26"/>
  <c r="M233" i="26" s="1"/>
  <c r="N233" i="26" s="1"/>
  <c r="O233" i="26" s="1"/>
  <c r="P233" i="26" s="1"/>
  <c r="Q233" i="26" s="1"/>
  <c r="R233" i="26" s="1"/>
  <c r="S233" i="26" s="1"/>
  <c r="T233" i="26" s="1"/>
  <c r="U233" i="26" s="1"/>
  <c r="V233" i="26" s="1"/>
  <c r="W233" i="26" s="1"/>
  <c r="X233" i="26" s="1"/>
  <c r="Y233" i="26" s="1"/>
  <c r="K230" i="26"/>
  <c r="L230" i="26" s="1"/>
  <c r="M230" i="26" s="1"/>
  <c r="N230" i="26" s="1"/>
  <c r="O230" i="26" s="1"/>
  <c r="P230" i="26" s="1"/>
  <c r="Q230" i="26" s="1"/>
  <c r="R230" i="26" s="1"/>
  <c r="S230" i="26" s="1"/>
  <c r="T230" i="26" s="1"/>
  <c r="U230" i="26" s="1"/>
  <c r="V230" i="26" s="1"/>
  <c r="W230" i="26" s="1"/>
  <c r="X230" i="26" s="1"/>
  <c r="Y230" i="26" s="1"/>
  <c r="K133" i="26"/>
  <c r="L133" i="26" s="1"/>
  <c r="M133" i="26" s="1"/>
  <c r="N133" i="26" s="1"/>
  <c r="O133" i="26" s="1"/>
  <c r="P133" i="26" s="1"/>
  <c r="Q133" i="26" s="1"/>
  <c r="R133" i="26" s="1"/>
  <c r="S133" i="26" s="1"/>
  <c r="T133" i="26" s="1"/>
  <c r="U133" i="26" s="1"/>
  <c r="V133" i="26" s="1"/>
  <c r="W133" i="26" s="1"/>
  <c r="X133" i="26" s="1"/>
  <c r="Y133" i="26" s="1"/>
  <c r="Z133" i="26" s="1"/>
  <c r="AA133" i="26" s="1"/>
  <c r="AB133" i="26" s="1"/>
  <c r="AC133" i="26" s="1"/>
  <c r="AD133" i="26" s="1"/>
  <c r="AE133" i="26" s="1"/>
  <c r="AF133" i="26" s="1"/>
  <c r="AG133" i="26" s="1"/>
  <c r="AH133" i="26" s="1"/>
  <c r="AI133" i="26" s="1"/>
  <c r="K135" i="26"/>
  <c r="K136" i="26" s="1"/>
  <c r="K91" i="12" s="1"/>
  <c r="K184" i="26"/>
  <c r="K185" i="26" s="1"/>
  <c r="L185" i="26" s="1"/>
  <c r="M185" i="26" s="1"/>
  <c r="N185" i="26" s="1"/>
  <c r="O185" i="26" s="1"/>
  <c r="P185" i="26" s="1"/>
  <c r="Q185" i="26" s="1"/>
  <c r="R185" i="26" s="1"/>
  <c r="S185" i="26" s="1"/>
  <c r="T185" i="26" s="1"/>
  <c r="U185" i="26" s="1"/>
  <c r="V185" i="26" s="1"/>
  <c r="W185" i="26" s="1"/>
  <c r="K182" i="26"/>
  <c r="L182" i="26" s="1"/>
  <c r="M182" i="26" s="1"/>
  <c r="N182" i="26" s="1"/>
  <c r="O182" i="26" s="1"/>
  <c r="P182" i="26" s="1"/>
  <c r="Q182" i="26" s="1"/>
  <c r="R182" i="26" s="1"/>
  <c r="S182" i="26" s="1"/>
  <c r="T182" i="26" s="1"/>
  <c r="U182" i="26" s="1"/>
  <c r="V182" i="26" s="1"/>
  <c r="W182" i="26" s="1"/>
  <c r="K109" i="26"/>
  <c r="L109" i="26" s="1"/>
  <c r="M109" i="26" s="1"/>
  <c r="N109" i="26" s="1"/>
  <c r="O109" i="26" s="1"/>
  <c r="P109" i="26" s="1"/>
  <c r="Q109" i="26" s="1"/>
  <c r="R109" i="26" s="1"/>
  <c r="S109" i="26" s="1"/>
  <c r="T109" i="26" s="1"/>
  <c r="U109" i="26" s="1"/>
  <c r="V109" i="26" s="1"/>
  <c r="W109" i="26" s="1"/>
  <c r="K111" i="26"/>
  <c r="K112" i="26" s="1"/>
  <c r="K206" i="26"/>
  <c r="L206" i="26" s="1"/>
  <c r="M206" i="26" s="1"/>
  <c r="N206" i="26" s="1"/>
  <c r="O206" i="26" s="1"/>
  <c r="P206" i="26" s="1"/>
  <c r="Q206" i="26" s="1"/>
  <c r="R206" i="26" s="1"/>
  <c r="S206" i="26" s="1"/>
  <c r="T206" i="26" s="1"/>
  <c r="U206" i="26" s="1"/>
  <c r="V206" i="26" s="1"/>
  <c r="W206" i="26" s="1"/>
  <c r="X206" i="26" s="1"/>
  <c r="Y206" i="26" s="1"/>
  <c r="Z206" i="26" s="1"/>
  <c r="AA206" i="26" s="1"/>
  <c r="AB206" i="26" s="1"/>
  <c r="AC206" i="26" s="1"/>
  <c r="AD206" i="26" s="1"/>
  <c r="AE206" i="26" s="1"/>
  <c r="AF206" i="26" s="1"/>
  <c r="AG206" i="26" s="1"/>
  <c r="AH206" i="26" s="1"/>
  <c r="AI206" i="26" s="1"/>
  <c r="AJ206" i="26" s="1"/>
  <c r="K208" i="26"/>
  <c r="K209" i="26" s="1"/>
  <c r="L209" i="26" s="1"/>
  <c r="M209" i="26" s="1"/>
  <c r="N209" i="26" s="1"/>
  <c r="O209" i="26" s="1"/>
  <c r="P209" i="26" s="1"/>
  <c r="Q209" i="26" s="1"/>
  <c r="R209" i="26" s="1"/>
  <c r="S209" i="26" s="1"/>
  <c r="T209" i="26" s="1"/>
  <c r="U209" i="26" s="1"/>
  <c r="V209" i="26" s="1"/>
  <c r="W209" i="26" s="1"/>
  <c r="X209" i="26" s="1"/>
  <c r="Y209" i="26" s="1"/>
  <c r="Z209" i="26" s="1"/>
  <c r="AA209" i="26" s="1"/>
  <c r="AB209" i="26" s="1"/>
  <c r="AC209" i="26" s="1"/>
  <c r="AD209" i="26" s="1"/>
  <c r="AE209" i="26" s="1"/>
  <c r="AF209" i="26" s="1"/>
  <c r="AG209" i="26" s="1"/>
  <c r="AH209" i="26" s="1"/>
  <c r="AI209" i="26" s="1"/>
  <c r="AJ209" i="26" s="1"/>
  <c r="W160" i="29"/>
  <c r="T89" i="12"/>
  <c r="R136" i="27"/>
  <c r="R92" i="12" s="1"/>
  <c r="U136" i="29"/>
  <c r="U93" i="12" s="1"/>
  <c r="W157" i="29"/>
  <c r="X108" i="19"/>
  <c r="X111" i="19" s="1"/>
  <c r="W109" i="19"/>
  <c r="X108" i="29"/>
  <c r="X111" i="29" s="1"/>
  <c r="X156" i="19"/>
  <c r="X159" i="19" s="1"/>
  <c r="Y154" i="29"/>
  <c r="Z88" i="29"/>
  <c r="Y130" i="29"/>
  <c r="Y106" i="29"/>
  <c r="X132" i="19"/>
  <c r="X135" i="19" s="1"/>
  <c r="W157" i="19"/>
  <c r="X132" i="29"/>
  <c r="X135" i="29" s="1"/>
  <c r="W133" i="19"/>
  <c r="W133" i="29"/>
  <c r="W109" i="29"/>
  <c r="AA226" i="26"/>
  <c r="Z153" i="26"/>
  <c r="Z156" i="26" s="1"/>
  <c r="Z159" i="26" s="1"/>
  <c r="Z229" i="26"/>
  <c r="Z232" i="26" s="1"/>
  <c r="X105" i="26"/>
  <c r="X108" i="26" s="1"/>
  <c r="X111" i="26" s="1"/>
  <c r="X181" i="26"/>
  <c r="X184" i="26" s="1"/>
  <c r="Y178" i="26"/>
  <c r="Y156" i="25"/>
  <c r="Z229" i="25"/>
  <c r="R306" i="25"/>
  <c r="S258" i="25"/>
  <c r="S282" i="25"/>
  <c r="K73" i="26" l="1"/>
  <c r="K79" i="12"/>
  <c r="U160" i="28"/>
  <c r="U73" i="28" s="1"/>
  <c r="T101" i="12"/>
  <c r="K102" i="12"/>
  <c r="K109" i="12" s="1"/>
  <c r="AJ128" i="25"/>
  <c r="AJ208" i="25"/>
  <c r="AJ133" i="26"/>
  <c r="AJ135" i="26"/>
  <c r="L132" i="25"/>
  <c r="L135" i="25" s="1"/>
  <c r="L138" i="25" s="1"/>
  <c r="W112" i="29"/>
  <c r="W81" i="12" s="1"/>
  <c r="V73" i="29"/>
  <c r="K72" i="26"/>
  <c r="T72" i="28"/>
  <c r="W105" i="12"/>
  <c r="O100" i="12"/>
  <c r="O73" i="19"/>
  <c r="R104" i="12"/>
  <c r="R73" i="27"/>
  <c r="U112" i="27"/>
  <c r="U80" i="12" s="1"/>
  <c r="N160" i="26"/>
  <c r="N103" i="12" s="1"/>
  <c r="S160" i="27"/>
  <c r="N23" i="42"/>
  <c r="T148" i="30"/>
  <c r="T151" i="30" s="1"/>
  <c r="AJ148" i="30"/>
  <c r="AJ151" i="30" s="1"/>
  <c r="O148" i="30"/>
  <c r="O151" i="30" s="1"/>
  <c r="Y148" i="30"/>
  <c r="Y151" i="30" s="1"/>
  <c r="AC148" i="30"/>
  <c r="AC151" i="30" s="1"/>
  <c r="Z148" i="30"/>
  <c r="Z151" i="30" s="1"/>
  <c r="AE148" i="30"/>
  <c r="AE151" i="30" s="1"/>
  <c r="J135" i="30"/>
  <c r="J140" i="30"/>
  <c r="AG148" i="30"/>
  <c r="AG151" i="30" s="1"/>
  <c r="AD148" i="30"/>
  <c r="AD151" i="30" s="1"/>
  <c r="N148" i="30"/>
  <c r="N151" i="30" s="1"/>
  <c r="X148" i="30"/>
  <c r="X151" i="30" s="1"/>
  <c r="K148" i="30"/>
  <c r="K151" i="30" s="1"/>
  <c r="N25" i="42" s="1"/>
  <c r="AI148" i="30"/>
  <c r="AI151" i="30" s="1"/>
  <c r="S148" i="30"/>
  <c r="S151" i="30" s="1"/>
  <c r="S73" i="30"/>
  <c r="T73" i="30" s="1"/>
  <c r="X73" i="30" s="1"/>
  <c r="Q148" i="30"/>
  <c r="Q151" i="30" s="1"/>
  <c r="V148" i="30"/>
  <c r="V151" i="30" s="1"/>
  <c r="AF148" i="30"/>
  <c r="AF151" i="30" s="1"/>
  <c r="P148" i="30"/>
  <c r="P151" i="30" s="1"/>
  <c r="U148" i="30"/>
  <c r="U151" i="30" s="1"/>
  <c r="AA148" i="30"/>
  <c r="AA151" i="30" s="1"/>
  <c r="J153" i="30"/>
  <c r="T153" i="30" s="1"/>
  <c r="T156" i="30" s="1"/>
  <c r="AH148" i="30"/>
  <c r="AH151" i="30" s="1"/>
  <c r="R148" i="30"/>
  <c r="R151" i="30" s="1"/>
  <c r="AB148" i="30"/>
  <c r="AB151" i="30" s="1"/>
  <c r="L148" i="30"/>
  <c r="L151" i="30" s="1"/>
  <c r="M148" i="30"/>
  <c r="M151" i="30" s="1"/>
  <c r="W148" i="30"/>
  <c r="W151" i="30" s="1"/>
  <c r="J141" i="30"/>
  <c r="J136" i="30"/>
  <c r="Q77" i="12"/>
  <c r="K182" i="48"/>
  <c r="L182" i="48" s="1"/>
  <c r="M182" i="48" s="1"/>
  <c r="N182" i="48" s="1"/>
  <c r="O182" i="48" s="1"/>
  <c r="P182" i="48" s="1"/>
  <c r="Q182" i="48" s="1"/>
  <c r="R182" i="48" s="1"/>
  <c r="S182" i="48" s="1"/>
  <c r="T182" i="48" s="1"/>
  <c r="U182" i="48" s="1"/>
  <c r="V182" i="48" s="1"/>
  <c r="W182" i="48" s="1"/>
  <c r="X182" i="48" s="1"/>
  <c r="Y182" i="48" s="1"/>
  <c r="Z182" i="48" s="1"/>
  <c r="AA182" i="48" s="1"/>
  <c r="AB182" i="48" s="1"/>
  <c r="AC182" i="48" s="1"/>
  <c r="AD182" i="48" s="1"/>
  <c r="AE182" i="48" s="1"/>
  <c r="AF182" i="48" s="1"/>
  <c r="AG182" i="48" s="1"/>
  <c r="AH182" i="48" s="1"/>
  <c r="AI182" i="48" s="1"/>
  <c r="AJ182" i="48" s="1"/>
  <c r="L109" i="48"/>
  <c r="M109" i="48" s="1"/>
  <c r="N109" i="48" s="1"/>
  <c r="O109" i="48" s="1"/>
  <c r="P109" i="48" s="1"/>
  <c r="Q109" i="48" s="1"/>
  <c r="R109" i="48" s="1"/>
  <c r="S109" i="48" s="1"/>
  <c r="T109" i="48" s="1"/>
  <c r="U109" i="48" s="1"/>
  <c r="V109" i="48" s="1"/>
  <c r="W109" i="48" s="1"/>
  <c r="X109" i="48" s="1"/>
  <c r="Y109" i="48" s="1"/>
  <c r="Z109" i="48" s="1"/>
  <c r="AA109" i="48" s="1"/>
  <c r="AB109" i="48" s="1"/>
  <c r="AC109" i="48" s="1"/>
  <c r="AD109" i="48" s="1"/>
  <c r="AE109" i="48" s="1"/>
  <c r="AF109" i="48" s="1"/>
  <c r="AG109" i="48" s="1"/>
  <c r="AH109" i="48" s="1"/>
  <c r="AI109" i="48" s="1"/>
  <c r="AJ109" i="48" s="1"/>
  <c r="O128" i="25"/>
  <c r="K232" i="48"/>
  <c r="K233" i="48" s="1"/>
  <c r="L233" i="48" s="1"/>
  <c r="M233" i="48" s="1"/>
  <c r="N233" i="48" s="1"/>
  <c r="O233" i="48" s="1"/>
  <c r="P233" i="48" s="1"/>
  <c r="Q233" i="48" s="1"/>
  <c r="R233" i="48" s="1"/>
  <c r="S233" i="48" s="1"/>
  <c r="T233" i="48" s="1"/>
  <c r="U233" i="48" s="1"/>
  <c r="V233" i="48" s="1"/>
  <c r="W233" i="48" s="1"/>
  <c r="X233" i="48" s="1"/>
  <c r="Y233" i="48" s="1"/>
  <c r="Z233" i="48" s="1"/>
  <c r="AA233" i="48" s="1"/>
  <c r="AB233" i="48" s="1"/>
  <c r="AC233" i="48" s="1"/>
  <c r="AD233" i="48" s="1"/>
  <c r="AE233" i="48" s="1"/>
  <c r="AF233" i="48" s="1"/>
  <c r="AG233" i="48" s="1"/>
  <c r="AH233" i="48" s="1"/>
  <c r="AI233" i="48" s="1"/>
  <c r="AJ233" i="48" s="1"/>
  <c r="K111" i="48"/>
  <c r="K112" i="48" s="1"/>
  <c r="L112" i="48" s="1"/>
  <c r="L230" i="48"/>
  <c r="M230" i="48" s="1"/>
  <c r="N230" i="48" s="1"/>
  <c r="O230" i="48" s="1"/>
  <c r="P230" i="48" s="1"/>
  <c r="Q230" i="48" s="1"/>
  <c r="R230" i="48" s="1"/>
  <c r="S230" i="48" s="1"/>
  <c r="T230" i="48" s="1"/>
  <c r="U230" i="48" s="1"/>
  <c r="V230" i="48" s="1"/>
  <c r="W230" i="48" s="1"/>
  <c r="X230" i="48" s="1"/>
  <c r="Y230" i="48" s="1"/>
  <c r="Z230" i="48" s="1"/>
  <c r="AA230" i="48" s="1"/>
  <c r="AB230" i="48" s="1"/>
  <c r="AC230" i="48" s="1"/>
  <c r="AD230" i="48" s="1"/>
  <c r="AE230" i="48" s="1"/>
  <c r="AF230" i="48" s="1"/>
  <c r="AG230" i="48" s="1"/>
  <c r="AH230" i="48" s="1"/>
  <c r="AI230" i="48" s="1"/>
  <c r="AJ230" i="48" s="1"/>
  <c r="K157" i="48"/>
  <c r="L157" i="48" s="1"/>
  <c r="M157" i="48" s="1"/>
  <c r="N157" i="48" s="1"/>
  <c r="O157" i="48" s="1"/>
  <c r="P157" i="48" s="1"/>
  <c r="Q157" i="48" s="1"/>
  <c r="R157" i="48" s="1"/>
  <c r="S157" i="48" s="1"/>
  <c r="T157" i="48" s="1"/>
  <c r="U157" i="48" s="1"/>
  <c r="V157" i="48" s="1"/>
  <c r="W157" i="48" s="1"/>
  <c r="X157" i="48" s="1"/>
  <c r="Y157" i="48" s="1"/>
  <c r="Z157" i="48" s="1"/>
  <c r="AA157" i="48" s="1"/>
  <c r="AB157" i="48" s="1"/>
  <c r="AC157" i="48" s="1"/>
  <c r="AD157" i="48" s="1"/>
  <c r="AE157" i="48" s="1"/>
  <c r="AF157" i="48" s="1"/>
  <c r="AG157" i="48" s="1"/>
  <c r="AH157" i="48" s="1"/>
  <c r="AI157" i="48" s="1"/>
  <c r="AJ157" i="48" s="1"/>
  <c r="L185" i="48"/>
  <c r="M185" i="48" s="1"/>
  <c r="N185" i="48" s="1"/>
  <c r="O185" i="48" s="1"/>
  <c r="P185" i="48" s="1"/>
  <c r="Q185" i="48" s="1"/>
  <c r="R185" i="48" s="1"/>
  <c r="S185" i="48" s="1"/>
  <c r="T185" i="48" s="1"/>
  <c r="U185" i="48" s="1"/>
  <c r="V185" i="48" s="1"/>
  <c r="W185" i="48" s="1"/>
  <c r="X185" i="48" s="1"/>
  <c r="Y185" i="48" s="1"/>
  <c r="Z185" i="48" s="1"/>
  <c r="AA185" i="48" s="1"/>
  <c r="AB185" i="48" s="1"/>
  <c r="AC185" i="48" s="1"/>
  <c r="AD185" i="48" s="1"/>
  <c r="AE185" i="48" s="1"/>
  <c r="AF185" i="48" s="1"/>
  <c r="AG185" i="48" s="1"/>
  <c r="AH185" i="48" s="1"/>
  <c r="AI185" i="48" s="1"/>
  <c r="AJ185" i="48" s="1"/>
  <c r="L160" i="48"/>
  <c r="P160" i="19"/>
  <c r="O76" i="12"/>
  <c r="P112" i="19"/>
  <c r="L112" i="26"/>
  <c r="R72" i="27"/>
  <c r="N72" i="19"/>
  <c r="U72" i="29"/>
  <c r="X128" i="25"/>
  <c r="T206" i="25"/>
  <c r="T133" i="25" s="1"/>
  <c r="T135" i="25" s="1"/>
  <c r="T138" i="25" s="1"/>
  <c r="Z128" i="25"/>
  <c r="R128" i="25"/>
  <c r="AI206" i="25"/>
  <c r="AI133" i="25" s="1"/>
  <c r="AI135" i="25" s="1"/>
  <c r="AI138" i="25" s="1"/>
  <c r="U206" i="25"/>
  <c r="U133" i="25" s="1"/>
  <c r="U135" i="25" s="1"/>
  <c r="U138" i="25" s="1"/>
  <c r="AC128" i="25"/>
  <c r="AF206" i="25"/>
  <c r="AF133" i="25" s="1"/>
  <c r="AF135" i="25" s="1"/>
  <c r="AF138" i="25" s="1"/>
  <c r="M128" i="25"/>
  <c r="AH128" i="25"/>
  <c r="AB206" i="25"/>
  <c r="AB133" i="25" s="1"/>
  <c r="AB135" i="25" s="1"/>
  <c r="AB138" i="25" s="1"/>
  <c r="K206" i="25"/>
  <c r="K133" i="25" s="1"/>
  <c r="K135" i="25" s="1"/>
  <c r="AG206" i="25"/>
  <c r="AG133" i="25" s="1"/>
  <c r="AG135" i="25" s="1"/>
  <c r="AG138" i="25" s="1"/>
  <c r="N128" i="25"/>
  <c r="P206" i="25"/>
  <c r="P133" i="25" s="1"/>
  <c r="P135" i="25" s="1"/>
  <c r="P138" i="25" s="1"/>
  <c r="V128" i="25"/>
  <c r="AA128" i="25"/>
  <c r="O136" i="19"/>
  <c r="O88" i="12" s="1"/>
  <c r="W135" i="25"/>
  <c r="W138" i="25" s="1"/>
  <c r="AA108" i="27"/>
  <c r="AA111" i="27" s="1"/>
  <c r="M184" i="25"/>
  <c r="M187" i="25" s="1"/>
  <c r="Y153" i="29"/>
  <c r="Y156" i="29" s="1"/>
  <c r="Y159" i="29" s="1"/>
  <c r="AC184" i="25"/>
  <c r="AC187" i="25" s="1"/>
  <c r="W184" i="25"/>
  <c r="W187" i="25" s="1"/>
  <c r="W111" i="25"/>
  <c r="W114" i="25" s="1"/>
  <c r="Q184" i="25"/>
  <c r="Q187" i="25" s="1"/>
  <c r="W208" i="25"/>
  <c r="W211" i="25" s="1"/>
  <c r="Z157" i="27"/>
  <c r="AA157" i="27" s="1"/>
  <c r="Q111" i="25"/>
  <c r="Q114" i="25" s="1"/>
  <c r="AA132" i="27"/>
  <c r="AA135" i="27" s="1"/>
  <c r="AB108" i="27"/>
  <c r="AB111" i="27" s="1"/>
  <c r="AB132" i="27"/>
  <c r="AB135" i="27" s="1"/>
  <c r="AB156" i="27"/>
  <c r="AB159" i="27" s="1"/>
  <c r="V208" i="25"/>
  <c r="V211" i="25" s="1"/>
  <c r="L211" i="25"/>
  <c r="AD208" i="25"/>
  <c r="AD211" i="25" s="1"/>
  <c r="Y232" i="25"/>
  <c r="Y235" i="25" s="1"/>
  <c r="AF111" i="25"/>
  <c r="AF114" i="25" s="1"/>
  <c r="L232" i="25"/>
  <c r="L235" i="25" s="1"/>
  <c r="AA208" i="25"/>
  <c r="AA211" i="25" s="1"/>
  <c r="S232" i="25"/>
  <c r="S235" i="25" s="1"/>
  <c r="S208" i="25"/>
  <c r="S211" i="25" s="1"/>
  <c r="AC111" i="25"/>
  <c r="AC114" i="25" s="1"/>
  <c r="L159" i="25"/>
  <c r="L162" i="25" s="1"/>
  <c r="AA135" i="25"/>
  <c r="AA138" i="25" s="1"/>
  <c r="S159" i="25"/>
  <c r="S162" i="25" s="1"/>
  <c r="AF184" i="25"/>
  <c r="AF187" i="25" s="1"/>
  <c r="S135" i="25"/>
  <c r="S138" i="25" s="1"/>
  <c r="U159" i="25"/>
  <c r="U162" i="25" s="1"/>
  <c r="V135" i="25"/>
  <c r="V138" i="25" s="1"/>
  <c r="M159" i="25"/>
  <c r="M162" i="25" s="1"/>
  <c r="U111" i="25"/>
  <c r="U114" i="25" s="1"/>
  <c r="R208" i="25"/>
  <c r="R211" i="25" s="1"/>
  <c r="T232" i="25"/>
  <c r="T235" i="25" s="1"/>
  <c r="U232" i="25"/>
  <c r="U235" i="25" s="1"/>
  <c r="R135" i="25"/>
  <c r="R138" i="25" s="1"/>
  <c r="M232" i="25"/>
  <c r="M235" i="25" s="1"/>
  <c r="V111" i="25"/>
  <c r="V114" i="25" s="1"/>
  <c r="V184" i="25"/>
  <c r="V187" i="25" s="1"/>
  <c r="T159" i="25"/>
  <c r="T162" i="25" s="1"/>
  <c r="R232" i="25"/>
  <c r="R235" i="25" s="1"/>
  <c r="R159" i="25"/>
  <c r="R162" i="25" s="1"/>
  <c r="AD184" i="25"/>
  <c r="AD187" i="25" s="1"/>
  <c r="AD111" i="25"/>
  <c r="AD114" i="25" s="1"/>
  <c r="AJ114" i="25"/>
  <c r="AD135" i="25"/>
  <c r="AD138" i="25" s="1"/>
  <c r="Z71" i="29"/>
  <c r="K159" i="25"/>
  <c r="U184" i="25"/>
  <c r="U187" i="25" s="1"/>
  <c r="K232" i="25"/>
  <c r="K233" i="25" s="1"/>
  <c r="AB184" i="25"/>
  <c r="AB187" i="25" s="1"/>
  <c r="AB109" i="25"/>
  <c r="AB111" i="25" s="1"/>
  <c r="AB114" i="25" s="1"/>
  <c r="Y184" i="25"/>
  <c r="Y187" i="25" s="1"/>
  <c r="Y109" i="25"/>
  <c r="Y111" i="25" s="1"/>
  <c r="Y114" i="25" s="1"/>
  <c r="AH208" i="25"/>
  <c r="AH211" i="25" s="1"/>
  <c r="AG109" i="25"/>
  <c r="AG111" i="25" s="1"/>
  <c r="AG114" i="25" s="1"/>
  <c r="AG184" i="25"/>
  <c r="AG187" i="25" s="1"/>
  <c r="O159" i="25"/>
  <c r="O162" i="25" s="1"/>
  <c r="N135" i="25"/>
  <c r="N138" i="25" s="1"/>
  <c r="W159" i="25"/>
  <c r="W162" i="25" s="1"/>
  <c r="O208" i="25"/>
  <c r="O211" i="25" s="1"/>
  <c r="P232" i="25"/>
  <c r="P235" i="25" s="1"/>
  <c r="R111" i="25"/>
  <c r="R114" i="25" s="1"/>
  <c r="X157" i="25"/>
  <c r="X159" i="25" s="1"/>
  <c r="X162" i="25" s="1"/>
  <c r="X232" i="25"/>
  <c r="X235" i="25" s="1"/>
  <c r="X135" i="25"/>
  <c r="X138" i="25" s="1"/>
  <c r="Q159" i="25"/>
  <c r="Q162" i="25" s="1"/>
  <c r="M135" i="25"/>
  <c r="M138" i="25" s="1"/>
  <c r="AC208" i="25"/>
  <c r="AC211" i="25" s="1"/>
  <c r="P184" i="25"/>
  <c r="P187" i="25" s="1"/>
  <c r="AI109" i="25"/>
  <c r="AI111" i="25" s="1"/>
  <c r="AI114" i="25" s="1"/>
  <c r="AI184" i="25"/>
  <c r="AI187" i="25" s="1"/>
  <c r="V232" i="25"/>
  <c r="V235" i="25" s="1"/>
  <c r="AH135" i="25"/>
  <c r="AH138" i="25" s="1"/>
  <c r="O135" i="25"/>
  <c r="O138" i="25" s="1"/>
  <c r="P159" i="25"/>
  <c r="P162" i="25" s="1"/>
  <c r="AE184" i="25"/>
  <c r="AE187" i="25" s="1"/>
  <c r="AE109" i="25"/>
  <c r="AE111" i="25" s="1"/>
  <c r="AE114" i="25" s="1"/>
  <c r="N232" i="25"/>
  <c r="N235" i="25" s="1"/>
  <c r="Z133" i="25"/>
  <c r="Z135" i="25" s="1"/>
  <c r="Z138" i="25" s="1"/>
  <c r="Z208" i="25"/>
  <c r="Z211" i="25" s="1"/>
  <c r="AC135" i="25"/>
  <c r="AC138" i="25" s="1"/>
  <c r="P111" i="25"/>
  <c r="P114" i="25" s="1"/>
  <c r="AE208" i="25"/>
  <c r="AE211" i="25" s="1"/>
  <c r="AE133" i="25"/>
  <c r="AE135" i="25" s="1"/>
  <c r="AE138" i="25" s="1"/>
  <c r="V159" i="25"/>
  <c r="V162" i="25" s="1"/>
  <c r="AH184" i="25"/>
  <c r="AH187" i="25" s="1"/>
  <c r="AH109" i="25"/>
  <c r="AH111" i="25" s="1"/>
  <c r="AH114" i="25" s="1"/>
  <c r="Z111" i="25"/>
  <c r="Z114" i="25" s="1"/>
  <c r="S184" i="25"/>
  <c r="S187" i="25" s="1"/>
  <c r="AA184" i="25"/>
  <c r="AA187" i="25" s="1"/>
  <c r="N159" i="25"/>
  <c r="N162" i="25" s="1"/>
  <c r="Q208" i="25"/>
  <c r="Q211" i="25" s="1"/>
  <c r="Q133" i="25"/>
  <c r="Q135" i="25" s="1"/>
  <c r="Q138" i="25" s="1"/>
  <c r="T184" i="25"/>
  <c r="T187" i="25" s="1"/>
  <c r="Y133" i="25"/>
  <c r="Y135" i="25" s="1"/>
  <c r="Y138" i="25" s="1"/>
  <c r="Y208" i="25"/>
  <c r="Y211" i="25" s="1"/>
  <c r="Z184" i="25"/>
  <c r="Z187" i="25" s="1"/>
  <c r="O232" i="25"/>
  <c r="O235" i="25" s="1"/>
  <c r="N208" i="25"/>
  <c r="N211" i="25" s="1"/>
  <c r="W232" i="25"/>
  <c r="W235" i="25" s="1"/>
  <c r="S111" i="25"/>
  <c r="S114" i="25" s="1"/>
  <c r="R184" i="25"/>
  <c r="R187" i="25" s="1"/>
  <c r="AA111" i="25"/>
  <c r="AA114" i="25" s="1"/>
  <c r="X208" i="25"/>
  <c r="X211" i="25" s="1"/>
  <c r="X184" i="25"/>
  <c r="X187" i="25" s="1"/>
  <c r="X109" i="25"/>
  <c r="X111" i="25" s="1"/>
  <c r="X114" i="25" s="1"/>
  <c r="Q232" i="25"/>
  <c r="Q235" i="25" s="1"/>
  <c r="M208" i="25"/>
  <c r="M211" i="25" s="1"/>
  <c r="T111" i="25"/>
  <c r="T114" i="25" s="1"/>
  <c r="N184" i="25"/>
  <c r="N187" i="25" s="1"/>
  <c r="O111" i="25"/>
  <c r="O114" i="25" s="1"/>
  <c r="L109" i="25"/>
  <c r="L111" i="25" s="1"/>
  <c r="L114" i="25" s="1"/>
  <c r="L184" i="25"/>
  <c r="L187" i="25" s="1"/>
  <c r="K109" i="25"/>
  <c r="K111" i="25" s="1"/>
  <c r="K184" i="25"/>
  <c r="N111" i="25"/>
  <c r="N114" i="25" s="1"/>
  <c r="O184" i="25"/>
  <c r="O187" i="25" s="1"/>
  <c r="M111" i="25"/>
  <c r="M114" i="25" s="1"/>
  <c r="L136" i="26"/>
  <c r="L91" i="12" s="1"/>
  <c r="X160" i="29"/>
  <c r="X185" i="26"/>
  <c r="U89" i="12"/>
  <c r="S136" i="27"/>
  <c r="S92" i="12" s="1"/>
  <c r="V136" i="29"/>
  <c r="V93" i="12" s="1"/>
  <c r="Y132" i="29"/>
  <c r="Y135" i="29" s="1"/>
  <c r="Z233" i="26"/>
  <c r="X109" i="19"/>
  <c r="X157" i="19"/>
  <c r="Z154" i="29"/>
  <c r="AA88" i="29"/>
  <c r="Z106" i="29"/>
  <c r="Z130" i="29"/>
  <c r="X157" i="29"/>
  <c r="Y108" i="19"/>
  <c r="Y111" i="19" s="1"/>
  <c r="X133" i="29"/>
  <c r="Y156" i="19"/>
  <c r="Y159" i="19" s="1"/>
  <c r="Y108" i="29"/>
  <c r="Y111" i="29" s="1"/>
  <c r="X109" i="29"/>
  <c r="Y132" i="19"/>
  <c r="Y135" i="19" s="1"/>
  <c r="X133" i="19"/>
  <c r="X109" i="26"/>
  <c r="Z230" i="26"/>
  <c r="AB226" i="26"/>
  <c r="Z157" i="26"/>
  <c r="AA153" i="26"/>
  <c r="AA156" i="26" s="1"/>
  <c r="AA159" i="26" s="1"/>
  <c r="AA229" i="26"/>
  <c r="AA232" i="26" s="1"/>
  <c r="X182" i="26"/>
  <c r="Y105" i="26"/>
  <c r="Y108" i="26" s="1"/>
  <c r="Y111" i="26" s="1"/>
  <c r="Y181" i="26"/>
  <c r="Y184" i="26" s="1"/>
  <c r="Z178" i="26"/>
  <c r="Z232" i="25"/>
  <c r="Z235" i="25" s="1"/>
  <c r="Z156" i="25"/>
  <c r="AA229" i="25"/>
  <c r="Y159" i="25"/>
  <c r="Y162" i="25" s="1"/>
  <c r="S306" i="25"/>
  <c r="T282" i="25"/>
  <c r="T258" i="25"/>
  <c r="V160" i="28" l="1"/>
  <c r="V73" i="28" s="1"/>
  <c r="U101" i="12"/>
  <c r="L73" i="26"/>
  <c r="L79" i="12"/>
  <c r="X112" i="29"/>
  <c r="X81" i="12" s="1"/>
  <c r="L102" i="12"/>
  <c r="L109" i="12" s="1"/>
  <c r="AJ133" i="25"/>
  <c r="AJ135" i="25" s="1"/>
  <c r="W73" i="29"/>
  <c r="U72" i="28"/>
  <c r="X105" i="12"/>
  <c r="P100" i="12"/>
  <c r="P73" i="19"/>
  <c r="S104" i="12"/>
  <c r="S73" i="27"/>
  <c r="V112" i="27"/>
  <c r="V80" i="12" s="1"/>
  <c r="T160" i="27"/>
  <c r="O160" i="26"/>
  <c r="O103" i="12" s="1"/>
  <c r="Z153" i="30"/>
  <c r="Z156" i="30" s="1"/>
  <c r="AD153" i="30"/>
  <c r="AD156" i="30" s="1"/>
  <c r="X153" i="30"/>
  <c r="X156" i="30" s="1"/>
  <c r="W153" i="30"/>
  <c r="W156" i="30" s="1"/>
  <c r="Y153" i="30"/>
  <c r="Y156" i="30" s="1"/>
  <c r="S153" i="30"/>
  <c r="S156" i="30" s="1"/>
  <c r="AC153" i="30"/>
  <c r="AC156" i="30" s="1"/>
  <c r="AB153" i="30"/>
  <c r="AB156" i="30" s="1"/>
  <c r="AE153" i="30"/>
  <c r="AE156" i="30" s="1"/>
  <c r="V153" i="30"/>
  <c r="V156" i="30" s="1"/>
  <c r="AF153" i="30"/>
  <c r="AF156" i="30" s="1"/>
  <c r="AH153" i="30"/>
  <c r="AH156" i="30" s="1"/>
  <c r="AJ153" i="30"/>
  <c r="AJ156" i="30" s="1"/>
  <c r="N153" i="30"/>
  <c r="N156" i="30" s="1"/>
  <c r="U153" i="30"/>
  <c r="U156" i="30" s="1"/>
  <c r="R153" i="30"/>
  <c r="R156" i="30" s="1"/>
  <c r="Q153" i="30"/>
  <c r="Q156" i="30" s="1"/>
  <c r="AI153" i="30"/>
  <c r="AI156" i="30" s="1"/>
  <c r="P153" i="30"/>
  <c r="P156" i="30" s="1"/>
  <c r="M153" i="30"/>
  <c r="M156" i="30" s="1"/>
  <c r="L153" i="30"/>
  <c r="L156" i="30" s="1"/>
  <c r="O153" i="30"/>
  <c r="O156" i="30" s="1"/>
  <c r="AG153" i="30"/>
  <c r="AG156" i="30" s="1"/>
  <c r="AA153" i="30"/>
  <c r="AA156" i="30" s="1"/>
  <c r="K153" i="30"/>
  <c r="K156" i="30" s="1"/>
  <c r="N24" i="42" s="1"/>
  <c r="J139" i="30"/>
  <c r="J134" i="30"/>
  <c r="R77" i="12"/>
  <c r="U208" i="25"/>
  <c r="U211" i="25" s="1"/>
  <c r="P208" i="25"/>
  <c r="P211" i="25" s="1"/>
  <c r="T208" i="25"/>
  <c r="T211" i="25" s="1"/>
  <c r="K73" i="48"/>
  <c r="K72" i="48"/>
  <c r="M160" i="48"/>
  <c r="L73" i="48"/>
  <c r="M112" i="48"/>
  <c r="L72" i="48"/>
  <c r="AF208" i="25"/>
  <c r="AF211" i="25" s="1"/>
  <c r="K208" i="25"/>
  <c r="K209" i="25" s="1"/>
  <c r="L209" i="25" s="1"/>
  <c r="M209" i="25" s="1"/>
  <c r="N209" i="25" s="1"/>
  <c r="O209" i="25" s="1"/>
  <c r="AI208" i="25"/>
  <c r="AI211" i="25" s="1"/>
  <c r="Q160" i="19"/>
  <c r="Q112" i="19"/>
  <c r="P76" i="12"/>
  <c r="AB208" i="25"/>
  <c r="AB211" i="25" s="1"/>
  <c r="M112" i="26"/>
  <c r="S72" i="27"/>
  <c r="L72" i="26"/>
  <c r="AJ211" i="25"/>
  <c r="AG208" i="25"/>
  <c r="AG211" i="25" s="1"/>
  <c r="V72" i="29"/>
  <c r="O72" i="19"/>
  <c r="P136" i="19"/>
  <c r="P88" i="12" s="1"/>
  <c r="AA109" i="27"/>
  <c r="AB109" i="27" s="1"/>
  <c r="Z153" i="29"/>
  <c r="Z156" i="29" s="1"/>
  <c r="Z159" i="29" s="1"/>
  <c r="AA133" i="27"/>
  <c r="AB133" i="27" s="1"/>
  <c r="AB157" i="27"/>
  <c r="AC132" i="27"/>
  <c r="AC135" i="27" s="1"/>
  <c r="AC108" i="27"/>
  <c r="AC111" i="27" s="1"/>
  <c r="L233" i="25"/>
  <c r="M233" i="25" s="1"/>
  <c r="N233" i="25" s="1"/>
  <c r="O233" i="25" s="1"/>
  <c r="P233" i="25" s="1"/>
  <c r="Q233" i="25" s="1"/>
  <c r="R233" i="25" s="1"/>
  <c r="S233" i="25" s="1"/>
  <c r="T233" i="25" s="1"/>
  <c r="U233" i="25" s="1"/>
  <c r="V233" i="25" s="1"/>
  <c r="W233" i="25" s="1"/>
  <c r="X233" i="25" s="1"/>
  <c r="Y233" i="25" s="1"/>
  <c r="Z233" i="25" s="1"/>
  <c r="K235" i="25"/>
  <c r="K236" i="25" s="1"/>
  <c r="L236" i="25" s="1"/>
  <c r="M236" i="25" s="1"/>
  <c r="N236" i="25" s="1"/>
  <c r="O236" i="25" s="1"/>
  <c r="P236" i="25" s="1"/>
  <c r="Q236" i="25" s="1"/>
  <c r="R236" i="25" s="1"/>
  <c r="S236" i="25" s="1"/>
  <c r="T236" i="25" s="1"/>
  <c r="U236" i="25" s="1"/>
  <c r="V236" i="25" s="1"/>
  <c r="W236" i="25" s="1"/>
  <c r="X236" i="25" s="1"/>
  <c r="Y236" i="25" s="1"/>
  <c r="Z236" i="25" s="1"/>
  <c r="AA71" i="29"/>
  <c r="Z108" i="29"/>
  <c r="Z111" i="29" s="1"/>
  <c r="K162" i="25"/>
  <c r="K163" i="25" s="1"/>
  <c r="K160" i="25"/>
  <c r="L160" i="25" s="1"/>
  <c r="M160" i="25" s="1"/>
  <c r="N160" i="25" s="1"/>
  <c r="O160" i="25" s="1"/>
  <c r="P160" i="25" s="1"/>
  <c r="Q160" i="25" s="1"/>
  <c r="R160" i="25" s="1"/>
  <c r="S160" i="25" s="1"/>
  <c r="T160" i="25" s="1"/>
  <c r="U160" i="25" s="1"/>
  <c r="V160" i="25" s="1"/>
  <c r="W160" i="25" s="1"/>
  <c r="X160" i="25" s="1"/>
  <c r="Y160" i="25" s="1"/>
  <c r="K136" i="25"/>
  <c r="L136" i="25" s="1"/>
  <c r="M136" i="25" s="1"/>
  <c r="N136" i="25" s="1"/>
  <c r="O136" i="25" s="1"/>
  <c r="P136" i="25" s="1"/>
  <c r="Q136" i="25" s="1"/>
  <c r="R136" i="25" s="1"/>
  <c r="S136" i="25" s="1"/>
  <c r="T136" i="25" s="1"/>
  <c r="U136" i="25" s="1"/>
  <c r="V136" i="25" s="1"/>
  <c r="W136" i="25" s="1"/>
  <c r="X136" i="25" s="1"/>
  <c r="Y136" i="25" s="1"/>
  <c r="Z136" i="25" s="1"/>
  <c r="AA136" i="25" s="1"/>
  <c r="AB136" i="25" s="1"/>
  <c r="AC136" i="25" s="1"/>
  <c r="AD136" i="25" s="1"/>
  <c r="AE136" i="25" s="1"/>
  <c r="AF136" i="25" s="1"/>
  <c r="AG136" i="25" s="1"/>
  <c r="AH136" i="25" s="1"/>
  <c r="AI136" i="25" s="1"/>
  <c r="K138" i="25"/>
  <c r="K139" i="25" s="1"/>
  <c r="K112" i="25"/>
  <c r="L112" i="25" s="1"/>
  <c r="M112" i="25" s="1"/>
  <c r="N112" i="25" s="1"/>
  <c r="O112" i="25" s="1"/>
  <c r="P112" i="25" s="1"/>
  <c r="Q112" i="25" s="1"/>
  <c r="R112" i="25" s="1"/>
  <c r="S112" i="25" s="1"/>
  <c r="T112" i="25" s="1"/>
  <c r="U112" i="25" s="1"/>
  <c r="V112" i="25" s="1"/>
  <c r="W112" i="25" s="1"/>
  <c r="X112" i="25" s="1"/>
  <c r="Y112" i="25" s="1"/>
  <c r="Z112" i="25" s="1"/>
  <c r="AA112" i="25" s="1"/>
  <c r="AB112" i="25" s="1"/>
  <c r="AC112" i="25" s="1"/>
  <c r="AD112" i="25" s="1"/>
  <c r="AE112" i="25" s="1"/>
  <c r="AF112" i="25" s="1"/>
  <c r="AG112" i="25" s="1"/>
  <c r="AH112" i="25" s="1"/>
  <c r="AI112" i="25" s="1"/>
  <c r="AJ112" i="25" s="1"/>
  <c r="K114" i="25"/>
  <c r="K115" i="25" s="1"/>
  <c r="K78" i="12" s="1"/>
  <c r="K187" i="25"/>
  <c r="K188" i="25" s="1"/>
  <c r="L188" i="25" s="1"/>
  <c r="M188" i="25" s="1"/>
  <c r="N188" i="25" s="1"/>
  <c r="O188" i="25" s="1"/>
  <c r="P188" i="25" s="1"/>
  <c r="Q188" i="25" s="1"/>
  <c r="R188" i="25" s="1"/>
  <c r="S188" i="25" s="1"/>
  <c r="T188" i="25" s="1"/>
  <c r="U188" i="25" s="1"/>
  <c r="V188" i="25" s="1"/>
  <c r="W188" i="25" s="1"/>
  <c r="X188" i="25" s="1"/>
  <c r="Y188" i="25" s="1"/>
  <c r="Z188" i="25" s="1"/>
  <c r="AA188" i="25" s="1"/>
  <c r="AB188" i="25" s="1"/>
  <c r="AC188" i="25" s="1"/>
  <c r="AD188" i="25" s="1"/>
  <c r="AE188" i="25" s="1"/>
  <c r="AF188" i="25" s="1"/>
  <c r="AG188" i="25" s="1"/>
  <c r="AH188" i="25" s="1"/>
  <c r="AI188" i="25" s="1"/>
  <c r="AJ188" i="25" s="1"/>
  <c r="K185" i="25"/>
  <c r="L185" i="25" s="1"/>
  <c r="M185" i="25" s="1"/>
  <c r="N185" i="25" s="1"/>
  <c r="O185" i="25" s="1"/>
  <c r="P185" i="25" s="1"/>
  <c r="Q185" i="25" s="1"/>
  <c r="R185" i="25" s="1"/>
  <c r="S185" i="25" s="1"/>
  <c r="T185" i="25" s="1"/>
  <c r="U185" i="25" s="1"/>
  <c r="V185" i="25" s="1"/>
  <c r="W185" i="25" s="1"/>
  <c r="X185" i="25" s="1"/>
  <c r="Y185" i="25" s="1"/>
  <c r="Z185" i="25" s="1"/>
  <c r="AA185" i="25" s="1"/>
  <c r="AB185" i="25" s="1"/>
  <c r="AC185" i="25" s="1"/>
  <c r="AD185" i="25" s="1"/>
  <c r="AE185" i="25" s="1"/>
  <c r="AF185" i="25" s="1"/>
  <c r="AG185" i="25" s="1"/>
  <c r="AH185" i="25" s="1"/>
  <c r="AI185" i="25" s="1"/>
  <c r="AJ185" i="25" s="1"/>
  <c r="M136" i="26"/>
  <c r="M91" i="12" s="1"/>
  <c r="Y160" i="29"/>
  <c r="Y185" i="26"/>
  <c r="V89" i="12"/>
  <c r="T136" i="27"/>
  <c r="T92" i="12" s="1"/>
  <c r="W136" i="29"/>
  <c r="W93" i="12" s="1"/>
  <c r="Z132" i="29"/>
  <c r="Z135" i="29" s="1"/>
  <c r="Y133" i="29"/>
  <c r="Y157" i="29"/>
  <c r="AA233" i="26"/>
  <c r="Y109" i="19"/>
  <c r="Y157" i="19"/>
  <c r="Y133" i="19"/>
  <c r="AA154" i="29"/>
  <c r="AB88" i="29"/>
  <c r="AA106" i="29"/>
  <c r="AA130" i="29"/>
  <c r="Z132" i="19"/>
  <c r="Z135" i="19" s="1"/>
  <c r="Z156" i="19"/>
  <c r="Z159" i="19" s="1"/>
  <c r="Y109" i="29"/>
  <c r="Z108" i="19"/>
  <c r="Z111" i="19" s="1"/>
  <c r="Y109" i="26"/>
  <c r="AC226" i="26"/>
  <c r="AA157" i="26"/>
  <c r="AA230" i="26"/>
  <c r="AB153" i="26"/>
  <c r="AB156" i="26" s="1"/>
  <c r="AB159" i="26" s="1"/>
  <c r="AB229" i="26"/>
  <c r="AB232" i="26" s="1"/>
  <c r="Z105" i="26"/>
  <c r="Z108" i="26" s="1"/>
  <c r="Z111" i="26" s="1"/>
  <c r="Z181" i="26"/>
  <c r="Z184" i="26" s="1"/>
  <c r="Y182" i="26"/>
  <c r="AA178" i="26"/>
  <c r="AA232" i="25"/>
  <c r="AA235" i="25" s="1"/>
  <c r="AA156" i="25"/>
  <c r="Z159" i="25"/>
  <c r="Z162" i="25" s="1"/>
  <c r="AB229" i="25"/>
  <c r="T306" i="25"/>
  <c r="U258" i="25"/>
  <c r="U282" i="25"/>
  <c r="Y112" i="29" l="1"/>
  <c r="Y81" i="12" s="1"/>
  <c r="X73" i="29"/>
  <c r="M73" i="26"/>
  <c r="M79" i="12"/>
  <c r="W160" i="28"/>
  <c r="W73" i="28" s="1"/>
  <c r="V101" i="12"/>
  <c r="M102" i="12"/>
  <c r="M109" i="12" s="1"/>
  <c r="AJ136" i="25"/>
  <c r="AJ138" i="25"/>
  <c r="V72" i="28"/>
  <c r="Y105" i="12"/>
  <c r="Q100" i="12"/>
  <c r="Q73" i="19"/>
  <c r="K76" i="25"/>
  <c r="K90" i="12"/>
  <c r="K97" i="12" s="1"/>
  <c r="K75" i="25"/>
  <c r="T104" i="12"/>
  <c r="T73" i="27"/>
  <c r="W112" i="27"/>
  <c r="W80" i="12" s="1"/>
  <c r="P160" i="26"/>
  <c r="P103" i="12" s="1"/>
  <c r="U160" i="27"/>
  <c r="P209" i="25"/>
  <c r="Q209" i="25" s="1"/>
  <c r="R209" i="25" s="1"/>
  <c r="S209" i="25" s="1"/>
  <c r="T209" i="25" s="1"/>
  <c r="U209" i="25" s="1"/>
  <c r="V209" i="25" s="1"/>
  <c r="W209" i="25" s="1"/>
  <c r="X209" i="25" s="1"/>
  <c r="Y209" i="25" s="1"/>
  <c r="Z209" i="25" s="1"/>
  <c r="AA209" i="25" s="1"/>
  <c r="AB209" i="25" s="1"/>
  <c r="AC209" i="25" s="1"/>
  <c r="AD209" i="25" s="1"/>
  <c r="AE209" i="25" s="1"/>
  <c r="AF209" i="25" s="1"/>
  <c r="AG209" i="25" s="1"/>
  <c r="AH209" i="25" s="1"/>
  <c r="AI209" i="25" s="1"/>
  <c r="AJ209" i="25" s="1"/>
  <c r="M23" i="42"/>
  <c r="S77" i="12"/>
  <c r="N112" i="48"/>
  <c r="M72" i="48"/>
  <c r="N160" i="48"/>
  <c r="M73" i="48"/>
  <c r="K211" i="25"/>
  <c r="K212" i="25" s="1"/>
  <c r="L212" i="25" s="1"/>
  <c r="L163" i="25"/>
  <c r="R160" i="19"/>
  <c r="R112" i="19"/>
  <c r="Q76" i="12"/>
  <c r="L115" i="25"/>
  <c r="L78" i="12" s="1"/>
  <c r="K85" i="12"/>
  <c r="K73" i="12" s="1"/>
  <c r="N112" i="26"/>
  <c r="L139" i="25"/>
  <c r="T72" i="27"/>
  <c r="M72" i="26"/>
  <c r="P72" i="19"/>
  <c r="W72" i="29"/>
  <c r="Q136" i="19"/>
  <c r="Q88" i="12" s="1"/>
  <c r="L136" i="30"/>
  <c r="P136" i="30"/>
  <c r="T136" i="30"/>
  <c r="X136" i="30"/>
  <c r="AB136" i="30"/>
  <c r="AF136" i="30"/>
  <c r="AJ136" i="30"/>
  <c r="O136" i="30"/>
  <c r="S136" i="30"/>
  <c r="W136" i="30"/>
  <c r="AA136" i="30"/>
  <c r="AE136" i="30"/>
  <c r="AI136" i="30"/>
  <c r="Q136" i="30"/>
  <c r="Y136" i="30"/>
  <c r="AG136" i="30"/>
  <c r="R136" i="30"/>
  <c r="Z136" i="30"/>
  <c r="AH136" i="30"/>
  <c r="M136" i="30"/>
  <c r="U136" i="30"/>
  <c r="AC136" i="30"/>
  <c r="N136" i="30"/>
  <c r="V136" i="30"/>
  <c r="AD136" i="30"/>
  <c r="K136" i="30"/>
  <c r="N141" i="30"/>
  <c r="R141" i="30"/>
  <c r="V141" i="30"/>
  <c r="Z141" i="30"/>
  <c r="AD141" i="30"/>
  <c r="AH141" i="30"/>
  <c r="K141" i="30"/>
  <c r="M141" i="30"/>
  <c r="Q141" i="30"/>
  <c r="U141" i="30"/>
  <c r="Y141" i="30"/>
  <c r="AC141" i="30"/>
  <c r="AG141" i="30"/>
  <c r="O141" i="30"/>
  <c r="W141" i="30"/>
  <c r="AE141" i="30"/>
  <c r="P141" i="30"/>
  <c r="X141" i="30"/>
  <c r="AF141" i="30"/>
  <c r="S141" i="30"/>
  <c r="AA141" i="30"/>
  <c r="AI141" i="30"/>
  <c r="L141" i="30"/>
  <c r="T141" i="30"/>
  <c r="AB141" i="30"/>
  <c r="AJ141" i="30"/>
  <c r="AA153" i="29"/>
  <c r="AA156" i="29" s="1"/>
  <c r="AA159" i="29" s="1"/>
  <c r="AC156" i="27"/>
  <c r="AC159" i="27" s="1"/>
  <c r="AC109" i="27"/>
  <c r="AC133" i="27"/>
  <c r="AD108" i="27"/>
  <c r="AD111" i="27" s="1"/>
  <c r="AD132" i="27"/>
  <c r="AD135" i="27" s="1"/>
  <c r="AD156" i="27"/>
  <c r="AD159" i="27" s="1"/>
  <c r="AB71" i="29"/>
  <c r="N136" i="26"/>
  <c r="N91" i="12" s="1"/>
  <c r="Z160" i="29"/>
  <c r="Z185" i="26"/>
  <c r="W89" i="12"/>
  <c r="U136" i="27"/>
  <c r="U92" i="12" s="1"/>
  <c r="X136" i="29"/>
  <c r="X93" i="12" s="1"/>
  <c r="AB233" i="26"/>
  <c r="Z109" i="29"/>
  <c r="Z133" i="29"/>
  <c r="AA132" i="29"/>
  <c r="AA135" i="29" s="1"/>
  <c r="AA236" i="25"/>
  <c r="Z133" i="19"/>
  <c r="AA108" i="19"/>
  <c r="AA111" i="19" s="1"/>
  <c r="AA108" i="29"/>
  <c r="AA111" i="29" s="1"/>
  <c r="AB154" i="29"/>
  <c r="AC88" i="29"/>
  <c r="AB106" i="29"/>
  <c r="AB130" i="29"/>
  <c r="AA156" i="19"/>
  <c r="AA159" i="19" s="1"/>
  <c r="Z157" i="29"/>
  <c r="AA132" i="19"/>
  <c r="AA135" i="19" s="1"/>
  <c r="Z109" i="19"/>
  <c r="Z157" i="19"/>
  <c r="Z182" i="26"/>
  <c r="AB230" i="26"/>
  <c r="AD226" i="26"/>
  <c r="AB157" i="26"/>
  <c r="AC153" i="26"/>
  <c r="AC156" i="26" s="1"/>
  <c r="AC159" i="26" s="1"/>
  <c r="AC229" i="26"/>
  <c r="AC232" i="26" s="1"/>
  <c r="AA105" i="26"/>
  <c r="AA108" i="26" s="1"/>
  <c r="AA111" i="26" s="1"/>
  <c r="AA181" i="26"/>
  <c r="AA184" i="26" s="1"/>
  <c r="AB178" i="26"/>
  <c r="Z109" i="26"/>
  <c r="Z160" i="25"/>
  <c r="AC229" i="25"/>
  <c r="AA233" i="25"/>
  <c r="AB232" i="25"/>
  <c r="AB235" i="25" s="1"/>
  <c r="AB156" i="25"/>
  <c r="AA159" i="25"/>
  <c r="AA162" i="25" s="1"/>
  <c r="U306" i="25"/>
  <c r="V282" i="25"/>
  <c r="V258" i="25"/>
  <c r="Z112" i="29" l="1"/>
  <c r="Z81" i="12" s="1"/>
  <c r="Y73" i="29"/>
  <c r="N73" i="26"/>
  <c r="N79" i="12"/>
  <c r="X160" i="28"/>
  <c r="X73" i="28" s="1"/>
  <c r="W101" i="12"/>
  <c r="N102" i="12"/>
  <c r="N109" i="12" s="1"/>
  <c r="W72" i="28"/>
  <c r="Z105" i="12"/>
  <c r="R100" i="12"/>
  <c r="R73" i="19"/>
  <c r="L76" i="25"/>
  <c r="U104" i="12"/>
  <c r="U73" i="27"/>
  <c r="X112" i="27"/>
  <c r="X80" i="12" s="1"/>
  <c r="V160" i="27"/>
  <c r="Q160" i="26"/>
  <c r="Q103" i="12" s="1"/>
  <c r="T77" i="12"/>
  <c r="K72" i="12"/>
  <c r="O160" i="48"/>
  <c r="N73" i="48"/>
  <c r="N72" i="48"/>
  <c r="O112" i="48"/>
  <c r="M163" i="25"/>
  <c r="S160" i="19"/>
  <c r="S112" i="19"/>
  <c r="R76" i="12"/>
  <c r="L90" i="12"/>
  <c r="L97" i="12" s="1"/>
  <c r="M139" i="25"/>
  <c r="L75" i="25"/>
  <c r="M115" i="25"/>
  <c r="M78" i="12" s="1"/>
  <c r="L85" i="12"/>
  <c r="L73" i="12" s="1"/>
  <c r="O112" i="26"/>
  <c r="U72" i="27"/>
  <c r="N72" i="26"/>
  <c r="M212" i="25"/>
  <c r="Q72" i="19"/>
  <c r="X72" i="29"/>
  <c r="R136" i="19"/>
  <c r="R88" i="12" s="1"/>
  <c r="AB153" i="29"/>
  <c r="AB156" i="29" s="1"/>
  <c r="AB159" i="29" s="1"/>
  <c r="AC157" i="27"/>
  <c r="AD157" i="27" s="1"/>
  <c r="AD109" i="27"/>
  <c r="AE156" i="27"/>
  <c r="AE159" i="27" s="1"/>
  <c r="AD133" i="27"/>
  <c r="AC71" i="29"/>
  <c r="O136" i="26"/>
  <c r="O91" i="12" s="1"/>
  <c r="AA160" i="29"/>
  <c r="AA185" i="26"/>
  <c r="X89" i="12"/>
  <c r="AB236" i="25"/>
  <c r="V136" i="27"/>
  <c r="V92" i="12" s="1"/>
  <c r="Y136" i="29"/>
  <c r="Y93" i="12" s="1"/>
  <c r="AC233" i="26"/>
  <c r="AA109" i="29"/>
  <c r="AB108" i="29"/>
  <c r="AB111" i="29" s="1"/>
  <c r="AA157" i="29"/>
  <c r="AB132" i="29"/>
  <c r="AB135" i="29" s="1"/>
  <c r="AA133" i="29"/>
  <c r="AB108" i="19"/>
  <c r="AB111" i="19" s="1"/>
  <c r="AB156" i="19"/>
  <c r="AB159" i="19" s="1"/>
  <c r="AA133" i="19"/>
  <c r="AA157" i="19"/>
  <c r="AA109" i="19"/>
  <c r="AB132" i="19"/>
  <c r="AB135" i="19" s="1"/>
  <c r="AC154" i="29"/>
  <c r="AD88" i="29"/>
  <c r="AC106" i="29"/>
  <c r="AC130" i="29"/>
  <c r="AA109" i="26"/>
  <c r="AA182" i="26"/>
  <c r="AE226" i="26"/>
  <c r="AC157" i="26"/>
  <c r="AC230" i="26"/>
  <c r="AD153" i="26"/>
  <c r="AD156" i="26" s="1"/>
  <c r="AD159" i="26" s="1"/>
  <c r="AD229" i="26"/>
  <c r="AD232" i="26" s="1"/>
  <c r="AC178" i="26"/>
  <c r="AB105" i="26"/>
  <c r="AB108" i="26" s="1"/>
  <c r="AB111" i="26" s="1"/>
  <c r="AB181" i="26"/>
  <c r="AB184" i="26" s="1"/>
  <c r="AB159" i="25"/>
  <c r="AB162" i="25" s="1"/>
  <c r="AD229" i="25"/>
  <c r="AB233" i="25"/>
  <c r="AA160" i="25"/>
  <c r="AC232" i="25"/>
  <c r="AC235" i="25" s="1"/>
  <c r="AC156" i="25"/>
  <c r="V306" i="25"/>
  <c r="W258" i="25"/>
  <c r="W282" i="25"/>
  <c r="AA112" i="29" l="1"/>
  <c r="AA81" i="12" s="1"/>
  <c r="Z73" i="29"/>
  <c r="Y160" i="28"/>
  <c r="Y73" i="28" s="1"/>
  <c r="X101" i="12"/>
  <c r="O73" i="26"/>
  <c r="O79" i="12"/>
  <c r="O102" i="12"/>
  <c r="O109" i="12" s="1"/>
  <c r="X72" i="28"/>
  <c r="AA105" i="12"/>
  <c r="S100" i="12"/>
  <c r="S73" i="19"/>
  <c r="M76" i="25"/>
  <c r="Y112" i="27"/>
  <c r="Y80" i="12" s="1"/>
  <c r="V104" i="12"/>
  <c r="V73" i="27"/>
  <c r="W160" i="27"/>
  <c r="R160" i="26"/>
  <c r="R103" i="12" s="1"/>
  <c r="U77" i="12"/>
  <c r="O72" i="48"/>
  <c r="P112" i="48"/>
  <c r="P160" i="48"/>
  <c r="O73" i="48"/>
  <c r="N163" i="25"/>
  <c r="T160" i="19"/>
  <c r="T112" i="19"/>
  <c r="S76" i="12"/>
  <c r="L72" i="12"/>
  <c r="N139" i="25"/>
  <c r="N90" i="12" s="1"/>
  <c r="N97" i="12" s="1"/>
  <c r="M90" i="12"/>
  <c r="M97" i="12" s="1"/>
  <c r="M75" i="25"/>
  <c r="N115" i="25"/>
  <c r="M85" i="12"/>
  <c r="M73" i="12" s="1"/>
  <c r="P112" i="26"/>
  <c r="V72" i="27"/>
  <c r="O72" i="26"/>
  <c r="N212" i="25"/>
  <c r="R72" i="19"/>
  <c r="Y72" i="29"/>
  <c r="S136" i="19"/>
  <c r="S88" i="12" s="1"/>
  <c r="AC153" i="29"/>
  <c r="AC156" i="29" s="1"/>
  <c r="AC159" i="29" s="1"/>
  <c r="AE132" i="27"/>
  <c r="AE135" i="27" s="1"/>
  <c r="AE108" i="27"/>
  <c r="AE157" i="27"/>
  <c r="AF132" i="27"/>
  <c r="AF135" i="27" s="1"/>
  <c r="AF108" i="27"/>
  <c r="AF111" i="27" s="1"/>
  <c r="AD71" i="29"/>
  <c r="P136" i="26"/>
  <c r="P91" i="12" s="1"/>
  <c r="AB160" i="29"/>
  <c r="AB185" i="26"/>
  <c r="AC236" i="25"/>
  <c r="W136" i="27"/>
  <c r="W92" i="12" s="1"/>
  <c r="Z136" i="29"/>
  <c r="Z93" i="12" s="1"/>
  <c r="AD233" i="26"/>
  <c r="AB133" i="29"/>
  <c r="AB109" i="29"/>
  <c r="AC132" i="29"/>
  <c r="AC135" i="29" s="1"/>
  <c r="AB109" i="19"/>
  <c r="AB157" i="19"/>
  <c r="AC108" i="29"/>
  <c r="AC111" i="29" s="1"/>
  <c r="AC132" i="19"/>
  <c r="AC135" i="19" s="1"/>
  <c r="AD154" i="29"/>
  <c r="AE88" i="29"/>
  <c r="AD130" i="29"/>
  <c r="AD106" i="29"/>
  <c r="AC108" i="19"/>
  <c r="AC111" i="19" s="1"/>
  <c r="AB160" i="25"/>
  <c r="AB157" i="29"/>
  <c r="AC156" i="19"/>
  <c r="AC159" i="19" s="1"/>
  <c r="AB133" i="19"/>
  <c r="AB109" i="26"/>
  <c r="AD230" i="26"/>
  <c r="AF226" i="26"/>
  <c r="AD157" i="26"/>
  <c r="AE153" i="26"/>
  <c r="AE156" i="26" s="1"/>
  <c r="AE159" i="26" s="1"/>
  <c r="AE229" i="26"/>
  <c r="AE232" i="26" s="1"/>
  <c r="AD178" i="26"/>
  <c r="AB182" i="26"/>
  <c r="AC105" i="26"/>
  <c r="AC108" i="26" s="1"/>
  <c r="AC111" i="26" s="1"/>
  <c r="AC181" i="26"/>
  <c r="AC184" i="26" s="1"/>
  <c r="AD232" i="25"/>
  <c r="AD235" i="25" s="1"/>
  <c r="AD156" i="25"/>
  <c r="AE229" i="25"/>
  <c r="AC159" i="25"/>
  <c r="AC162" i="25" s="1"/>
  <c r="AC233" i="25"/>
  <c r="W306" i="25"/>
  <c r="X282" i="25"/>
  <c r="X258" i="25"/>
  <c r="AB112" i="29" l="1"/>
  <c r="AB81" i="12" s="1"/>
  <c r="AA73" i="29"/>
  <c r="P73" i="26"/>
  <c r="P79" i="12"/>
  <c r="Z160" i="28"/>
  <c r="Z73" i="28" s="1"/>
  <c r="Y101" i="12"/>
  <c r="P102" i="12"/>
  <c r="P109" i="12" s="1"/>
  <c r="Y72" i="28"/>
  <c r="Z112" i="27"/>
  <c r="Z80" i="12" s="1"/>
  <c r="AB105" i="12"/>
  <c r="T100" i="12"/>
  <c r="T73" i="19"/>
  <c r="N76" i="25"/>
  <c r="W104" i="12"/>
  <c r="W73" i="27"/>
  <c r="S160" i="26"/>
  <c r="S103" i="12" s="1"/>
  <c r="X160" i="27"/>
  <c r="V77" i="12"/>
  <c r="Z89" i="12"/>
  <c r="Y89" i="12"/>
  <c r="Q160" i="48"/>
  <c r="P73" i="48"/>
  <c r="P72" i="48"/>
  <c r="Q112" i="48"/>
  <c r="O163" i="25"/>
  <c r="O139" i="25"/>
  <c r="O90" i="12" s="1"/>
  <c r="O97" i="12" s="1"/>
  <c r="U160" i="19"/>
  <c r="N75" i="25"/>
  <c r="N78" i="12"/>
  <c r="N85" i="12" s="1"/>
  <c r="T76" i="12"/>
  <c r="U112" i="19"/>
  <c r="M72" i="12"/>
  <c r="O115" i="25"/>
  <c r="O78" i="12" s="1"/>
  <c r="Q112" i="26"/>
  <c r="W72" i="27"/>
  <c r="P72" i="26"/>
  <c r="O212" i="25"/>
  <c r="S72" i="19"/>
  <c r="Z72" i="29"/>
  <c r="T136" i="19"/>
  <c r="T88" i="12" s="1"/>
  <c r="AD153" i="29"/>
  <c r="AD156" i="29" s="1"/>
  <c r="AD159" i="29" s="1"/>
  <c r="AE133" i="27"/>
  <c r="AF133" i="27" s="1"/>
  <c r="AF156" i="27"/>
  <c r="AF159" i="27" s="1"/>
  <c r="AG108" i="27"/>
  <c r="AG111" i="27" s="1"/>
  <c r="AG156" i="27"/>
  <c r="AG159" i="27" s="1"/>
  <c r="AG132" i="27"/>
  <c r="AG135" i="27" s="1"/>
  <c r="AE111" i="27"/>
  <c r="AE109" i="27"/>
  <c r="AF109" i="27" s="1"/>
  <c r="AE71" i="29"/>
  <c r="AD108" i="29"/>
  <c r="AD111" i="29" s="1"/>
  <c r="Q136" i="26"/>
  <c r="Q91" i="12" s="1"/>
  <c r="AC160" i="29"/>
  <c r="AC185" i="26"/>
  <c r="AD236" i="25"/>
  <c r="AC133" i="29"/>
  <c r="X136" i="27"/>
  <c r="X92" i="12" s="1"/>
  <c r="AA136" i="29"/>
  <c r="AA93" i="12" s="1"/>
  <c r="AE233" i="26"/>
  <c r="AC109" i="29"/>
  <c r="AC157" i="29"/>
  <c r="AD132" i="29"/>
  <c r="AD135" i="29" s="1"/>
  <c r="AC109" i="19"/>
  <c r="AD156" i="19"/>
  <c r="AD159" i="19" s="1"/>
  <c r="AD108" i="19"/>
  <c r="AD111" i="19" s="1"/>
  <c r="AD132" i="19"/>
  <c r="AD135" i="19" s="1"/>
  <c r="AC133" i="19"/>
  <c r="AC157" i="19"/>
  <c r="AE154" i="29"/>
  <c r="AF88" i="29"/>
  <c r="AE106" i="29"/>
  <c r="AE130" i="29"/>
  <c r="AC109" i="26"/>
  <c r="AG226" i="26"/>
  <c r="AE157" i="26"/>
  <c r="AE230" i="26"/>
  <c r="AF153" i="26"/>
  <c r="AF156" i="26" s="1"/>
  <c r="AF159" i="26" s="1"/>
  <c r="AF229" i="26"/>
  <c r="AF232" i="26" s="1"/>
  <c r="AD181" i="26"/>
  <c r="AD184" i="26" s="1"/>
  <c r="AD105" i="26"/>
  <c r="AD108" i="26" s="1"/>
  <c r="AD111" i="26" s="1"/>
  <c r="AE178" i="26"/>
  <c r="AC182" i="26"/>
  <c r="AD233" i="25"/>
  <c r="AF229" i="25"/>
  <c r="AC160" i="25"/>
  <c r="AD159" i="25"/>
  <c r="AD162" i="25" s="1"/>
  <c r="AE232" i="25"/>
  <c r="AE235" i="25" s="1"/>
  <c r="AE156" i="25"/>
  <c r="X306" i="25"/>
  <c r="Y258" i="25"/>
  <c r="Y282" i="25"/>
  <c r="AC112" i="29" l="1"/>
  <c r="AC81" i="12" s="1"/>
  <c r="AB73" i="29"/>
  <c r="AA160" i="28"/>
  <c r="AA73" i="28" s="1"/>
  <c r="Z101" i="12"/>
  <c r="Q73" i="26"/>
  <c r="Q79" i="12"/>
  <c r="Q102" i="12"/>
  <c r="Q109" i="12" s="1"/>
  <c r="Z72" i="28"/>
  <c r="AA112" i="27"/>
  <c r="AA80" i="12" s="1"/>
  <c r="AC105" i="12"/>
  <c r="U100" i="12"/>
  <c r="U73" i="19"/>
  <c r="O76" i="25"/>
  <c r="X104" i="12"/>
  <c r="X73" i="27"/>
  <c r="Y160" i="27"/>
  <c r="T160" i="26"/>
  <c r="T103" i="12" s="1"/>
  <c r="AA89" i="12"/>
  <c r="W77" i="12"/>
  <c r="N72" i="12"/>
  <c r="N73" i="12"/>
  <c r="R112" i="48"/>
  <c r="Q72" i="48"/>
  <c r="R160" i="48"/>
  <c r="Q73" i="48"/>
  <c r="P139" i="25"/>
  <c r="P90" i="12" s="1"/>
  <c r="P97" i="12" s="1"/>
  <c r="O75" i="25"/>
  <c r="P163" i="25"/>
  <c r="V160" i="19"/>
  <c r="U76" i="12"/>
  <c r="V112" i="19"/>
  <c r="P115" i="25"/>
  <c r="P78" i="12" s="1"/>
  <c r="O85" i="12"/>
  <c r="R112" i="26"/>
  <c r="X72" i="27"/>
  <c r="Q72" i="26"/>
  <c r="P212" i="25"/>
  <c r="AA72" i="29"/>
  <c r="T72" i="19"/>
  <c r="U136" i="19"/>
  <c r="U88" i="12" s="1"/>
  <c r="AE153" i="29"/>
  <c r="AE156" i="29" s="1"/>
  <c r="AE159" i="29" s="1"/>
  <c r="AG109" i="27"/>
  <c r="AH156" i="27"/>
  <c r="AH159" i="27" s="1"/>
  <c r="AH108" i="27"/>
  <c r="AH111" i="27" s="1"/>
  <c r="AH132" i="27"/>
  <c r="AH135" i="27" s="1"/>
  <c r="AF157" i="27"/>
  <c r="AG157" i="27" s="1"/>
  <c r="AG133" i="27"/>
  <c r="AF71" i="29"/>
  <c r="R136" i="26"/>
  <c r="R91" i="12" s="1"/>
  <c r="AD160" i="29"/>
  <c r="AD185" i="26"/>
  <c r="AD133" i="29"/>
  <c r="AE236" i="25"/>
  <c r="AF233" i="26"/>
  <c r="Y136" i="27"/>
  <c r="Y92" i="12" s="1"/>
  <c r="AB136" i="29"/>
  <c r="AB93" i="12" s="1"/>
  <c r="AE132" i="29"/>
  <c r="AE135" i="29" s="1"/>
  <c r="AE108" i="29"/>
  <c r="AE111" i="29" s="1"/>
  <c r="AD157" i="29"/>
  <c r="AD109" i="29"/>
  <c r="AF154" i="29"/>
  <c r="AG88" i="29"/>
  <c r="AF130" i="29"/>
  <c r="AF106" i="29"/>
  <c r="AD109" i="19"/>
  <c r="AE108" i="19"/>
  <c r="AE111" i="19" s="1"/>
  <c r="AD157" i="19"/>
  <c r="AD133" i="19"/>
  <c r="AE156" i="19"/>
  <c r="AE159" i="19" s="1"/>
  <c r="AE132" i="19"/>
  <c r="AE135" i="19" s="1"/>
  <c r="AF230" i="26"/>
  <c r="AH226" i="26"/>
  <c r="AF157" i="26"/>
  <c r="AG153" i="26"/>
  <c r="AG156" i="26" s="1"/>
  <c r="AG159" i="26" s="1"/>
  <c r="AG229" i="26"/>
  <c r="AG232" i="26" s="1"/>
  <c r="AD182" i="26"/>
  <c r="AE105" i="26"/>
  <c r="AE108" i="26" s="1"/>
  <c r="AE111" i="26" s="1"/>
  <c r="AE181" i="26"/>
  <c r="AE184" i="26" s="1"/>
  <c r="AF178" i="26"/>
  <c r="AD109" i="26"/>
  <c r="AG229" i="25"/>
  <c r="AE159" i="25"/>
  <c r="AE162" i="25" s="1"/>
  <c r="AD160" i="25"/>
  <c r="AE233" i="25"/>
  <c r="AF232" i="25"/>
  <c r="AF235" i="25" s="1"/>
  <c r="AF156" i="25"/>
  <c r="Y306" i="25"/>
  <c r="Z282" i="25"/>
  <c r="Z258" i="25"/>
  <c r="AC73" i="29" l="1"/>
  <c r="AD112" i="29"/>
  <c r="AD81" i="12" s="1"/>
  <c r="R73" i="26"/>
  <c r="R79" i="12"/>
  <c r="AB160" i="28"/>
  <c r="AB73" i="28" s="1"/>
  <c r="AA101" i="12"/>
  <c r="R102" i="12"/>
  <c r="R109" i="12" s="1"/>
  <c r="AB112" i="27"/>
  <c r="AB80" i="12" s="1"/>
  <c r="AA72" i="28"/>
  <c r="AD105" i="12"/>
  <c r="V100" i="12"/>
  <c r="V73" i="19"/>
  <c r="P76" i="25"/>
  <c r="Y104" i="12"/>
  <c r="Y73" i="27"/>
  <c r="U160" i="26"/>
  <c r="U103" i="12" s="1"/>
  <c r="Z160" i="27"/>
  <c r="AB89" i="12"/>
  <c r="X77" i="12"/>
  <c r="O72" i="12"/>
  <c r="O73" i="12"/>
  <c r="Q139" i="25"/>
  <c r="Q90" i="12" s="1"/>
  <c r="Q97" i="12" s="1"/>
  <c r="S112" i="48"/>
  <c r="R72" i="48"/>
  <c r="S160" i="48"/>
  <c r="R73" i="48"/>
  <c r="P75" i="25"/>
  <c r="Q163" i="25"/>
  <c r="W160" i="19"/>
  <c r="V76" i="12"/>
  <c r="W112" i="19"/>
  <c r="Q115" i="25"/>
  <c r="P85" i="12"/>
  <c r="S112" i="26"/>
  <c r="Y72" i="27"/>
  <c r="R72" i="26"/>
  <c r="Q212" i="25"/>
  <c r="AB72" i="29"/>
  <c r="U72" i="19"/>
  <c r="V136" i="19"/>
  <c r="V88" i="12" s="1"/>
  <c r="AF153" i="29"/>
  <c r="AF156" i="29" s="1"/>
  <c r="AF159" i="29" s="1"/>
  <c r="AH109" i="27"/>
  <c r="AH133" i="27"/>
  <c r="AH157" i="27"/>
  <c r="AG71" i="29"/>
  <c r="AE160" i="29"/>
  <c r="S136" i="26"/>
  <c r="S91" i="12" s="1"/>
  <c r="AE185" i="26"/>
  <c r="AF236" i="25"/>
  <c r="AG233" i="26"/>
  <c r="Z136" i="27"/>
  <c r="Z92" i="12" s="1"/>
  <c r="AC136" i="29"/>
  <c r="AC93" i="12" s="1"/>
  <c r="AE109" i="29"/>
  <c r="AE133" i="29"/>
  <c r="AF132" i="29"/>
  <c r="AF135" i="29" s="1"/>
  <c r="AE157" i="29"/>
  <c r="AE133" i="19"/>
  <c r="AF132" i="19"/>
  <c r="AF135" i="19" s="1"/>
  <c r="AE157" i="19"/>
  <c r="AF108" i="29"/>
  <c r="AF111" i="29" s="1"/>
  <c r="AF108" i="19"/>
  <c r="AF111" i="19" s="1"/>
  <c r="AG154" i="29"/>
  <c r="AH88" i="29"/>
  <c r="AG106" i="29"/>
  <c r="AG130" i="29"/>
  <c r="AE109" i="19"/>
  <c r="AF156" i="19"/>
  <c r="AF159" i="19" s="1"/>
  <c r="AE109" i="26"/>
  <c r="AG230" i="26"/>
  <c r="AI226" i="26"/>
  <c r="AG157" i="26"/>
  <c r="AH153" i="26"/>
  <c r="AH156" i="26" s="1"/>
  <c r="AH159" i="26" s="1"/>
  <c r="AH229" i="26"/>
  <c r="AH232" i="26" s="1"/>
  <c r="AE182" i="26"/>
  <c r="AF105" i="26"/>
  <c r="AF108" i="26" s="1"/>
  <c r="AF111" i="26" s="1"/>
  <c r="AF181" i="26"/>
  <c r="AF184" i="26" s="1"/>
  <c r="AG178" i="26"/>
  <c r="AE160" i="25"/>
  <c r="AF159" i="25"/>
  <c r="AF162" i="25" s="1"/>
  <c r="AG232" i="25"/>
  <c r="AG235" i="25" s="1"/>
  <c r="AG156" i="25"/>
  <c r="AF233" i="25"/>
  <c r="AH229" i="25"/>
  <c r="Z306" i="25"/>
  <c r="AA258" i="25"/>
  <c r="AA282" i="25"/>
  <c r="AD73" i="29" l="1"/>
  <c r="AE112" i="29"/>
  <c r="AE81" i="12" s="1"/>
  <c r="AB101" i="12"/>
  <c r="AC160" i="28"/>
  <c r="AC73" i="28" s="1"/>
  <c r="S73" i="26"/>
  <c r="S79" i="12"/>
  <c r="S102" i="12"/>
  <c r="S109" i="12" s="1"/>
  <c r="AC112" i="27"/>
  <c r="AC80" i="12" s="1"/>
  <c r="AB72" i="28"/>
  <c r="AE105" i="12"/>
  <c r="W100" i="12"/>
  <c r="W73" i="19"/>
  <c r="Q76" i="25"/>
  <c r="Z104" i="12"/>
  <c r="Z73" i="27"/>
  <c r="AA160" i="27"/>
  <c r="V160" i="26"/>
  <c r="V103" i="12" s="1"/>
  <c r="AC89" i="12"/>
  <c r="Y77" i="12"/>
  <c r="P72" i="12"/>
  <c r="P73" i="12"/>
  <c r="R139" i="25"/>
  <c r="R90" i="12" s="1"/>
  <c r="R97" i="12" s="1"/>
  <c r="S73" i="48"/>
  <c r="T160" i="48"/>
  <c r="S72" i="48"/>
  <c r="T112" i="48"/>
  <c r="R163" i="25"/>
  <c r="X160" i="19"/>
  <c r="Q75" i="25"/>
  <c r="Q78" i="12"/>
  <c r="Q85" i="12" s="1"/>
  <c r="W76" i="12"/>
  <c r="X112" i="19"/>
  <c r="R115" i="25"/>
  <c r="R78" i="12" s="1"/>
  <c r="T112" i="26"/>
  <c r="Z72" i="27"/>
  <c r="S72" i="26"/>
  <c r="R212" i="25"/>
  <c r="V72" i="19"/>
  <c r="AC72" i="29"/>
  <c r="W136" i="19"/>
  <c r="W88" i="12" s="1"/>
  <c r="AG153" i="29"/>
  <c r="AG156" i="29" s="1"/>
  <c r="AG159" i="29" s="1"/>
  <c r="AI132" i="27"/>
  <c r="AI135" i="27" s="1"/>
  <c r="AI108" i="27"/>
  <c r="AI156" i="27"/>
  <c r="AI159" i="27" s="1"/>
  <c r="AJ159" i="27"/>
  <c r="AJ132" i="27"/>
  <c r="AJ135" i="27" s="1"/>
  <c r="AJ108" i="27"/>
  <c r="AJ111" i="27" s="1"/>
  <c r="AH71" i="29"/>
  <c r="AF160" i="29"/>
  <c r="T136" i="26"/>
  <c r="T91" i="12" s="1"/>
  <c r="AF185" i="26"/>
  <c r="AG236" i="25"/>
  <c r="AH233" i="26"/>
  <c r="AA136" i="27"/>
  <c r="AA92" i="12" s="1"/>
  <c r="AD136" i="29"/>
  <c r="AD93" i="12" s="1"/>
  <c r="AF133" i="29"/>
  <c r="AF157" i="29"/>
  <c r="AG108" i="29"/>
  <c r="AG111" i="29" s="1"/>
  <c r="AF109" i="19"/>
  <c r="AG156" i="19"/>
  <c r="AG159" i="19" s="1"/>
  <c r="AG132" i="19"/>
  <c r="AG135" i="19" s="1"/>
  <c r="AH154" i="29"/>
  <c r="AI88" i="29"/>
  <c r="AH130" i="29"/>
  <c r="AH106" i="29"/>
  <c r="AF157" i="19"/>
  <c r="AF133" i="19"/>
  <c r="AF109" i="29"/>
  <c r="AG108" i="19"/>
  <c r="AG111" i="19" s="1"/>
  <c r="AG132" i="29"/>
  <c r="AG233" i="25"/>
  <c r="AF109" i="26"/>
  <c r="AF182" i="26"/>
  <c r="AH230" i="26"/>
  <c r="AH157" i="26"/>
  <c r="AI153" i="26"/>
  <c r="AI156" i="26" s="1"/>
  <c r="AI159" i="26" s="1"/>
  <c r="AI229" i="26"/>
  <c r="AI232" i="26" s="1"/>
  <c r="AG105" i="26"/>
  <c r="AG108" i="26" s="1"/>
  <c r="AG111" i="26" s="1"/>
  <c r="AG181" i="26"/>
  <c r="AG184" i="26" s="1"/>
  <c r="AH178" i="26"/>
  <c r="AF160" i="25"/>
  <c r="AH232" i="25"/>
  <c r="AH235" i="25" s="1"/>
  <c r="AH156" i="25"/>
  <c r="AG159" i="25"/>
  <c r="AG162" i="25" s="1"/>
  <c r="AI229" i="25"/>
  <c r="AA306" i="25"/>
  <c r="AB282" i="25"/>
  <c r="AB258" i="25"/>
  <c r="AF112" i="29" l="1"/>
  <c r="AF81" i="12" s="1"/>
  <c r="AE73" i="29"/>
  <c r="T73" i="26"/>
  <c r="T79" i="12"/>
  <c r="AD160" i="28"/>
  <c r="AD73" i="28" s="1"/>
  <c r="AC101" i="12"/>
  <c r="T102" i="12"/>
  <c r="T109" i="12" s="1"/>
  <c r="AD112" i="27"/>
  <c r="AD80" i="12" s="1"/>
  <c r="AC72" i="28"/>
  <c r="AF105" i="12"/>
  <c r="X100" i="12"/>
  <c r="X73" i="19"/>
  <c r="R76" i="25"/>
  <c r="AA104" i="12"/>
  <c r="AA73" i="27"/>
  <c r="W160" i="26"/>
  <c r="W103" i="12" s="1"/>
  <c r="AB160" i="27"/>
  <c r="AD89" i="12"/>
  <c r="Z77" i="12"/>
  <c r="Q72" i="12"/>
  <c r="Q73" i="12"/>
  <c r="S139" i="25"/>
  <c r="S90" i="12" s="1"/>
  <c r="S97" i="12" s="1"/>
  <c r="U112" i="48"/>
  <c r="T72" i="48"/>
  <c r="U160" i="48"/>
  <c r="T73" i="48"/>
  <c r="R75" i="25"/>
  <c r="S163" i="25"/>
  <c r="Y160" i="19"/>
  <c r="X76" i="12"/>
  <c r="Y112" i="19"/>
  <c r="S115" i="25"/>
  <c r="S78" i="12" s="1"/>
  <c r="R85" i="12"/>
  <c r="U112" i="26"/>
  <c r="AA72" i="27"/>
  <c r="T72" i="26"/>
  <c r="S212" i="25"/>
  <c r="W72" i="19"/>
  <c r="AD72" i="29"/>
  <c r="X136" i="19"/>
  <c r="X88" i="12" s="1"/>
  <c r="AI157" i="27"/>
  <c r="AJ157" i="27" s="1"/>
  <c r="AH153" i="29"/>
  <c r="AH156" i="29" s="1"/>
  <c r="AH159" i="29" s="1"/>
  <c r="AI133" i="27"/>
  <c r="AJ133" i="27" s="1"/>
  <c r="AI111" i="27"/>
  <c r="AI109" i="27"/>
  <c r="AJ109" i="27" s="1"/>
  <c r="AI71" i="29"/>
  <c r="AH108" i="29"/>
  <c r="AH111" i="29" s="1"/>
  <c r="AG160" i="29"/>
  <c r="U136" i="26"/>
  <c r="U91" i="12" s="1"/>
  <c r="AI233" i="26"/>
  <c r="AH236" i="25"/>
  <c r="AG185" i="26"/>
  <c r="AB136" i="27"/>
  <c r="AB92" i="12" s="1"/>
  <c r="AE136" i="29"/>
  <c r="AE93" i="12" s="1"/>
  <c r="AG157" i="29"/>
  <c r="AG109" i="29"/>
  <c r="AG109" i="19"/>
  <c r="AG157" i="19"/>
  <c r="AH132" i="19"/>
  <c r="AH135" i="19" s="1"/>
  <c r="AI154" i="29"/>
  <c r="AJ88" i="29"/>
  <c r="AI130" i="29"/>
  <c r="AI106" i="29"/>
  <c r="AH156" i="19"/>
  <c r="AH159" i="19" s="1"/>
  <c r="AH132" i="29"/>
  <c r="AH135" i="29" s="1"/>
  <c r="AG135" i="29"/>
  <c r="AG133" i="29"/>
  <c r="AG133" i="19"/>
  <c r="AH108" i="19"/>
  <c r="AH111" i="19" s="1"/>
  <c r="AJ153" i="26"/>
  <c r="AJ156" i="26" s="1"/>
  <c r="AJ232" i="26"/>
  <c r="AI157" i="26"/>
  <c r="AI230" i="26"/>
  <c r="AJ230" i="26" s="1"/>
  <c r="AG109" i="26"/>
  <c r="AG182" i="26"/>
  <c r="AH105" i="26"/>
  <c r="AH108" i="26" s="1"/>
  <c r="AH111" i="26" s="1"/>
  <c r="AH181" i="26"/>
  <c r="AH184" i="26" s="1"/>
  <c r="AI178" i="26"/>
  <c r="AG160" i="25"/>
  <c r="AH233" i="25"/>
  <c r="AH159" i="25"/>
  <c r="AH162" i="25" s="1"/>
  <c r="AI232" i="25"/>
  <c r="AI235" i="25" s="1"/>
  <c r="AI156" i="25"/>
  <c r="AJ156" i="25"/>
  <c r="AB306" i="25"/>
  <c r="AC258" i="25"/>
  <c r="AC282" i="25"/>
  <c r="AG112" i="29" l="1"/>
  <c r="AG81" i="12" s="1"/>
  <c r="AF73" i="29"/>
  <c r="AE160" i="28"/>
  <c r="AE73" i="28" s="1"/>
  <c r="AD101" i="12"/>
  <c r="U73" i="26"/>
  <c r="U79" i="12"/>
  <c r="AE112" i="27"/>
  <c r="AE80" i="12" s="1"/>
  <c r="U102" i="12"/>
  <c r="U109" i="12" s="1"/>
  <c r="AJ159" i="26"/>
  <c r="AJ157" i="26"/>
  <c r="AD72" i="28"/>
  <c r="AG105" i="12"/>
  <c r="Y100" i="12"/>
  <c r="Y73" i="19"/>
  <c r="S76" i="25"/>
  <c r="AB104" i="12"/>
  <c r="AB73" i="27"/>
  <c r="AC160" i="27"/>
  <c r="X160" i="26"/>
  <c r="X103" i="12" s="1"/>
  <c r="AE89" i="12"/>
  <c r="AA77" i="12"/>
  <c r="R72" i="12"/>
  <c r="R73" i="12"/>
  <c r="S75" i="25"/>
  <c r="T139" i="25"/>
  <c r="T90" i="12" s="1"/>
  <c r="T97" i="12" s="1"/>
  <c r="V112" i="48"/>
  <c r="U72" i="48"/>
  <c r="V160" i="48"/>
  <c r="U73" i="48"/>
  <c r="T163" i="25"/>
  <c r="Z160" i="19"/>
  <c r="Y76" i="12"/>
  <c r="Z112" i="19"/>
  <c r="T115" i="25"/>
  <c r="T78" i="12" s="1"/>
  <c r="S85" i="12"/>
  <c r="V112" i="26"/>
  <c r="AB72" i="27"/>
  <c r="U72" i="26"/>
  <c r="T212" i="25"/>
  <c r="AE72" i="29"/>
  <c r="X72" i="19"/>
  <c r="Y136" i="19"/>
  <c r="Y88" i="12" s="1"/>
  <c r="AJ153" i="29"/>
  <c r="AI153" i="29"/>
  <c r="AI156" i="29" s="1"/>
  <c r="AI159" i="29" s="1"/>
  <c r="AJ71" i="29"/>
  <c r="AI108" i="29"/>
  <c r="AI111" i="29" s="1"/>
  <c r="AH160" i="29"/>
  <c r="V136" i="26"/>
  <c r="V91" i="12" s="1"/>
  <c r="AI236" i="25"/>
  <c r="AJ236" i="25" s="1"/>
  <c r="AJ233" i="26"/>
  <c r="AH185" i="26"/>
  <c r="AC136" i="27"/>
  <c r="AC92" i="12" s="1"/>
  <c r="AF136" i="29"/>
  <c r="AF93" i="12" s="1"/>
  <c r="AH109" i="29"/>
  <c r="AH157" i="29"/>
  <c r="AH133" i="29"/>
  <c r="AH133" i="19"/>
  <c r="AH109" i="19"/>
  <c r="AI132" i="29"/>
  <c r="AI135" i="29" s="1"/>
  <c r="AI108" i="19"/>
  <c r="AI111" i="19" s="1"/>
  <c r="AI156" i="19"/>
  <c r="AI159" i="19" s="1"/>
  <c r="AJ154" i="29"/>
  <c r="AJ106" i="29"/>
  <c r="AJ130" i="29"/>
  <c r="AI132" i="19"/>
  <c r="AI135" i="19" s="1"/>
  <c r="AH157" i="19"/>
  <c r="AH109" i="26"/>
  <c r="AI105" i="26"/>
  <c r="AI108" i="26" s="1"/>
  <c r="AI111" i="26" s="1"/>
  <c r="AI181" i="26"/>
  <c r="AI184" i="26" s="1"/>
  <c r="AH182" i="26"/>
  <c r="AH160" i="25"/>
  <c r="AI233" i="25"/>
  <c r="AI159" i="25"/>
  <c r="AI162" i="25" s="1"/>
  <c r="AC306" i="25"/>
  <c r="AD282" i="25"/>
  <c r="AD258" i="25"/>
  <c r="AG73" i="29" l="1"/>
  <c r="AH112" i="29"/>
  <c r="AH81" i="12" s="1"/>
  <c r="AF112" i="27"/>
  <c r="AF80" i="12" s="1"/>
  <c r="V73" i="26"/>
  <c r="V79" i="12"/>
  <c r="AF160" i="28"/>
  <c r="AF73" i="28" s="1"/>
  <c r="AE101" i="12"/>
  <c r="V102" i="12"/>
  <c r="V109" i="12" s="1"/>
  <c r="AE72" i="28"/>
  <c r="AH105" i="12"/>
  <c r="Z100" i="12"/>
  <c r="Z73" i="19"/>
  <c r="T76" i="25"/>
  <c r="AC104" i="12"/>
  <c r="AC73" i="27"/>
  <c r="AF89" i="12"/>
  <c r="Y160" i="26"/>
  <c r="Y103" i="12" s="1"/>
  <c r="AD160" i="27"/>
  <c r="AB77" i="12"/>
  <c r="U139" i="25"/>
  <c r="U90" i="12" s="1"/>
  <c r="U97" i="12" s="1"/>
  <c r="S72" i="12"/>
  <c r="S73" i="12"/>
  <c r="T75" i="25"/>
  <c r="W112" i="48"/>
  <c r="V72" i="48"/>
  <c r="W160" i="48"/>
  <c r="V73" i="48"/>
  <c r="U163" i="25"/>
  <c r="AA160" i="19"/>
  <c r="Z76" i="12"/>
  <c r="AA112" i="19"/>
  <c r="U115" i="25"/>
  <c r="T85" i="12"/>
  <c r="W112" i="26"/>
  <c r="AC72" i="27"/>
  <c r="V72" i="26"/>
  <c r="U212" i="25"/>
  <c r="AF72" i="29"/>
  <c r="Y72" i="19"/>
  <c r="Z136" i="19"/>
  <c r="Z88" i="12" s="1"/>
  <c r="AI160" i="29"/>
  <c r="W136" i="26"/>
  <c r="W91" i="12" s="1"/>
  <c r="AI185" i="26"/>
  <c r="AG89" i="12"/>
  <c r="AD136" i="27"/>
  <c r="AD92" i="12" s="1"/>
  <c r="AG136" i="29"/>
  <c r="AG93" i="12" s="1"/>
  <c r="AI109" i="29"/>
  <c r="AI157" i="29"/>
  <c r="AJ132" i="29"/>
  <c r="AJ135" i="29" s="1"/>
  <c r="AI157" i="19"/>
  <c r="AI133" i="19"/>
  <c r="AJ132" i="19"/>
  <c r="AJ135" i="19" s="1"/>
  <c r="AI109" i="19"/>
  <c r="AI133" i="29"/>
  <c r="AJ108" i="29"/>
  <c r="AJ111" i="29" s="1"/>
  <c r="AJ108" i="19"/>
  <c r="AJ111" i="19" s="1"/>
  <c r="AJ156" i="29"/>
  <c r="AJ159" i="29" s="1"/>
  <c r="AJ156" i="19"/>
  <c r="AJ159" i="19" s="1"/>
  <c r="AI182" i="26"/>
  <c r="AJ182" i="26" s="1"/>
  <c r="AI109" i="26"/>
  <c r="AJ184" i="26"/>
  <c r="AJ108" i="26"/>
  <c r="AJ111" i="26" s="1"/>
  <c r="AJ233" i="25"/>
  <c r="AJ159" i="25"/>
  <c r="AJ162" i="25" s="1"/>
  <c r="AI160" i="25"/>
  <c r="AD306" i="25"/>
  <c r="AE258" i="25"/>
  <c r="AE282" i="25"/>
  <c r="AI112" i="29" l="1"/>
  <c r="AI81" i="12" s="1"/>
  <c r="AH73" i="29"/>
  <c r="AG112" i="27"/>
  <c r="AG80" i="12" s="1"/>
  <c r="AG160" i="28"/>
  <c r="AG73" i="28" s="1"/>
  <c r="AF101" i="12"/>
  <c r="W73" i="26"/>
  <c r="W79" i="12"/>
  <c r="W102" i="12"/>
  <c r="W109" i="12" s="1"/>
  <c r="AJ160" i="25"/>
  <c r="AF72" i="28"/>
  <c r="AI105" i="12"/>
  <c r="AA100" i="12"/>
  <c r="AA73" i="19"/>
  <c r="U76" i="25"/>
  <c r="AD104" i="12"/>
  <c r="AD73" i="27"/>
  <c r="AE160" i="27"/>
  <c r="Z160" i="26"/>
  <c r="Z103" i="12" s="1"/>
  <c r="V139" i="25"/>
  <c r="V90" i="12" s="1"/>
  <c r="V97" i="12" s="1"/>
  <c r="AC77" i="12"/>
  <c r="T72" i="12"/>
  <c r="T73" i="12"/>
  <c r="W72" i="48"/>
  <c r="X112" i="48"/>
  <c r="W73" i="48"/>
  <c r="X160" i="48"/>
  <c r="V163" i="25"/>
  <c r="AB160" i="19"/>
  <c r="U75" i="25"/>
  <c r="U78" i="12"/>
  <c r="U85" i="12" s="1"/>
  <c r="AA76" i="12"/>
  <c r="AB112" i="19"/>
  <c r="V115" i="25"/>
  <c r="V78" i="12" s="1"/>
  <c r="X112" i="26"/>
  <c r="AD72" i="27"/>
  <c r="W72" i="26"/>
  <c r="V212" i="25"/>
  <c r="AG72" i="29"/>
  <c r="Z72" i="19"/>
  <c r="AA136" i="19"/>
  <c r="AA88" i="12" s="1"/>
  <c r="AJ160" i="29"/>
  <c r="N37" i="42" s="1"/>
  <c r="X136" i="26"/>
  <c r="X91" i="12" s="1"/>
  <c r="AJ185" i="26"/>
  <c r="AH89" i="12"/>
  <c r="AE136" i="27"/>
  <c r="AE92" i="12" s="1"/>
  <c r="AH136" i="29"/>
  <c r="AH93" i="12" s="1"/>
  <c r="AJ133" i="29"/>
  <c r="AJ109" i="29"/>
  <c r="AJ133" i="19"/>
  <c r="AJ157" i="19"/>
  <c r="AJ109" i="19"/>
  <c r="AJ157" i="29"/>
  <c r="AJ109" i="26"/>
  <c r="AE306" i="25"/>
  <c r="AF282" i="25"/>
  <c r="AF258" i="25"/>
  <c r="AI73" i="29" l="1"/>
  <c r="AJ112" i="29"/>
  <c r="L37" i="42" s="1"/>
  <c r="AH112" i="27"/>
  <c r="AH80" i="12" s="1"/>
  <c r="X73" i="26"/>
  <c r="X79" i="12"/>
  <c r="AH160" i="28"/>
  <c r="AH73" i="28" s="1"/>
  <c r="AG101" i="12"/>
  <c r="X102" i="12"/>
  <c r="X109" i="12" s="1"/>
  <c r="AG72" i="28"/>
  <c r="AJ105" i="12"/>
  <c r="AB100" i="12"/>
  <c r="AB73" i="19"/>
  <c r="V76" i="25"/>
  <c r="AE104" i="12"/>
  <c r="AE73" i="27"/>
  <c r="AA160" i="26"/>
  <c r="AA103" i="12" s="1"/>
  <c r="AF160" i="27"/>
  <c r="W139" i="25"/>
  <c r="W90" i="12" s="1"/>
  <c r="W97" i="12" s="1"/>
  <c r="AD77" i="12"/>
  <c r="U72" i="12"/>
  <c r="U73" i="12"/>
  <c r="Y160" i="48"/>
  <c r="X73" i="48"/>
  <c r="Y112" i="48"/>
  <c r="X72" i="48"/>
  <c r="AJ81" i="12"/>
  <c r="V75" i="25"/>
  <c r="W163" i="25"/>
  <c r="AC160" i="19"/>
  <c r="AB76" i="12"/>
  <c r="AC112" i="19"/>
  <c r="W115" i="25"/>
  <c r="V85" i="12"/>
  <c r="Y112" i="26"/>
  <c r="AE72" i="27"/>
  <c r="X72" i="26"/>
  <c r="W212" i="25"/>
  <c r="AH72" i="29"/>
  <c r="AA72" i="19"/>
  <c r="AB136" i="19"/>
  <c r="AB88" i="12" s="1"/>
  <c r="Y136" i="26"/>
  <c r="Y91" i="12" s="1"/>
  <c r="AI89" i="12"/>
  <c r="AF136" i="27"/>
  <c r="AF92" i="12" s="1"/>
  <c r="AI136" i="29"/>
  <c r="AI93" i="12" s="1"/>
  <c r="AF306" i="25"/>
  <c r="AG258" i="25"/>
  <c r="AG282" i="25"/>
  <c r="AJ73" i="29" l="1"/>
  <c r="J73" i="29" s="1"/>
  <c r="V43" i="29" s="1"/>
  <c r="N52" i="42" s="1"/>
  <c r="AI112" i="27"/>
  <c r="AI80" i="12" s="1"/>
  <c r="AI160" i="28"/>
  <c r="AI73" i="28" s="1"/>
  <c r="AH101" i="12"/>
  <c r="Y73" i="26"/>
  <c r="Y79" i="12"/>
  <c r="Y102" i="12"/>
  <c r="Y109" i="12" s="1"/>
  <c r="AH72" i="28"/>
  <c r="AC100" i="12"/>
  <c r="AC73" i="19"/>
  <c r="W76" i="25"/>
  <c r="AF104" i="12"/>
  <c r="AF73" i="27"/>
  <c r="AG160" i="27"/>
  <c r="AB160" i="26"/>
  <c r="AB103" i="12" s="1"/>
  <c r="X139" i="25"/>
  <c r="X90" i="12" s="1"/>
  <c r="X97" i="12" s="1"/>
  <c r="AE77" i="12"/>
  <c r="V72" i="12"/>
  <c r="V73" i="12"/>
  <c r="Y72" i="48"/>
  <c r="Z112" i="48"/>
  <c r="Y73" i="48"/>
  <c r="Z160" i="48"/>
  <c r="X163" i="25"/>
  <c r="AD160" i="19"/>
  <c r="W75" i="25"/>
  <c r="W78" i="12"/>
  <c r="W85" i="12" s="1"/>
  <c r="AC76" i="12"/>
  <c r="AD112" i="19"/>
  <c r="X115" i="25"/>
  <c r="Z112" i="26"/>
  <c r="AF72" i="27"/>
  <c r="Y72" i="26"/>
  <c r="X212" i="25"/>
  <c r="AI72" i="29"/>
  <c r="AB72" i="19"/>
  <c r="AC136" i="19"/>
  <c r="AC88" i="12" s="1"/>
  <c r="Z136" i="26"/>
  <c r="Z91" i="12" s="1"/>
  <c r="AG136" i="27"/>
  <c r="AG92" i="12" s="1"/>
  <c r="AJ136" i="29"/>
  <c r="M37" i="42" s="1"/>
  <c r="AG306" i="25"/>
  <c r="AH282" i="25"/>
  <c r="AH258" i="25"/>
  <c r="AJ112" i="27" l="1"/>
  <c r="L36" i="42" s="1"/>
  <c r="Z73" i="26"/>
  <c r="Z79" i="12"/>
  <c r="AJ160" i="28"/>
  <c r="AI101" i="12"/>
  <c r="Z102" i="12"/>
  <c r="Z109" i="12" s="1"/>
  <c r="AI72" i="28"/>
  <c r="X76" i="25"/>
  <c r="AD100" i="12"/>
  <c r="AD73" i="19"/>
  <c r="AG104" i="12"/>
  <c r="AG73" i="27"/>
  <c r="AC160" i="26"/>
  <c r="AC103" i="12" s="1"/>
  <c r="AH160" i="27"/>
  <c r="Y139" i="25"/>
  <c r="Y90" i="12" s="1"/>
  <c r="Y97" i="12" s="1"/>
  <c r="AF77" i="12"/>
  <c r="AJ89" i="12"/>
  <c r="W72" i="12"/>
  <c r="W73" i="12"/>
  <c r="Z72" i="48"/>
  <c r="AA112" i="48"/>
  <c r="Z73" i="48"/>
  <c r="AA160" i="48"/>
  <c r="AJ93" i="12"/>
  <c r="Y163" i="25"/>
  <c r="AE160" i="19"/>
  <c r="AJ80" i="12"/>
  <c r="X75" i="25"/>
  <c r="X78" i="12"/>
  <c r="X85" i="12" s="1"/>
  <c r="AD76" i="12"/>
  <c r="AE112" i="19"/>
  <c r="Y115" i="25"/>
  <c r="AA112" i="26"/>
  <c r="AG72" i="27"/>
  <c r="Z72" i="26"/>
  <c r="Y212" i="25"/>
  <c r="AJ72" i="29"/>
  <c r="J72" i="29" s="1"/>
  <c r="V42" i="29" s="1"/>
  <c r="M52" i="42" s="1"/>
  <c r="AC72" i="19"/>
  <c r="AD136" i="19"/>
  <c r="AD88" i="12" s="1"/>
  <c r="AA136" i="26"/>
  <c r="AA91" i="12" s="1"/>
  <c r="AH136" i="27"/>
  <c r="AH92" i="12" s="1"/>
  <c r="AH306" i="25"/>
  <c r="AI258" i="25"/>
  <c r="AJ258" i="25" s="1"/>
  <c r="AI282" i="25"/>
  <c r="AJ282" i="25" s="1"/>
  <c r="AA73" i="26" l="1"/>
  <c r="AA79" i="12"/>
  <c r="AJ101" i="12"/>
  <c r="N33" i="42"/>
  <c r="AJ73" i="28"/>
  <c r="J73" i="28" s="1"/>
  <c r="AA102" i="12"/>
  <c r="AA109" i="12" s="1"/>
  <c r="J72" i="28"/>
  <c r="AE100" i="12"/>
  <c r="AE73" i="19"/>
  <c r="Y76" i="25"/>
  <c r="AH104" i="12"/>
  <c r="AH73" i="27"/>
  <c r="AD160" i="26"/>
  <c r="AD103" i="12" s="1"/>
  <c r="AI160" i="27"/>
  <c r="Z139" i="25"/>
  <c r="Z90" i="12" s="1"/>
  <c r="Z97" i="12" s="1"/>
  <c r="AG77" i="12"/>
  <c r="X72" i="12"/>
  <c r="X73" i="12"/>
  <c r="AA72" i="48"/>
  <c r="AB112" i="48"/>
  <c r="AB160" i="48"/>
  <c r="AA73" i="48"/>
  <c r="N38" i="12"/>
  <c r="Z163" i="25"/>
  <c r="AF160" i="19"/>
  <c r="AE76" i="12"/>
  <c r="AF112" i="19"/>
  <c r="Y75" i="25"/>
  <c r="Y78" i="12"/>
  <c r="Y85" i="12" s="1"/>
  <c r="Z115" i="25"/>
  <c r="Z78" i="12" s="1"/>
  <c r="AB112" i="26"/>
  <c r="AH72" i="27"/>
  <c r="AA72" i="26"/>
  <c r="Z212" i="25"/>
  <c r="AD72" i="19"/>
  <c r="AE136" i="19"/>
  <c r="AE88" i="12" s="1"/>
  <c r="AB136" i="26"/>
  <c r="AB91" i="12" s="1"/>
  <c r="AI136" i="27"/>
  <c r="AI306" i="25"/>
  <c r="AB73" i="26" l="1"/>
  <c r="AB79" i="12"/>
  <c r="AI92" i="12"/>
  <c r="AJ136" i="27"/>
  <c r="M36" i="42" s="1"/>
  <c r="AB102" i="12"/>
  <c r="AB109" i="12" s="1"/>
  <c r="AF100" i="12"/>
  <c r="AF73" i="19"/>
  <c r="Z76" i="25"/>
  <c r="AI104" i="12"/>
  <c r="AI73" i="27"/>
  <c r="AA139" i="25"/>
  <c r="AA90" i="12" s="1"/>
  <c r="AA97" i="12" s="1"/>
  <c r="AJ160" i="27"/>
  <c r="AE160" i="26"/>
  <c r="AE103" i="12" s="1"/>
  <c r="Z75" i="25"/>
  <c r="AH77" i="12"/>
  <c r="Y72" i="12"/>
  <c r="Y73" i="12"/>
  <c r="AB72" i="48"/>
  <c r="AC112" i="48"/>
  <c r="AB73" i="48"/>
  <c r="AC160" i="48"/>
  <c r="AA163" i="25"/>
  <c r="AG160" i="19"/>
  <c r="AF76" i="12"/>
  <c r="AG112" i="19"/>
  <c r="AA115" i="25"/>
  <c r="Z85" i="12"/>
  <c r="AC112" i="26"/>
  <c r="AI72" i="27"/>
  <c r="AB72" i="26"/>
  <c r="AA212" i="25"/>
  <c r="AE72" i="19"/>
  <c r="AF136" i="19"/>
  <c r="AF88" i="12" s="1"/>
  <c r="AC136" i="26"/>
  <c r="AC91" i="12" s="1"/>
  <c r="AJ306" i="25"/>
  <c r="AC73" i="26" l="1"/>
  <c r="AC79" i="12"/>
  <c r="AJ73" i="27"/>
  <c r="N36" i="42"/>
  <c r="AC102" i="12"/>
  <c r="AC109" i="12" s="1"/>
  <c r="AG100" i="12"/>
  <c r="AG73" i="19"/>
  <c r="AA76" i="25"/>
  <c r="AJ104" i="12"/>
  <c r="AB139" i="25"/>
  <c r="AB90" i="12" s="1"/>
  <c r="AB97" i="12" s="1"/>
  <c r="J73" i="27"/>
  <c r="V43" i="27" s="1"/>
  <c r="N51" i="42" s="1"/>
  <c r="AF160" i="26"/>
  <c r="AF103" i="12" s="1"/>
  <c r="AI77" i="12"/>
  <c r="Z72" i="12"/>
  <c r="Z73" i="12"/>
  <c r="AC72" i="48"/>
  <c r="AD112" i="48"/>
  <c r="AC73" i="48"/>
  <c r="AD160" i="48"/>
  <c r="AB163" i="25"/>
  <c r="AH160" i="19"/>
  <c r="AJ92" i="12"/>
  <c r="AA75" i="25"/>
  <c r="AA78" i="12"/>
  <c r="AA85" i="12" s="1"/>
  <c r="AG76" i="12"/>
  <c r="AH112" i="19"/>
  <c r="AB115" i="25"/>
  <c r="AD112" i="26"/>
  <c r="AC72" i="26"/>
  <c r="AB212" i="25"/>
  <c r="AF72" i="19"/>
  <c r="AG136" i="19"/>
  <c r="AG88" i="12" s="1"/>
  <c r="AD136" i="26"/>
  <c r="AD91" i="12" s="1"/>
  <c r="AJ72" i="27"/>
  <c r="J72" i="27" s="1"/>
  <c r="V42" i="27" s="1"/>
  <c r="M51" i="42" s="1"/>
  <c r="AD73" i="26" l="1"/>
  <c r="AD79" i="12"/>
  <c r="AD102" i="12"/>
  <c r="AD109" i="12" s="1"/>
  <c r="AH100" i="12"/>
  <c r="AH73" i="19"/>
  <c r="AB76" i="25"/>
  <c r="AC139" i="25"/>
  <c r="AC90" i="12" s="1"/>
  <c r="AC97" i="12" s="1"/>
  <c r="AG160" i="26"/>
  <c r="AG103" i="12" s="1"/>
  <c r="AJ77" i="12"/>
  <c r="AA72" i="12"/>
  <c r="AA73" i="12"/>
  <c r="AD72" i="48"/>
  <c r="AE112" i="48"/>
  <c r="AE160" i="48"/>
  <c r="AD73" i="48"/>
  <c r="AC163" i="25"/>
  <c r="V42" i="28"/>
  <c r="M48" i="42" s="1"/>
  <c r="V43" i="28"/>
  <c r="N48" i="42" s="1"/>
  <c r="AI160" i="19"/>
  <c r="N33" i="12"/>
  <c r="AH76" i="12"/>
  <c r="AI112" i="19"/>
  <c r="AB75" i="25"/>
  <c r="AB78" i="12"/>
  <c r="AB85" i="12" s="1"/>
  <c r="AC115" i="25"/>
  <c r="AE112" i="26"/>
  <c r="AD72" i="26"/>
  <c r="AC212" i="25"/>
  <c r="AG72" i="19"/>
  <c r="AH136" i="19"/>
  <c r="AH88" i="12" s="1"/>
  <c r="AE136" i="26"/>
  <c r="AE91" i="12" s="1"/>
  <c r="AE73" i="26" l="1"/>
  <c r="AE79" i="12"/>
  <c r="AE102" i="12"/>
  <c r="AE109" i="12" s="1"/>
  <c r="AI100" i="12"/>
  <c r="AI73" i="19"/>
  <c r="AC76" i="25"/>
  <c r="AD139" i="25"/>
  <c r="AD90" i="12" s="1"/>
  <c r="AD97" i="12" s="1"/>
  <c r="AH160" i="26"/>
  <c r="AH103" i="12" s="1"/>
  <c r="N18" i="12"/>
  <c r="AB72" i="12"/>
  <c r="AB73" i="12"/>
  <c r="AE73" i="48"/>
  <c r="AF160" i="48"/>
  <c r="AE72" i="48"/>
  <c r="AF112" i="48"/>
  <c r="AD163" i="25"/>
  <c r="AJ160" i="19"/>
  <c r="N32" i="42" s="1"/>
  <c r="AC75" i="25"/>
  <c r="AC78" i="12"/>
  <c r="AC85" i="12" s="1"/>
  <c r="AI76" i="12"/>
  <c r="AJ112" i="19"/>
  <c r="L32" i="42" s="1"/>
  <c r="AD115" i="25"/>
  <c r="AF112" i="26"/>
  <c r="AE72" i="26"/>
  <c r="AD212" i="25"/>
  <c r="AH72" i="19"/>
  <c r="AI136" i="19"/>
  <c r="AI88" i="12" s="1"/>
  <c r="AF136" i="26"/>
  <c r="AF91" i="12" s="1"/>
  <c r="AF73" i="26" l="1"/>
  <c r="AF79" i="12"/>
  <c r="AF102" i="12"/>
  <c r="AF109" i="12" s="1"/>
  <c r="AJ73" i="19"/>
  <c r="J73" i="19" s="1"/>
  <c r="V43" i="19" s="1"/>
  <c r="N47" i="42" s="1"/>
  <c r="AJ100" i="12"/>
  <c r="AD76" i="25"/>
  <c r="AE139" i="25"/>
  <c r="AE90" i="12" s="1"/>
  <c r="AE97" i="12" s="1"/>
  <c r="AI160" i="26"/>
  <c r="AC72" i="12"/>
  <c r="AC73" i="12"/>
  <c r="AF73" i="48"/>
  <c r="AG160" i="48"/>
  <c r="AF72" i="48"/>
  <c r="AG112" i="48"/>
  <c r="AE163" i="25"/>
  <c r="AJ76" i="12"/>
  <c r="AD75" i="25"/>
  <c r="AD78" i="12"/>
  <c r="AD85" i="12" s="1"/>
  <c r="AE115" i="25"/>
  <c r="AE78" i="12" s="1"/>
  <c r="AG112" i="26"/>
  <c r="AF72" i="26"/>
  <c r="AE212" i="25"/>
  <c r="AI72" i="19"/>
  <c r="AJ136" i="19"/>
  <c r="M32" i="42" s="1"/>
  <c r="AG136" i="26"/>
  <c r="AG91" i="12" s="1"/>
  <c r="AG73" i="26" l="1"/>
  <c r="AG79" i="12"/>
  <c r="AJ160" i="26"/>
  <c r="AI103" i="12"/>
  <c r="AG102" i="12"/>
  <c r="AG109" i="12" s="1"/>
  <c r="AJ88" i="12"/>
  <c r="AJ72" i="19"/>
  <c r="J72" i="19" s="1"/>
  <c r="V42" i="19" s="1"/>
  <c r="AE76" i="25"/>
  <c r="AF139" i="25"/>
  <c r="AF90" i="12" s="1"/>
  <c r="AF97" i="12" s="1"/>
  <c r="AD72" i="12"/>
  <c r="AD73" i="12"/>
  <c r="AH160" i="48"/>
  <c r="AG73" i="48"/>
  <c r="AG72" i="48"/>
  <c r="AH112" i="48"/>
  <c r="AF163" i="25"/>
  <c r="AE75" i="25"/>
  <c r="AF115" i="25"/>
  <c r="AE85" i="12"/>
  <c r="AH112" i="26"/>
  <c r="AG72" i="26"/>
  <c r="AF212" i="25"/>
  <c r="AH136" i="26"/>
  <c r="AH91" i="12" s="1"/>
  <c r="AH73" i="26" l="1"/>
  <c r="AH79" i="12"/>
  <c r="AJ103" i="12"/>
  <c r="N35" i="42"/>
  <c r="AH102" i="12"/>
  <c r="AH109" i="12" s="1"/>
  <c r="N13" i="12"/>
  <c r="M47" i="42"/>
  <c r="AF76" i="25"/>
  <c r="AG139" i="25"/>
  <c r="AG90" i="12" s="1"/>
  <c r="AG97" i="12" s="1"/>
  <c r="AE72" i="12"/>
  <c r="AE73" i="12"/>
  <c r="AH73" i="48"/>
  <c r="AI160" i="48"/>
  <c r="AI112" i="48"/>
  <c r="AH72" i="48"/>
  <c r="AG163" i="25"/>
  <c r="AF75" i="25"/>
  <c r="AF78" i="12"/>
  <c r="AF85" i="12" s="1"/>
  <c r="AG115" i="25"/>
  <c r="AI112" i="26"/>
  <c r="AH72" i="26"/>
  <c r="AG212" i="25"/>
  <c r="AI136" i="26"/>
  <c r="AJ136" i="26" l="1"/>
  <c r="AI91" i="12"/>
  <c r="AI73" i="26"/>
  <c r="AI79" i="12"/>
  <c r="AI102" i="12"/>
  <c r="AI109" i="12" s="1"/>
  <c r="AG76" i="25"/>
  <c r="AH139" i="25"/>
  <c r="AH90" i="12" s="1"/>
  <c r="AH97" i="12" s="1"/>
  <c r="AF72" i="12"/>
  <c r="AF73" i="12"/>
  <c r="AI72" i="48"/>
  <c r="AJ112" i="48"/>
  <c r="AJ72" i="48" s="1"/>
  <c r="AJ160" i="48"/>
  <c r="AI73" i="48"/>
  <c r="AH163" i="25"/>
  <c r="AG75" i="25"/>
  <c r="AG78" i="12"/>
  <c r="AG85" i="12" s="1"/>
  <c r="AH115" i="25"/>
  <c r="AJ112" i="26"/>
  <c r="AI72" i="26"/>
  <c r="AH212" i="25"/>
  <c r="AJ79" i="12" l="1"/>
  <c r="L35" i="42"/>
  <c r="AJ91" i="12"/>
  <c r="M35" i="42"/>
  <c r="AJ102" i="12"/>
  <c r="AJ109" i="12" s="1"/>
  <c r="N14" i="42" s="1"/>
  <c r="AJ73" i="26"/>
  <c r="J73" i="26" s="1"/>
  <c r="V43" i="26" s="1"/>
  <c r="N50" i="42" s="1"/>
  <c r="AJ72" i="26"/>
  <c r="J72" i="26" s="1"/>
  <c r="V42" i="26" s="1"/>
  <c r="M50" i="42" s="1"/>
  <c r="AH76" i="25"/>
  <c r="AI139" i="25"/>
  <c r="AG72" i="12"/>
  <c r="AG73" i="12"/>
  <c r="J72" i="48"/>
  <c r="V42" i="48" s="1"/>
  <c r="AJ73" i="48"/>
  <c r="J73" i="48" s="1"/>
  <c r="V43" i="48" s="1"/>
  <c r="AI163" i="25"/>
  <c r="AJ163" i="25" s="1"/>
  <c r="N34" i="42" s="1"/>
  <c r="AH75" i="25"/>
  <c r="AH78" i="12"/>
  <c r="AH85" i="12" s="1"/>
  <c r="AI115" i="25"/>
  <c r="AJ115" i="25" s="1"/>
  <c r="L34" i="42" s="1"/>
  <c r="AI212" i="25"/>
  <c r="AI90" i="12" l="1"/>
  <c r="AI97" i="12" s="1"/>
  <c r="AJ139" i="25"/>
  <c r="M34" i="42" s="1"/>
  <c r="AI76" i="25"/>
  <c r="AH72" i="12"/>
  <c r="AH73" i="12"/>
  <c r="N28" i="12"/>
  <c r="AI75" i="25"/>
  <c r="AI78" i="12"/>
  <c r="AI85" i="12" s="1"/>
  <c r="AJ212" i="25"/>
  <c r="AJ90" i="12" l="1"/>
  <c r="AJ97" i="12" s="1"/>
  <c r="M14" i="42" s="1"/>
  <c r="AJ76" i="25"/>
  <c r="J76" i="25" s="1"/>
  <c r="V44" i="25" s="1"/>
  <c r="AJ75" i="25"/>
  <c r="J75" i="25" s="1"/>
  <c r="V43" i="25" s="1"/>
  <c r="AI72" i="12"/>
  <c r="AI73" i="12"/>
  <c r="AJ78" i="12"/>
  <c r="AJ85" i="12" s="1"/>
  <c r="AJ73" i="12" s="1"/>
  <c r="AH135" i="30"/>
  <c r="Q140" i="30"/>
  <c r="N140" i="30"/>
  <c r="AG140" i="30"/>
  <c r="AI140" i="30"/>
  <c r="V140" i="30"/>
  <c r="AC140" i="30"/>
  <c r="AB140" i="30"/>
  <c r="X140" i="30"/>
  <c r="O140" i="30"/>
  <c r="K140" i="30"/>
  <c r="U140" i="30"/>
  <c r="AF140" i="30"/>
  <c r="T140" i="30"/>
  <c r="W140" i="30"/>
  <c r="AE140" i="30"/>
  <c r="Y140" i="30"/>
  <c r="P140" i="30"/>
  <c r="AJ140" i="30"/>
  <c r="AH140" i="30"/>
  <c r="S140" i="30"/>
  <c r="AA140" i="30"/>
  <c r="M140" i="30"/>
  <c r="L140" i="30"/>
  <c r="Z140" i="30"/>
  <c r="R140" i="30"/>
  <c r="AD140" i="30"/>
  <c r="P139" i="30"/>
  <c r="N23" i="12" l="1"/>
  <c r="N49" i="42"/>
  <c r="J73" i="12"/>
  <c r="S50" i="12" s="1"/>
  <c r="N15" i="42" s="1"/>
  <c r="AJ72" i="12"/>
  <c r="J72" i="12" s="1"/>
  <c r="S49" i="12" s="1"/>
  <c r="M15" i="42" s="1"/>
  <c r="L14" i="42"/>
  <c r="P135" i="30"/>
  <c r="AB135" i="30"/>
  <c r="AE135" i="30"/>
  <c r="Y135" i="30"/>
  <c r="AG135" i="30"/>
  <c r="T135" i="30"/>
  <c r="Q135" i="30"/>
  <c r="W135" i="30"/>
  <c r="AA135" i="30"/>
  <c r="AI135" i="30"/>
  <c r="M135" i="30"/>
  <c r="K135" i="30"/>
  <c r="S135" i="30"/>
  <c r="AD135" i="30"/>
  <c r="X135" i="30"/>
  <c r="AC135" i="30"/>
  <c r="N135" i="30"/>
  <c r="Z135" i="30"/>
  <c r="P134" i="30"/>
  <c r="P142" i="30"/>
  <c r="P145" i="30" s="1"/>
  <c r="L135" i="30"/>
  <c r="AF135" i="30"/>
  <c r="O135" i="30"/>
  <c r="U135" i="30"/>
  <c r="V135" i="30"/>
  <c r="AJ135" i="30"/>
  <c r="R135" i="30"/>
  <c r="AC139" i="30"/>
  <c r="AC142" i="30" s="1"/>
  <c r="AC145" i="30" s="1"/>
  <c r="AD139" i="30"/>
  <c r="AD142" i="30" s="1"/>
  <c r="AD145" i="30" s="1"/>
  <c r="T139" i="30"/>
  <c r="T142" i="30" s="1"/>
  <c r="T145" i="30" s="1"/>
  <c r="X139" i="30"/>
  <c r="X142" i="30" s="1"/>
  <c r="X145" i="30" s="1"/>
  <c r="AA139" i="30"/>
  <c r="AA142" i="30" s="1"/>
  <c r="AA145" i="30" s="1"/>
  <c r="S139" i="30"/>
  <c r="S142" i="30" s="1"/>
  <c r="S145" i="30" s="1"/>
  <c r="V139" i="30"/>
  <c r="V142" i="30" s="1"/>
  <c r="V145" i="30" s="1"/>
  <c r="R139" i="30"/>
  <c r="R142" i="30" s="1"/>
  <c r="R145" i="30" s="1"/>
  <c r="Z139" i="30"/>
  <c r="Z142" i="30" s="1"/>
  <c r="Z145" i="30" s="1"/>
  <c r="M139" i="30"/>
  <c r="M142" i="30" s="1"/>
  <c r="M145" i="30" s="1"/>
  <c r="Y139" i="30"/>
  <c r="Y142" i="30" s="1"/>
  <c r="Y145" i="30" s="1"/>
  <c r="O139" i="30"/>
  <c r="O142" i="30" s="1"/>
  <c r="O145" i="30" s="1"/>
  <c r="K139" i="30"/>
  <c r="K142" i="30" s="1"/>
  <c r="AE139" i="30"/>
  <c r="AE142" i="30" s="1"/>
  <c r="AE145" i="30" s="1"/>
  <c r="N139" i="30"/>
  <c r="N142" i="30" s="1"/>
  <c r="N145" i="30" s="1"/>
  <c r="AI139" i="30"/>
  <c r="AI142" i="30" s="1"/>
  <c r="AI145" i="30" s="1"/>
  <c r="L139" i="30"/>
  <c r="L142" i="30" s="1"/>
  <c r="L145" i="30" s="1"/>
  <c r="W139" i="30"/>
  <c r="W142" i="30" s="1"/>
  <c r="W145" i="30" s="1"/>
  <c r="U139" i="30"/>
  <c r="U142" i="30" s="1"/>
  <c r="U145" i="30" s="1"/>
  <c r="AH139" i="30"/>
  <c r="AH142" i="30" s="1"/>
  <c r="AH145" i="30" s="1"/>
  <c r="AF139" i="30"/>
  <c r="AF142" i="30" s="1"/>
  <c r="AF145" i="30" s="1"/>
  <c r="Q139" i="30"/>
  <c r="Q142" i="30" s="1"/>
  <c r="Q145" i="30" s="1"/>
  <c r="AJ139" i="30"/>
  <c r="AJ142" i="30" s="1"/>
  <c r="AJ145" i="30" s="1"/>
  <c r="AB139" i="30"/>
  <c r="AB142" i="30" s="1"/>
  <c r="AB145" i="30" s="1"/>
  <c r="AG139" i="30"/>
  <c r="AG142" i="30" s="1"/>
  <c r="AG145" i="30" s="1"/>
  <c r="K145" i="30" l="1"/>
  <c r="B31" i="30" s="1"/>
  <c r="B31" i="12" s="1"/>
  <c r="M24" i="42"/>
  <c r="AI134" i="30"/>
  <c r="AI137" i="30" s="1"/>
  <c r="AI144" i="30" s="1"/>
  <c r="P137" i="30"/>
  <c r="P144" i="30" s="1"/>
  <c r="AD134" i="30"/>
  <c r="AD137" i="30" s="1"/>
  <c r="AD144" i="30" s="1"/>
  <c r="L134" i="30"/>
  <c r="L137" i="30" s="1"/>
  <c r="L144" i="30" s="1"/>
  <c r="M134" i="30"/>
  <c r="M137" i="30" s="1"/>
  <c r="M144" i="30" s="1"/>
  <c r="AG134" i="30"/>
  <c r="AG137" i="30" s="1"/>
  <c r="AG144" i="30" s="1"/>
  <c r="AC134" i="30"/>
  <c r="AC137" i="30" s="1"/>
  <c r="AC144" i="30" s="1"/>
  <c r="N134" i="30"/>
  <c r="N137" i="30" s="1"/>
  <c r="N144" i="30" s="1"/>
  <c r="T134" i="30"/>
  <c r="T137" i="30" s="1"/>
  <c r="T144" i="30" s="1"/>
  <c r="AF134" i="30"/>
  <c r="AF137" i="30" s="1"/>
  <c r="AF144" i="30" s="1"/>
  <c r="AH134" i="30"/>
  <c r="AH137" i="30" s="1"/>
  <c r="AH144" i="30" s="1"/>
  <c r="AB134" i="30"/>
  <c r="AB137" i="30" s="1"/>
  <c r="AB144" i="30" s="1"/>
  <c r="X134" i="30"/>
  <c r="X137" i="30" s="1"/>
  <c r="X144" i="30" s="1"/>
  <c r="K134" i="30"/>
  <c r="K137" i="30" s="1"/>
  <c r="U134" i="30"/>
  <c r="U137" i="30" s="1"/>
  <c r="U144" i="30" s="1"/>
  <c r="Y134" i="30"/>
  <c r="Y137" i="30" s="1"/>
  <c r="Y144" i="30" s="1"/>
  <c r="W134" i="30"/>
  <c r="W137" i="30" s="1"/>
  <c r="W144" i="30" s="1"/>
  <c r="Z134" i="30"/>
  <c r="Z137" i="30" s="1"/>
  <c r="Z144" i="30" s="1"/>
  <c r="AA134" i="30"/>
  <c r="AA137" i="30" s="1"/>
  <c r="AA144" i="30" s="1"/>
  <c r="AJ134" i="30"/>
  <c r="AJ137" i="30" s="1"/>
  <c r="AJ144" i="30" s="1"/>
  <c r="Q134" i="30"/>
  <c r="Q137" i="30" s="1"/>
  <c r="Q144" i="30" s="1"/>
  <c r="AE134" i="30"/>
  <c r="AE137" i="30" s="1"/>
  <c r="AE144" i="30" s="1"/>
  <c r="V134" i="30"/>
  <c r="V137" i="30" s="1"/>
  <c r="V144" i="30" s="1"/>
  <c r="S134" i="30"/>
  <c r="S137" i="30" s="1"/>
  <c r="S144" i="30" s="1"/>
  <c r="O134" i="30"/>
  <c r="O137" i="30" s="1"/>
  <c r="O144" i="30" s="1"/>
  <c r="R134" i="30"/>
  <c r="R137" i="30" s="1"/>
  <c r="R144" i="30" s="1"/>
  <c r="K144" i="30" l="1"/>
  <c r="B26" i="30" s="1"/>
  <c r="B26" i="12" s="1"/>
  <c r="M25"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Bengt Cousins-Jenvey</author>
  </authors>
  <commentList>
    <comment ref="W53" authorId="0" shapeId="0" xr:uid="{00000000-0006-0000-0000-000001000000}">
      <text>
        <r>
          <rPr>
            <sz val="9"/>
            <color indexed="81"/>
            <rFont val="Tahoma"/>
            <family val="2"/>
          </rPr>
          <t xml:space="preserve">An example of a hint!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Daniel Raymond</author>
  </authors>
  <commentList>
    <comment ref="J20" authorId="0" shapeId="0" xr:uid="{00000000-0006-0000-0900-000001000000}">
      <text>
        <r>
          <rPr>
            <sz val="9"/>
            <color indexed="81"/>
            <rFont val="Tahoma"/>
            <family val="2"/>
          </rPr>
          <t xml:space="preserve">If multiple boilers exist estimate the proportion of natural gas use associated with the boiler being changed
Note: If there are two boilers both providing the same amount of heat and you are only planning on replacing one enter 50% here.
</t>
        </r>
      </text>
    </comment>
    <comment ref="J21" authorId="0" shapeId="0" xr:uid="{00000000-0006-0000-0900-000002000000}">
      <text>
        <r>
          <rPr>
            <sz val="9"/>
            <color indexed="81"/>
            <rFont val="Tahoma"/>
            <family val="2"/>
          </rPr>
          <t xml:space="preserve">This is the area served by the boiler being chanaged as a proportion of total building area.
Note: If you are upgrading the total boiler system enter 100% here.
</t>
        </r>
      </text>
    </comment>
    <comment ref="G35" authorId="0" shapeId="0" xr:uid="{00000000-0006-0000-0900-000003000000}">
      <text>
        <r>
          <rPr>
            <sz val="9"/>
            <color indexed="81"/>
            <rFont val="Tahoma"/>
            <family val="2"/>
          </rPr>
          <t xml:space="preserve">Currently pump power only effects estimated auxiliary energy not natural gas used.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Daniel Raymond</author>
  </authors>
  <commentList>
    <comment ref="S10" authorId="0" shapeId="0" xr:uid="{00000000-0006-0000-0A00-000001000000}">
      <text>
        <r>
          <rPr>
            <sz val="9"/>
            <color indexed="81"/>
            <rFont val="Tahoma"/>
            <family val="2"/>
          </rPr>
          <t xml:space="preserve">Net Present Value (NPV) is the difference between the present value of cash inflows and the present value of cash outflows.  It takes into account capital costs, operational costs/revenues and also introduces the "time value of money", with the discounting of future net cash flows.
Refer to the NPV in capital budgeting to analyse the profitability of a projected investment or project. Use the calculation to support the financial decision making, for example, when to replace an existing asset.
Note: The graph plots NPV year after year, providing a better understanding of these cash flows.
</t>
        </r>
      </text>
    </comment>
    <comment ref="J11" authorId="0" shapeId="0" xr:uid="{00000000-0006-0000-0A00-000002000000}">
      <text>
        <r>
          <rPr>
            <sz val="9"/>
            <color indexed="81"/>
            <rFont val="Tahoma"/>
            <family val="2"/>
          </rPr>
          <t xml:space="preserve">Whole building cooling consumption as defined from the energy split of metered data in Step 1.
</t>
        </r>
      </text>
    </comment>
    <comment ref="J18" authorId="0" shapeId="0" xr:uid="{00000000-0006-0000-0A00-000003000000}">
      <text>
        <r>
          <rPr>
            <sz val="9"/>
            <color indexed="81"/>
            <rFont val="Tahoma"/>
            <family val="2"/>
          </rPr>
          <t xml:space="preserve">If multiple cooling systems exist estimate the proportion of electricity use associated with the system being changed.
Note: If there are systems both providing the same amount of 'coolth' and you are only planning on replacing one enter 50% here.
</t>
        </r>
      </text>
    </comment>
    <comment ref="J19" authorId="0" shapeId="0" xr:uid="{00000000-0006-0000-0A00-000004000000}">
      <text>
        <r>
          <rPr>
            <sz val="9"/>
            <color indexed="81"/>
            <rFont val="Tahoma"/>
            <family val="2"/>
          </rPr>
          <t xml:space="preserve">This is the area served by the cooling system being changed as a proportion of total building area.
Note: If you are upgrading the total cooling system enter 100% here.
</t>
        </r>
      </text>
    </comment>
    <comment ref="P19" authorId="0" shapeId="0" xr:uid="{00000000-0006-0000-0A00-000005000000}">
      <text>
        <r>
          <rPr>
            <sz val="9"/>
            <color indexed="81"/>
            <rFont val="Tahoma"/>
            <family val="2"/>
          </rPr>
          <t xml:space="preserve">Use this input to represent any previously uncooled spaces that will now be cooled.
</t>
        </r>
      </text>
    </comment>
    <comment ref="AB19" authorId="0" shapeId="0" xr:uid="{00000000-0006-0000-0A00-000006000000}">
      <text>
        <r>
          <rPr>
            <sz val="9"/>
            <color indexed="81"/>
            <rFont val="Tahoma"/>
            <family val="2"/>
          </rPr>
          <t xml:space="preserve">Use this input to represent any previously uncooled spaces that will now be cooled.
</t>
        </r>
      </text>
    </comment>
    <comment ref="G22" authorId="0" shapeId="0" xr:uid="{00000000-0006-0000-0A00-000007000000}">
      <text>
        <r>
          <rPr>
            <sz val="9"/>
            <color indexed="81"/>
            <rFont val="Tahoma"/>
            <family val="2"/>
          </rPr>
          <t xml:space="preserve">Coefficient of performance (COP)
</t>
        </r>
      </text>
    </comment>
    <comment ref="I22" authorId="0" shapeId="0" xr:uid="{00000000-0006-0000-0A00-000008000000}">
      <text>
        <r>
          <rPr>
            <sz val="9"/>
            <color indexed="81"/>
            <rFont val="Tahoma"/>
            <family val="2"/>
          </rPr>
          <t xml:space="preserve">Select 'user defined' and enter the COP of your cooling system or select a predefined system.
Note: If 'user defined' is selected you will have the ability the define  pump and fan power (under auxiliary energy) depending on your system.
If 'VRF' is selected you will prompted to enter the fan power associated with your system.
If  any of the 'chiller' are selected you will prompted to enter the pump power associated with your system. </t>
        </r>
      </text>
    </comment>
    <comment ref="M22" authorId="0" shapeId="0" xr:uid="{00000000-0006-0000-0A00-000009000000}">
      <text>
        <r>
          <rPr>
            <sz val="9"/>
            <color indexed="81"/>
            <rFont val="Tahoma"/>
            <family val="2"/>
          </rPr>
          <t xml:space="preserve">Coefficient of performance (COP)
</t>
        </r>
      </text>
    </comment>
    <comment ref="O22" authorId="0" shapeId="0" xr:uid="{00000000-0006-0000-0A00-00000A000000}">
      <text>
        <r>
          <rPr>
            <sz val="9"/>
            <color indexed="81"/>
            <rFont val="Tahoma"/>
            <family val="2"/>
          </rPr>
          <t xml:space="preserve">Select 'user defined' and enter the COP of your cooling system or select a predefined system.
Note: If 'user defined' is selected you will have the ability the define  pump and fan power (under auxiliary energy) depending on your system.
If 'VRF' is selected you will prompted to enter the fan power associated with your system.
If  any of the 'chiller' are selected you will prompted to enter the pump power associated with your system. </t>
        </r>
      </text>
    </comment>
    <comment ref="Y22" authorId="0" shapeId="0" xr:uid="{00000000-0006-0000-0A00-00000B000000}">
      <text>
        <r>
          <rPr>
            <sz val="9"/>
            <color indexed="81"/>
            <rFont val="Tahoma"/>
            <family val="2"/>
          </rPr>
          <t xml:space="preserve">Coefficient of performance (COP)
</t>
        </r>
      </text>
    </comment>
    <comment ref="AA22" authorId="0" shapeId="0" xr:uid="{00000000-0006-0000-0A00-00000C000000}">
      <text>
        <r>
          <rPr>
            <sz val="9"/>
            <color indexed="81"/>
            <rFont val="Tahoma"/>
            <family val="2"/>
          </rPr>
          <t xml:space="preserve">Select 'user defined' and enter the COP of your cooling system or select a predefined system.
Note: If 'user defined' is selected you will have the ability the define  pump and fan power (under auxiliary energy) depending on your system.
If 'VRF' is selected you will prompted to enter the fan power associated with your system.
If  any of the 'chiller' are selected you will prompted to enter the pump power associated with your system. 
</t>
        </r>
      </text>
    </comment>
    <comment ref="J25" authorId="0" shapeId="0" xr:uid="{00000000-0006-0000-0A00-00000D000000}">
      <text>
        <r>
          <rPr>
            <sz val="9"/>
            <color indexed="81"/>
            <rFont val="Tahoma"/>
            <family val="2"/>
          </rPr>
          <t xml:space="preserve">Estimate hours of cooling system operation. 
Note: This is only used to calculate auxiliary energy associated with the cooling system.
</t>
        </r>
      </text>
    </comment>
    <comment ref="P25" authorId="0" shapeId="0" xr:uid="{00000000-0006-0000-0A00-00000E000000}">
      <text>
        <r>
          <rPr>
            <sz val="9"/>
            <color indexed="81"/>
            <rFont val="Tahoma"/>
            <family val="2"/>
          </rPr>
          <t xml:space="preserve">Estimate hours of cooling system operation. 
Note: This is only used to calculate auxiliary energy associated with the cooling system.
</t>
        </r>
      </text>
    </comment>
    <comment ref="AB25" authorId="0" shapeId="0" xr:uid="{00000000-0006-0000-0A00-00000F000000}">
      <text>
        <r>
          <rPr>
            <sz val="9"/>
            <color indexed="81"/>
            <rFont val="Tahoma"/>
            <family val="2"/>
          </rPr>
          <t xml:space="preserve">Estimate hours of cooling system operation. 
Note: This is only used to calculate auxiliary energy associated with the cooling system.
</t>
        </r>
      </text>
    </comment>
    <comment ref="K29" authorId="0" shapeId="0" xr:uid="{00000000-0006-0000-0A00-000010000000}">
      <text>
        <r>
          <rPr>
            <sz val="9"/>
            <color indexed="81"/>
            <rFont val="Tahoma"/>
            <family val="2"/>
          </rPr>
          <t xml:space="preserve">Note: Warning indicates calculated auxiliary energy is greater then metred data from Step 1.
</t>
        </r>
      </text>
    </comment>
    <comment ref="Q29" authorId="0" shapeId="0" xr:uid="{00000000-0006-0000-0A00-000011000000}">
      <text>
        <r>
          <rPr>
            <sz val="9"/>
            <color indexed="81"/>
            <rFont val="Tahoma"/>
            <family val="2"/>
          </rPr>
          <t xml:space="preserve">Note: Warning indicates calculated auxiliary energy is greater then metred data from Step 1.
</t>
        </r>
      </text>
    </comment>
    <comment ref="AC29" authorId="0" shapeId="0" xr:uid="{00000000-0006-0000-0A00-000012000000}">
      <text>
        <r>
          <rPr>
            <sz val="9"/>
            <color indexed="81"/>
            <rFont val="Tahoma"/>
            <family val="2"/>
          </rPr>
          <t xml:space="preserve">Note: Warning indicates calculated auxiliary energy is greater then metred data from Step 1.
</t>
        </r>
      </text>
    </comment>
    <comment ref="I31" authorId="0" shapeId="0" xr:uid="{00000000-0006-0000-0A00-000013000000}">
      <text>
        <r>
          <rPr>
            <sz val="9"/>
            <color indexed="81"/>
            <rFont val="Tahoma"/>
            <family val="2"/>
          </rPr>
          <t xml:space="preserve">Select 'user defined' and enter pump power as Watt per m2 or select a predefined pump type.
</t>
        </r>
      </text>
    </comment>
    <comment ref="O31" authorId="0" shapeId="0" xr:uid="{00000000-0006-0000-0A00-000014000000}">
      <text>
        <r>
          <rPr>
            <sz val="9"/>
            <color indexed="81"/>
            <rFont val="Tahoma"/>
            <family val="2"/>
          </rPr>
          <t>Select 'user defined' and enter pump power as Watt per m2 or select a predefined pump type.</t>
        </r>
      </text>
    </comment>
    <comment ref="AA31" authorId="0" shapeId="0" xr:uid="{00000000-0006-0000-0A00-000015000000}">
      <text>
        <r>
          <rPr>
            <sz val="9"/>
            <color indexed="81"/>
            <rFont val="Tahoma"/>
            <family val="2"/>
          </rPr>
          <t xml:space="preserve">Select 'user defined' and enter pump power as Watt per m2 or select a predefined pump type.
</t>
        </r>
      </text>
    </comment>
    <comment ref="K33" authorId="0" shapeId="0" xr:uid="{00000000-0006-0000-0A00-000016000000}">
      <text>
        <r>
          <rPr>
            <sz val="9"/>
            <color indexed="81"/>
            <rFont val="Tahoma"/>
            <family val="2"/>
          </rPr>
          <t>Note: Warning indicates calculated auxiliary energy is greater then metred data from Step 1.</t>
        </r>
      </text>
    </comment>
    <comment ref="Q33" authorId="0" shapeId="0" xr:uid="{00000000-0006-0000-0A00-000017000000}">
      <text>
        <r>
          <rPr>
            <sz val="9"/>
            <color indexed="81"/>
            <rFont val="Tahoma"/>
            <family val="2"/>
          </rPr>
          <t xml:space="preserve">Note: Warning indicates calculated auxiliary energy is greater then metred data from Step 1.
</t>
        </r>
      </text>
    </comment>
    <comment ref="AC33" authorId="0" shapeId="0" xr:uid="{00000000-0006-0000-0A00-000018000000}">
      <text>
        <r>
          <rPr>
            <sz val="9"/>
            <color indexed="81"/>
            <rFont val="Tahoma"/>
            <family val="2"/>
          </rPr>
          <t xml:space="preserve">Note: Warning indicates calculated auxiliary energy is greater then metred data from Step 1.
</t>
        </r>
      </text>
    </comment>
    <comment ref="J40" authorId="0" shapeId="0" xr:uid="{00000000-0006-0000-0A00-000019000000}">
      <text>
        <r>
          <rPr>
            <sz val="9"/>
            <color indexed="81"/>
            <rFont val="Tahoma"/>
            <family val="2"/>
          </rPr>
          <t xml:space="preserve">One off capital cost to occur at the time specified below. 
Note: For the 'Current' scenario, in most cases,  this is likely to be left blank.
</t>
        </r>
      </text>
    </comment>
    <comment ref="P40" authorId="0" shapeId="0" xr:uid="{00000000-0006-0000-0A00-00001A000000}">
      <text>
        <r>
          <rPr>
            <sz val="9"/>
            <color indexed="81"/>
            <rFont val="Tahoma"/>
            <family val="2"/>
          </rPr>
          <t xml:space="preserve">One off capital cost to occur at the time specified below. 
Note: For the 'Current' scenario, in most cases,  this is likely to be left blank.
</t>
        </r>
      </text>
    </comment>
    <comment ref="AB40" authorId="0" shapeId="0" xr:uid="{00000000-0006-0000-0A00-00001B000000}">
      <text>
        <r>
          <rPr>
            <sz val="9"/>
            <color indexed="81"/>
            <rFont val="Tahoma"/>
            <family val="2"/>
          </rPr>
          <t xml:space="preserve">One off capital cost to occur at the time specified below. 
Note: For the 'Current' scenario, in most cases,  this is likely to be left blank.
</t>
        </r>
      </text>
    </comment>
    <comment ref="J41" authorId="0" shapeId="0" xr:uid="{00000000-0006-0000-0A00-00001C000000}">
      <text>
        <r>
          <rPr>
            <sz val="9"/>
            <color indexed="81"/>
            <rFont val="Tahoma"/>
            <family val="2"/>
          </rPr>
          <t xml:space="preserve">Capital cost to occur at this time.
Note: The capital cost entered will be adjusted for inflation to reflect the year it occurs.
</t>
        </r>
      </text>
    </comment>
    <comment ref="P41" authorId="0" shapeId="0" xr:uid="{00000000-0006-0000-0A00-00001D000000}">
      <text>
        <r>
          <rPr>
            <sz val="9"/>
            <color indexed="81"/>
            <rFont val="Tahoma"/>
            <family val="2"/>
          </rPr>
          <t xml:space="preserve">Capital cost to occur at this time.
Note: The capital cost entered will be adjusted for inflation to reflect the year it occurs.
</t>
        </r>
      </text>
    </comment>
    <comment ref="AB41" authorId="0" shapeId="0" xr:uid="{00000000-0006-0000-0A00-00001E000000}">
      <text>
        <r>
          <rPr>
            <sz val="9"/>
            <color indexed="81"/>
            <rFont val="Tahoma"/>
            <family val="2"/>
          </rPr>
          <t xml:space="preserve">Capital cost to occur at this time.
Note: The capital cost entered will be adjusted for inflation to reflect the year it occurs.
</t>
        </r>
      </text>
    </comment>
    <comment ref="J43" authorId="0" shapeId="0" xr:uid="{00000000-0006-0000-0A00-00001F000000}">
      <text>
        <r>
          <rPr>
            <sz val="9"/>
            <color indexed="81"/>
            <rFont val="Tahoma"/>
            <family val="2"/>
          </rPr>
          <t xml:space="preserve">Operational costs (excluding energy costs) associated with the option. For example parts and labour for maintenance.
Note: This cost will occur annually and is adjusted for inflation.
</t>
        </r>
      </text>
    </comment>
    <comment ref="P43" authorId="0" shapeId="0" xr:uid="{00000000-0006-0000-0A00-000020000000}">
      <text>
        <r>
          <rPr>
            <sz val="9"/>
            <color indexed="81"/>
            <rFont val="Tahoma"/>
            <family val="2"/>
          </rPr>
          <t xml:space="preserve">Operational costs (excluding energy costs) associated with the option. For example parts and labour for maintenance.
Note: This cost will occur annually and is adjusted for inflation.
</t>
        </r>
      </text>
    </comment>
    <comment ref="AB43" authorId="0" shapeId="0" xr:uid="{00000000-0006-0000-0A00-000021000000}">
      <text>
        <r>
          <rPr>
            <sz val="9"/>
            <color indexed="81"/>
            <rFont val="Tahoma"/>
            <family val="2"/>
          </rPr>
          <t xml:space="preserve">Operational costs (excluding energy costs) associated with the option. For example parts and labour for maintenance.
Note: This cost will occur annually and is adjusted for inflation.
</t>
        </r>
      </text>
    </comment>
    <comment ref="J45" authorId="0" shapeId="0" xr:uid="{00000000-0006-0000-0A00-000022000000}">
      <text>
        <r>
          <rPr>
            <sz val="9"/>
            <color indexed="81"/>
            <rFont val="Tahoma"/>
            <family val="2"/>
          </rPr>
          <t xml:space="preserve">Periodic costs that occur at the replacement period defined below. For example, replacing a piece of fabric at its end of life. 
Note: A 'Replacement period' must be defined below for the replacement cost to occur.
</t>
        </r>
      </text>
    </comment>
    <comment ref="P45" authorId="0" shapeId="0" xr:uid="{00000000-0006-0000-0A00-000023000000}">
      <text>
        <r>
          <rPr>
            <sz val="9"/>
            <color indexed="81"/>
            <rFont val="Tahoma"/>
            <family val="2"/>
          </rPr>
          <t xml:space="preserve">Periodic costs that occur at the replacement period defined below. For example, replacing a piece of fabric at its end of life. 
Note: A 'Replacement period' must be defined below for the replacement cost to occur.
</t>
        </r>
      </text>
    </comment>
    <comment ref="AB45" authorId="0" shapeId="0" xr:uid="{00000000-0006-0000-0A00-000024000000}">
      <text>
        <r>
          <rPr>
            <sz val="9"/>
            <color indexed="81"/>
            <rFont val="Tahoma"/>
            <family val="2"/>
          </rPr>
          <t xml:space="preserve">Periodic costs that occur at the replacement period defined below. For example, replacing a piece of fabric at its end of life. 
Note: A 'Replacement period' must be defined below for the replacement cost to occur.
</t>
        </r>
      </text>
    </comment>
    <comment ref="J46" authorId="0" shapeId="0" xr:uid="{00000000-0006-0000-0A00-000025000000}">
      <text>
        <r>
          <rPr>
            <sz val="9"/>
            <color indexed="81"/>
            <rFont val="Tahoma"/>
            <family val="2"/>
          </rPr>
          <t xml:space="preserve">Replacement cost to occur at this frequency and  from the time of change as defined above. 
Note: If 'Time until change' is left blank the replacement period will begin from year 0.
</t>
        </r>
      </text>
    </comment>
    <comment ref="P46" authorId="0" shapeId="0" xr:uid="{00000000-0006-0000-0A00-000026000000}">
      <text>
        <r>
          <rPr>
            <sz val="9"/>
            <color indexed="81"/>
            <rFont val="Tahoma"/>
            <family val="2"/>
          </rPr>
          <t xml:space="preserve">Replacement cost to occur at this frequency and  from the time of change as defined above. 
Note: If 'Time until change' is left blank the replacement period will begin from year 0.
</t>
        </r>
      </text>
    </comment>
    <comment ref="AB46" authorId="0" shapeId="0" xr:uid="{00000000-0006-0000-0A00-000027000000}">
      <text>
        <r>
          <rPr>
            <sz val="9"/>
            <color indexed="81"/>
            <rFont val="Tahoma"/>
            <family val="2"/>
          </rPr>
          <t xml:space="preserve">Replacement cost to occur at this frequency and  from the time of change as defined above. 
Note: If 'Time until change' is left blank the replacement period will begin from year 0.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Daniel Raymond</author>
  </authors>
  <commentList>
    <comment ref="S10" authorId="0" shapeId="0" xr:uid="{00000000-0006-0000-0B00-000001000000}">
      <text>
        <r>
          <rPr>
            <sz val="9"/>
            <color indexed="81"/>
            <rFont val="Tahoma"/>
            <family val="2"/>
          </rPr>
          <t xml:space="preserve">Net Present Value (NPV) is the difference between the present value of cash inflows and the present value of cash outflows.  It takes into account capital costs, operational costs/revenues and also introduces the "time value of money", with the discounting of future net cash flows.
Refer to the NPV in capital budgeting to analyse the profitability of a projected investment or project. Use the calculation to support the financial decision making, for example, when to replace an existing asset.
Note: The graph plots NPV year after year, providing a better understanding of these cash flows.
</t>
        </r>
      </text>
    </comment>
    <comment ref="J11" authorId="0" shapeId="0" xr:uid="{00000000-0006-0000-0B00-000002000000}">
      <text>
        <r>
          <rPr>
            <sz val="9"/>
            <color indexed="81"/>
            <rFont val="Tahoma"/>
            <family val="2"/>
          </rPr>
          <t>Theoretically calculated using typical methodologies.
Note: Will highlight red if calculated lighting energy is greater then metred data from Step 1.</t>
        </r>
      </text>
    </comment>
    <comment ref="K11" authorId="0" shapeId="0" xr:uid="{00000000-0006-0000-0B00-000003000000}">
      <text>
        <r>
          <rPr>
            <sz val="9"/>
            <color indexed="81"/>
            <rFont val="Tahoma"/>
            <family val="2"/>
          </rPr>
          <t xml:space="preserve">Note: Warning indicates calculated lighting energy is greater then metred data from Step 1.
</t>
        </r>
      </text>
    </comment>
    <comment ref="P11" authorId="0" shapeId="0" xr:uid="{00000000-0006-0000-0B00-000004000000}">
      <text>
        <r>
          <rPr>
            <sz val="9"/>
            <color indexed="81"/>
            <rFont val="Tahoma"/>
            <family val="2"/>
          </rPr>
          <t xml:space="preserve">If change included in final selection on 'Step 2' home page;  estimated electricity saving to be applied to whole building electricity consumption.
</t>
        </r>
      </text>
    </comment>
    <comment ref="Q11" authorId="0" shapeId="0" xr:uid="{00000000-0006-0000-0B00-000005000000}">
      <text>
        <r>
          <rPr>
            <sz val="9"/>
            <color indexed="81"/>
            <rFont val="Tahoma"/>
            <family val="2"/>
          </rPr>
          <t xml:space="preserve">Note: Warning indicates calculated lighting energy is greater then metred data from Step 1.
</t>
        </r>
      </text>
    </comment>
    <comment ref="AC11" authorId="0" shapeId="0" xr:uid="{00000000-0006-0000-0B00-000006000000}">
      <text>
        <r>
          <rPr>
            <sz val="9"/>
            <color indexed="81"/>
            <rFont val="Tahoma"/>
            <family val="2"/>
          </rPr>
          <t xml:space="preserve">Note: Warning indicates calculated lighting energy is greater then metred data from Step 1.
</t>
        </r>
      </text>
    </comment>
    <comment ref="I15" authorId="0" shapeId="0" xr:uid="{00000000-0006-0000-0B00-000007000000}">
      <text>
        <r>
          <rPr>
            <sz val="9"/>
            <color indexed="81"/>
            <rFont val="Tahoma"/>
            <family val="2"/>
          </rPr>
          <t>Select 'user defined' and enter the Watt per bulb or select a predefined bulb.</t>
        </r>
      </text>
    </comment>
    <comment ref="J15" authorId="0" shapeId="0" xr:uid="{00000000-0006-0000-0B00-000008000000}">
      <text>
        <r>
          <rPr>
            <sz val="9"/>
            <color indexed="81"/>
            <rFont val="Tahoma"/>
            <family val="2"/>
          </rPr>
          <t xml:space="preserve">Enter the Watt per bulb.
Note: This information may be available on the bulb itself. 
</t>
        </r>
      </text>
    </comment>
    <comment ref="O15" authorId="0" shapeId="0" xr:uid="{00000000-0006-0000-0B00-000009000000}">
      <text>
        <r>
          <rPr>
            <sz val="9"/>
            <color indexed="81"/>
            <rFont val="Tahoma"/>
            <family val="2"/>
          </rPr>
          <t xml:space="preserve">Select 'user defined' and enter the Watt per bulb or select a predefined bulb.
</t>
        </r>
      </text>
    </comment>
    <comment ref="P15" authorId="0" shapeId="0" xr:uid="{00000000-0006-0000-0B00-00000A000000}">
      <text>
        <r>
          <rPr>
            <sz val="9"/>
            <color indexed="81"/>
            <rFont val="Tahoma"/>
            <family val="2"/>
          </rPr>
          <t xml:space="preserve">Enter the Watt per bulb.
Note: This information may be available on the bulb itself. 
</t>
        </r>
      </text>
    </comment>
    <comment ref="AA15" authorId="0" shapeId="0" xr:uid="{00000000-0006-0000-0B00-00000B000000}">
      <text>
        <r>
          <rPr>
            <sz val="9"/>
            <color indexed="81"/>
            <rFont val="Tahoma"/>
            <family val="2"/>
          </rPr>
          <t xml:space="preserve">Select 'user defined' and enter the Watt per bulb or select a predefined bulb.
</t>
        </r>
      </text>
    </comment>
    <comment ref="AB15" authorId="0" shapeId="0" xr:uid="{00000000-0006-0000-0B00-00000C000000}">
      <text>
        <r>
          <rPr>
            <sz val="9"/>
            <color indexed="81"/>
            <rFont val="Tahoma"/>
            <family val="2"/>
          </rPr>
          <t xml:space="preserve">Enter the Watt per bulb.
Note: This information may be available on the bulb itself. </t>
        </r>
        <r>
          <rPr>
            <b/>
            <sz val="9"/>
            <color indexed="81"/>
            <rFont val="Tahoma"/>
            <family val="2"/>
          </rPr>
          <t xml:space="preserve">
</t>
        </r>
      </text>
    </comment>
    <comment ref="J33" authorId="0" shapeId="0" xr:uid="{00000000-0006-0000-0B00-00000D000000}">
      <text>
        <r>
          <rPr>
            <sz val="9"/>
            <color indexed="81"/>
            <rFont val="Tahoma"/>
            <family val="2"/>
          </rPr>
          <t xml:space="preserve">A Constant illuminance control system is used to modulate the lamp output to maintain the design illuminance over a long period compensating for the effects of dust build-up on luminaires that reduce their light output.
Note: When this option is selected a 10% reduction factor is applied to the general lighting power.
</t>
        </r>
      </text>
    </comment>
    <comment ref="P33" authorId="0" shapeId="0" xr:uid="{00000000-0006-0000-0B00-00000E000000}">
      <text>
        <r>
          <rPr>
            <sz val="9"/>
            <color indexed="81"/>
            <rFont val="Tahoma"/>
            <family val="2"/>
          </rPr>
          <t xml:space="preserve">A Constant illuminance control system is used to modulate the lamp output to maintain the design illuminance over a long period compensating for the effects of dust build-up on luminaires that reduce their light output.
Note: When this option is selected a 10% reduction factor is applied to the general lighting power.
</t>
        </r>
      </text>
    </comment>
    <comment ref="AB33" authorId="0" shapeId="0" xr:uid="{00000000-0006-0000-0B00-00000F000000}">
      <text>
        <r>
          <rPr>
            <sz val="9"/>
            <color indexed="81"/>
            <rFont val="Tahoma"/>
            <family val="2"/>
          </rPr>
          <t xml:space="preserve">A Constant illuminance control system is used to modulate the lamp output to maintain the design illuminance over a long period compensating for the effects of dust build-up on luminaires that reduce their light output.
Note: When this option is selected a 10% reduction factor is applied to the general lighting power.
</t>
        </r>
      </text>
    </comment>
    <comment ref="I37" authorId="0" shapeId="0" xr:uid="{00000000-0006-0000-0B00-000010000000}">
      <text>
        <r>
          <rPr>
            <sz val="9"/>
            <color indexed="81"/>
            <rFont val="Tahoma"/>
            <family val="2"/>
          </rPr>
          <t xml:space="preserve">Sensors controlled by a time switch, allowing them to be turned off when spaces are unoccupied so that they do not consume power unnecessarily.
Note: If sensor time switch is included power consumption of sensors is calculated using hours of use otherwise load is continuous.
</t>
        </r>
      </text>
    </comment>
    <comment ref="O37" authorId="0" shapeId="0" xr:uid="{00000000-0006-0000-0B00-000011000000}">
      <text>
        <r>
          <rPr>
            <sz val="9"/>
            <color indexed="81"/>
            <rFont val="Tahoma"/>
            <family val="2"/>
          </rPr>
          <t xml:space="preserve">Sensors controlled by a time switch, allowing them to be turned off when spaces are unoccupied so that they do not consume power unnecessarily.
Note: If sensor time switch is included power consumption of sensors is calculated using hours of use otherwise load is continuous.
</t>
        </r>
      </text>
    </comment>
    <comment ref="AA37" authorId="0" shapeId="0" xr:uid="{00000000-0006-0000-0B00-000012000000}">
      <text>
        <r>
          <rPr>
            <sz val="9"/>
            <color indexed="81"/>
            <rFont val="Tahoma"/>
            <family val="2"/>
          </rPr>
          <t xml:space="preserve">Sensors controlled by a time switch, allowing them to be turned off when spaces are unoccupied so that they do not consume power unnecessarily.
Note: If sensor time switch is included power consumption of sensors is calculated using hours of use otherwise load is continuous.
</t>
        </r>
      </text>
    </comment>
    <comment ref="J39" authorId="0" shapeId="0" xr:uid="{00000000-0006-0000-0B00-000013000000}">
      <text>
        <r>
          <rPr>
            <sz val="9"/>
            <color indexed="81"/>
            <rFont val="Tahoma"/>
            <family val="2"/>
          </rPr>
          <t xml:space="preserve">Floor area used for calculating parasitic control power consumption i.e. power use of sensors.
</t>
        </r>
      </text>
    </comment>
    <comment ref="P39" authorId="0" shapeId="0" xr:uid="{00000000-0006-0000-0B00-000014000000}">
      <text>
        <r>
          <rPr>
            <sz val="9"/>
            <color indexed="81"/>
            <rFont val="Tahoma"/>
            <family val="2"/>
          </rPr>
          <t xml:space="preserve">Floor area used for calculating parasitic control power consumption i.e. power use of sensors.
</t>
        </r>
      </text>
    </comment>
    <comment ref="AB39" authorId="0" shapeId="0" xr:uid="{00000000-0006-0000-0B00-000015000000}">
      <text>
        <r>
          <rPr>
            <sz val="9"/>
            <color indexed="81"/>
            <rFont val="Tahoma"/>
            <family val="2"/>
          </rPr>
          <t xml:space="preserve">Floor area used for calculating parasitic control power consumption i.e. power use of sensors.
</t>
        </r>
      </text>
    </comment>
    <comment ref="J42" authorId="0" shapeId="0" xr:uid="{00000000-0006-0000-0B00-000016000000}">
      <text>
        <r>
          <rPr>
            <sz val="9"/>
            <color indexed="81"/>
            <rFont val="Tahoma"/>
            <family val="2"/>
          </rPr>
          <t xml:space="preserve">One off capital cost to occur at the time specified below. 
Note: For the 'Current' scenario, in most cases,  this is likely to be left blank.
</t>
        </r>
      </text>
    </comment>
    <comment ref="P42" authorId="0" shapeId="0" xr:uid="{00000000-0006-0000-0B00-000017000000}">
      <text>
        <r>
          <rPr>
            <sz val="9"/>
            <color indexed="81"/>
            <rFont val="Tahoma"/>
            <family val="2"/>
          </rPr>
          <t xml:space="preserve">One off capital cost to occur at the time specified below. 
Note: For the 'Current' scenario, in most cases,  this is likely to be left blank.
</t>
        </r>
      </text>
    </comment>
    <comment ref="AB42" authorId="0" shapeId="0" xr:uid="{00000000-0006-0000-0B00-000018000000}">
      <text>
        <r>
          <rPr>
            <sz val="9"/>
            <color indexed="81"/>
            <rFont val="Tahoma"/>
            <family val="2"/>
          </rPr>
          <t xml:space="preserve">One off capital cost to occur at the time specified below. 
Note: For the 'Current' scenario, in most cases,  this is likely to be left blank.
</t>
        </r>
      </text>
    </comment>
    <comment ref="J43" authorId="0" shapeId="0" xr:uid="{00000000-0006-0000-0B00-000019000000}">
      <text>
        <r>
          <rPr>
            <sz val="9"/>
            <color indexed="81"/>
            <rFont val="Tahoma"/>
            <family val="2"/>
          </rPr>
          <t xml:space="preserve">Capital cost to occur at this time.
Note: The capital cost entered will be adjusted for inflation to reflect the year it occurs.
</t>
        </r>
      </text>
    </comment>
    <comment ref="P43" authorId="0" shapeId="0" xr:uid="{00000000-0006-0000-0B00-00001A000000}">
      <text>
        <r>
          <rPr>
            <sz val="9"/>
            <color indexed="81"/>
            <rFont val="Tahoma"/>
            <family val="2"/>
          </rPr>
          <t xml:space="preserve">Capital cost to occur at this time.
Note: The capital cost entered will be adjusted for inflation to reflect the year it occurs.
</t>
        </r>
      </text>
    </comment>
    <comment ref="AB43" authorId="0" shapeId="0" xr:uid="{00000000-0006-0000-0B00-00001B000000}">
      <text>
        <r>
          <rPr>
            <sz val="9"/>
            <color indexed="81"/>
            <rFont val="Tahoma"/>
            <family val="2"/>
          </rPr>
          <t xml:space="preserve">Capital cost to occur at this time.
Note: The capital cost entered will be adjusted for inflation to reflect the year it occurs.
</t>
        </r>
      </text>
    </comment>
    <comment ref="J45" authorId="0" shapeId="0" xr:uid="{00000000-0006-0000-0B00-00001C000000}">
      <text>
        <r>
          <rPr>
            <sz val="9"/>
            <color indexed="81"/>
            <rFont val="Tahoma"/>
            <family val="2"/>
          </rPr>
          <t xml:space="preserve">Operational costs (excluding energy costs) associated with the option. For example parts and labour for maintenance.
Note: This cost will occur annually and is adjusted for inflation.
</t>
        </r>
      </text>
    </comment>
    <comment ref="P45" authorId="0" shapeId="0" xr:uid="{00000000-0006-0000-0B00-00001D000000}">
      <text>
        <r>
          <rPr>
            <sz val="9"/>
            <color indexed="81"/>
            <rFont val="Tahoma"/>
            <family val="2"/>
          </rPr>
          <t xml:space="preserve">Operational costs (excluding energy costs) associated with the option. For example parts and labour for maintenance.
Note: This cost will occur annually and is adjusted for inflation.
</t>
        </r>
      </text>
    </comment>
    <comment ref="AB45" authorId="0" shapeId="0" xr:uid="{00000000-0006-0000-0B00-00001E000000}">
      <text>
        <r>
          <rPr>
            <sz val="9"/>
            <color indexed="81"/>
            <rFont val="Tahoma"/>
            <family val="2"/>
          </rPr>
          <t xml:space="preserve">Operational costs (excluding energy costs) associated with the option. For example parts and labour for maintenance.
Note: This cost will occur annually and is adjusted for inflation.
</t>
        </r>
      </text>
    </comment>
    <comment ref="J47" authorId="0" shapeId="0" xr:uid="{00000000-0006-0000-0B00-00001F000000}">
      <text>
        <r>
          <rPr>
            <sz val="9"/>
            <color indexed="81"/>
            <rFont val="Tahoma"/>
            <family val="2"/>
          </rPr>
          <t xml:space="preserve">Periodic costs that occur at the replacement period defined below. For example, replacing a piece of fabric at its end of life. 
Note: A 'Replacement period' must be defined below for the replacement cost to occur.
</t>
        </r>
      </text>
    </comment>
    <comment ref="P47" authorId="0" shapeId="0" xr:uid="{00000000-0006-0000-0B00-000020000000}">
      <text>
        <r>
          <rPr>
            <sz val="9"/>
            <color indexed="81"/>
            <rFont val="Tahoma"/>
            <family val="2"/>
          </rPr>
          <t xml:space="preserve">Periodic costs that occur at the replacement period defined below. For example, replacing a piece of fabric at its end of life. 
Note: A 'Replacement period' must be defined below for the replacement cost to occur.
</t>
        </r>
      </text>
    </comment>
    <comment ref="AB47" authorId="0" shapeId="0" xr:uid="{00000000-0006-0000-0B00-000021000000}">
      <text>
        <r>
          <rPr>
            <sz val="9"/>
            <color indexed="81"/>
            <rFont val="Tahoma"/>
            <family val="2"/>
          </rPr>
          <t xml:space="preserve">Periodic costs that occur at the replacement period defined below. For example, replacing a piece of fabric at its end of life. 
Note: A 'Replacement period' must be defined below for the replacement cost to occur.
</t>
        </r>
      </text>
    </comment>
    <comment ref="J48" authorId="0" shapeId="0" xr:uid="{00000000-0006-0000-0B00-000022000000}">
      <text>
        <r>
          <rPr>
            <sz val="9"/>
            <color indexed="81"/>
            <rFont val="Tahoma"/>
            <family val="2"/>
          </rPr>
          <t xml:space="preserve">Replacement cost to occur at this frequency and  from the time of change as defined above. 
Note: If 'Time until change' is left blank the replacement period will begin from year 0.
</t>
        </r>
      </text>
    </comment>
    <comment ref="P48" authorId="0" shapeId="0" xr:uid="{00000000-0006-0000-0B00-000023000000}">
      <text>
        <r>
          <rPr>
            <sz val="9"/>
            <color indexed="81"/>
            <rFont val="Tahoma"/>
            <family val="2"/>
          </rPr>
          <t xml:space="preserve">Replacement cost to occur at this frequency and  from the time of change as defined above. 
Note: If 'Time until change' is left blank the replacement period will begin from year 0.
</t>
        </r>
      </text>
    </comment>
    <comment ref="AB48" authorId="0" shapeId="0" xr:uid="{00000000-0006-0000-0B00-000024000000}">
      <text>
        <r>
          <rPr>
            <sz val="9"/>
            <color indexed="81"/>
            <rFont val="Tahoma"/>
            <family val="2"/>
          </rPr>
          <t xml:space="preserve">Replacement cost to occur at this frequency and  from the time of change as defined above. 
Note: If 'Time until change' is left blank the replacement period will begin from year 0.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Daniel Raymond</author>
  </authors>
  <commentList>
    <comment ref="S10" authorId="0" shapeId="0" xr:uid="{00000000-0006-0000-0E00-000001000000}">
      <text>
        <r>
          <rPr>
            <sz val="9"/>
            <color indexed="81"/>
            <rFont val="Tahoma"/>
            <charset val="1"/>
          </rPr>
          <t xml:space="preserve">Net Present Value (NPV) is the difference between the present value of cash inflows and the present value of cash outflows.  It takes into account capital costs, operational costs/revenues and also introduces the "time value of money", with the discounting of future net cash flows.
Refer to the NPV in capital budgeting to analyse the profitability of a projected investment or project. Use the calculation to support the financial decision making, for example, when to replace an existing asset.
Note: The graph plots NPV year after year, providing a better understanding of these cash flows.
</t>
        </r>
      </text>
    </comment>
    <comment ref="Q13" authorId="0" shapeId="0" xr:uid="{00000000-0006-0000-0E00-000002000000}">
      <text>
        <r>
          <rPr>
            <sz val="9"/>
            <color indexed="81"/>
            <rFont val="Tahoma"/>
            <charset val="1"/>
          </rPr>
          <t xml:space="preserve">Percentage saving against 'Base Case'.
</t>
        </r>
      </text>
    </comment>
    <comment ref="J18" authorId="0" shapeId="0" xr:uid="{00000000-0006-0000-0E00-000003000000}">
      <text>
        <r>
          <rPr>
            <sz val="9"/>
            <color indexed="81"/>
            <rFont val="Tahoma"/>
            <family val="2"/>
          </rPr>
          <t xml:space="preserve">One off capital cost to occur at the time specified below. 
Note: For the 'Current' scenario, in most cases,  this is likely to be left blank.
</t>
        </r>
      </text>
    </comment>
    <comment ref="P18" authorId="0" shapeId="0" xr:uid="{00000000-0006-0000-0E00-000004000000}">
      <text>
        <r>
          <rPr>
            <sz val="9"/>
            <color indexed="81"/>
            <rFont val="Tahoma"/>
            <family val="2"/>
          </rPr>
          <t xml:space="preserve">One off capital cost to occur at the time specified below. 
Note: For the 'Current' scenario, in most cases,  this is likely to be left blank.
</t>
        </r>
      </text>
    </comment>
    <comment ref="J19" authorId="0" shapeId="0" xr:uid="{00000000-0006-0000-0E00-000005000000}">
      <text>
        <r>
          <rPr>
            <sz val="9"/>
            <color indexed="81"/>
            <rFont val="Tahoma"/>
            <family val="2"/>
          </rPr>
          <t xml:space="preserve">Capital cost to occur at this time.
Note: The capital cost entered will be adjusted for inflation to reflect the year it occurs.
</t>
        </r>
      </text>
    </comment>
    <comment ref="P19" authorId="0" shapeId="0" xr:uid="{00000000-0006-0000-0E00-000006000000}">
      <text>
        <r>
          <rPr>
            <sz val="9"/>
            <color indexed="81"/>
            <rFont val="Tahoma"/>
            <family val="2"/>
          </rPr>
          <t xml:space="preserve">Capital cost to occur at this time.
Note: The capital cost entered will be adjusted for inflation to reflect the year it occurs.
</t>
        </r>
      </text>
    </comment>
    <comment ref="J21" authorId="0" shapeId="0" xr:uid="{00000000-0006-0000-0E00-000007000000}">
      <text>
        <r>
          <rPr>
            <sz val="9"/>
            <color indexed="81"/>
            <rFont val="Tahoma"/>
            <family val="2"/>
          </rPr>
          <t>Operational costs (excluding energy costs) associated with the option. For example parts and labour for maintenance.
Note: This cost will occur annually and is adjusted for inflation.</t>
        </r>
      </text>
    </comment>
    <comment ref="P21" authorId="0" shapeId="0" xr:uid="{00000000-0006-0000-0E00-000008000000}">
      <text>
        <r>
          <rPr>
            <sz val="9"/>
            <color indexed="81"/>
            <rFont val="Tahoma"/>
            <family val="2"/>
          </rPr>
          <t>Operational costs (excluding energy costs) associated with the option. For example parts and labour for maintenance.
Note: This cost will occur annually and is adjusted for inflation.</t>
        </r>
      </text>
    </comment>
    <comment ref="J22" authorId="0" shapeId="0" xr:uid="{00000000-0006-0000-0E00-000009000000}">
      <text>
        <r>
          <rPr>
            <sz val="9"/>
            <color indexed="81"/>
            <rFont val="Tahoma"/>
            <family val="2"/>
          </rPr>
          <t>Operational revenues accrued from Feed in Tariffs (FIT),  Renewable Heat Incentive (RHI) or similar. 
Note: Typically revenue would only be expected when the project is generating renewable energy.</t>
        </r>
      </text>
    </comment>
    <comment ref="P22" authorId="0" shapeId="0" xr:uid="{00000000-0006-0000-0E00-00000A000000}">
      <text>
        <r>
          <rPr>
            <sz val="9"/>
            <color indexed="81"/>
            <rFont val="Tahoma"/>
            <family val="2"/>
          </rPr>
          <t>Operational revenues accrued from Feed in Tariffs (FIT),  Renewable Heat Incentive (RHI) or similar. 
Note: Typically revenue would only be expected when the project is generating renewable energy.</t>
        </r>
      </text>
    </comment>
    <comment ref="J23" authorId="0" shapeId="0" xr:uid="{00000000-0006-0000-0E00-00000B000000}">
      <text>
        <r>
          <rPr>
            <sz val="9"/>
            <color indexed="81"/>
            <rFont val="Tahoma"/>
            <family val="2"/>
          </rPr>
          <t>Periodic costs that occur at the replacement period defined below. For example, replacing a piece of equipment at its end of life. 
Note: A 'Replacement period' must be defined below for the replacement cost to occur.</t>
        </r>
      </text>
    </comment>
    <comment ref="P23" authorId="0" shapeId="0" xr:uid="{00000000-0006-0000-0E00-00000C000000}">
      <text>
        <r>
          <rPr>
            <sz val="9"/>
            <color indexed="81"/>
            <rFont val="Tahoma"/>
            <family val="2"/>
          </rPr>
          <t>Periodic costs that occur at the replacement period defined below. For example, replacing a piece of equipment at its end of life. 
Note: A 'Replacement period' must be defined below for the replacement cost to occur.</t>
        </r>
      </text>
    </comment>
    <comment ref="J24" authorId="0" shapeId="0" xr:uid="{00000000-0006-0000-0E00-00000D000000}">
      <text>
        <r>
          <rPr>
            <sz val="9"/>
            <color indexed="81"/>
            <rFont val="Tahoma"/>
            <family val="2"/>
          </rPr>
          <t xml:space="preserve">Replacement cost to occur at this frequency and  from the time of change as defined above. 
Note: If 'Time until change' is left blank the replacement period will begin from year 0.
</t>
        </r>
      </text>
    </comment>
    <comment ref="P24" authorId="0" shapeId="0" xr:uid="{00000000-0006-0000-0E00-00000E000000}">
      <text>
        <r>
          <rPr>
            <sz val="9"/>
            <color indexed="81"/>
            <rFont val="Tahoma"/>
            <family val="2"/>
          </rPr>
          <t xml:space="preserve">Replacement cost to occur at this frequency and  from the time of change as defined above. 
Note: If 'Time until change' is left blank the replacement period will begin from year 0.
</t>
        </r>
      </text>
    </comment>
    <comment ref="Q31" authorId="0" shapeId="0" xr:uid="{00000000-0006-0000-0E00-00000F000000}">
      <text>
        <r>
          <rPr>
            <sz val="9"/>
            <color indexed="81"/>
            <rFont val="Tahoma"/>
            <charset val="1"/>
          </rPr>
          <t xml:space="preserve">Percentage saving against 'Base Case'.
</t>
        </r>
      </text>
    </comment>
    <comment ref="P36" authorId="0" shapeId="0" xr:uid="{00000000-0006-0000-0E00-000010000000}">
      <text>
        <r>
          <rPr>
            <sz val="9"/>
            <color indexed="81"/>
            <rFont val="Tahoma"/>
            <family val="2"/>
          </rPr>
          <t xml:space="preserve">One off capital cost to occur at the time specified below. 
Note: For the 'Current' scenario, in most cases,  this is likely to be left blank.
</t>
        </r>
      </text>
    </comment>
    <comment ref="P37" authorId="0" shapeId="0" xr:uid="{00000000-0006-0000-0E00-000011000000}">
      <text>
        <r>
          <rPr>
            <sz val="9"/>
            <color indexed="81"/>
            <rFont val="Tahoma"/>
            <family val="2"/>
          </rPr>
          <t xml:space="preserve">Capital cost to occur at this time.
Note: The capital cost entered will be adjusted for inflation to reflect the year it occurs.
</t>
        </r>
      </text>
    </comment>
    <comment ref="P39" authorId="0" shapeId="0" xr:uid="{00000000-0006-0000-0E00-000012000000}">
      <text>
        <r>
          <rPr>
            <sz val="9"/>
            <color indexed="81"/>
            <rFont val="Tahoma"/>
            <family val="2"/>
          </rPr>
          <t>Operational costs (excluding energy costs) associated with the option. For example parts and labour for maintenance.
Note: This cost will occur annually and is adjusted for inflation.</t>
        </r>
      </text>
    </comment>
    <comment ref="P40" authorId="0" shapeId="0" xr:uid="{00000000-0006-0000-0E00-000013000000}">
      <text>
        <r>
          <rPr>
            <sz val="9"/>
            <color indexed="81"/>
            <rFont val="Tahoma"/>
            <family val="2"/>
          </rPr>
          <t>Operational revenues accrued from Feed in Tariffs (FIT),  Renewable Heat Incentive (RHI) or similar. 
Note: Typically revenue would only be expected when the project is generating renewable energy.</t>
        </r>
      </text>
    </comment>
    <comment ref="P41" authorId="0" shapeId="0" xr:uid="{00000000-0006-0000-0E00-000014000000}">
      <text>
        <r>
          <rPr>
            <sz val="9"/>
            <color indexed="81"/>
            <rFont val="Tahoma"/>
            <family val="2"/>
          </rPr>
          <t>Periodic costs that occur at the replacement period defined below. For example, replacing a piece of equipment at its end of life. 
Note: A 'Replacement period' must be defined below for the replacement cost to occur.</t>
        </r>
      </text>
    </comment>
    <comment ref="P42" authorId="0" shapeId="0" xr:uid="{00000000-0006-0000-0E00-000015000000}">
      <text>
        <r>
          <rPr>
            <sz val="9"/>
            <color indexed="81"/>
            <rFont val="Tahoma"/>
            <family val="2"/>
          </rPr>
          <t xml:space="preserve">Replacement cost to occur at this frequency and  from the time of change as defined above. 
Note: If 'Time until change' is left blank the replacement period will begin from year 0.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Daniel Raymond</author>
  </authors>
  <commentList>
    <comment ref="B26" authorId="0" shapeId="0" xr:uid="{00000000-0006-0000-0F00-000001000000}">
      <text>
        <r>
          <rPr>
            <sz val="9"/>
            <color indexed="81"/>
            <rFont val="Tahoma"/>
            <family val="2"/>
          </rPr>
          <t xml:space="preserve">Carbon saving of RIBA Stage 3+ estimate against initial benchmark from Step 1.
</t>
        </r>
      </text>
    </comment>
    <comment ref="B31" authorId="0" shapeId="0" xr:uid="{00000000-0006-0000-0F00-000002000000}">
      <text>
        <r>
          <rPr>
            <sz val="9"/>
            <color indexed="81"/>
            <rFont val="Tahoma"/>
            <family val="2"/>
          </rPr>
          <t xml:space="preserve">Cost saving of RIBA Stage 3+ estimate against initial benchmark from Step 1.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Daniel Raymond</author>
  </authors>
  <commentList>
    <comment ref="B26" authorId="0" shapeId="0" xr:uid="{00000000-0006-0000-1000-000001000000}">
      <text>
        <r>
          <rPr>
            <sz val="9"/>
            <color indexed="81"/>
            <rFont val="Tahoma"/>
            <family val="2"/>
          </rPr>
          <t xml:space="preserve">Carbon saving of RIBA Stage 3+ estimate against initial benchmark from Step 1.
</t>
        </r>
      </text>
    </comment>
    <comment ref="B31" authorId="0" shapeId="0" xr:uid="{00000000-0006-0000-1000-000002000000}">
      <text>
        <r>
          <rPr>
            <sz val="9"/>
            <color indexed="81"/>
            <rFont val="Tahoma"/>
            <family val="2"/>
          </rPr>
          <t xml:space="preserve">Cost saving of RIBA Stage 3+ estimate against initial benchmark from Step 1.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Daniel Raymond</author>
  </authors>
  <commentList>
    <comment ref="P14" authorId="0" shapeId="0" xr:uid="{00000000-0006-0000-1200-000001000000}">
      <text>
        <r>
          <rPr>
            <sz val="9"/>
            <color indexed="81"/>
            <rFont val="Tahoma"/>
            <family val="2"/>
          </rPr>
          <t xml:space="preserve">When defining your own energy split please enter a value in all cells. 
In the case where there is no energy use associated with an item, for example if there is no cooling,  please enter 0.
</t>
        </r>
      </text>
    </comment>
    <comment ref="P26" authorId="0" shapeId="0" xr:uid="{00000000-0006-0000-1200-000002000000}">
      <text>
        <r>
          <rPr>
            <sz val="9"/>
            <color indexed="81"/>
            <rFont val="Tahoma"/>
            <family val="2"/>
          </rPr>
          <t xml:space="preserve">When defining your own energy split please enter a value in all cells. 
In the case where there is no energy use associated with an item, for example if there is no cooling,  please enter 0.
</t>
        </r>
      </text>
    </comment>
    <comment ref="P202" authorId="0" shapeId="0" xr:uid="{00000000-0006-0000-1200-000003000000}">
      <text>
        <r>
          <rPr>
            <sz val="9"/>
            <color indexed="81"/>
            <rFont val="Tahoma"/>
            <family val="2"/>
          </rPr>
          <t xml:space="preserve">If not included within energy costs above.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Ciaran Jebb</author>
  </authors>
  <commentList>
    <comment ref="G70" authorId="0" shapeId="0" xr:uid="{5FA7BDAB-8734-4E8F-B55D-33BFC5F2731F}">
      <text>
        <r>
          <rPr>
            <b/>
            <sz val="9"/>
            <color indexed="81"/>
            <rFont val="Tahoma"/>
            <family val="2"/>
          </rPr>
          <t>Ciaran Jebb:</t>
        </r>
        <r>
          <rPr>
            <sz val="9"/>
            <color indexed="81"/>
            <rFont val="Tahoma"/>
            <family val="2"/>
          </rPr>
          <t xml:space="preserve">
electric heating</t>
        </r>
      </text>
    </comment>
    <comment ref="G104" authorId="0" shapeId="0" xr:uid="{EF6826E1-C5E6-48F4-8113-D4D766AB6E65}">
      <text>
        <r>
          <rPr>
            <b/>
            <sz val="9"/>
            <color indexed="81"/>
            <rFont val="Tahoma"/>
            <family val="2"/>
          </rPr>
          <t>Ciaran Jebb:</t>
        </r>
        <r>
          <rPr>
            <sz val="9"/>
            <color indexed="81"/>
            <rFont val="Tahoma"/>
            <family val="2"/>
          </rPr>
          <t xml:space="preserve">
electric heating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 Raymond</author>
  </authors>
  <commentList>
    <comment ref="K12" authorId="0" shapeId="0" xr:uid="{00000000-0006-0000-0100-000001000000}">
      <text>
        <r>
          <rPr>
            <sz val="9"/>
            <color indexed="81"/>
            <rFont val="Tahoma"/>
            <family val="2"/>
          </rPr>
          <t>Existing building change - Light refurbishment i.e. works to some M&amp;E systems and/ or part of the building envelope.  
Major refurbishment - Total building refurbishment i.e. major works to M&amp;E systems and building envelope. Similar in scope to a new build development.
Extension - New build extension to an existing building (typically without any modifications to the existing building).
New build - New addition to UCL's estate.</t>
        </r>
      </text>
    </comment>
    <comment ref="Q12" authorId="0" shapeId="0" xr:uid="{00000000-0006-0000-0100-000002000000}">
      <text>
        <r>
          <rPr>
            <sz val="9"/>
            <color indexed="81"/>
            <rFont val="Tahoma"/>
            <family val="2"/>
          </rPr>
          <t xml:space="preserve">Enter name of building for reference only. 
</t>
        </r>
      </text>
    </comment>
    <comment ref="O17" authorId="0" shapeId="0" xr:uid="{00000000-0006-0000-0100-000003000000}">
      <text>
        <r>
          <rPr>
            <sz val="9"/>
            <color indexed="81"/>
            <rFont val="Tahoma"/>
            <family val="2"/>
          </rPr>
          <t xml:space="preserve">Benchmarks are used to estimate annual energy consumption. However, if you have actual data or want to define your own benchmarks you can enter this by following the link to DATA on the left hand side of this sheet. 
</t>
        </r>
      </text>
    </comment>
    <comment ref="U18" authorId="0" shapeId="0" xr:uid="{00000000-0006-0000-0100-000004000000}">
      <text>
        <r>
          <rPr>
            <sz val="9"/>
            <color indexed="81"/>
            <rFont val="Tahoma"/>
            <family val="2"/>
          </rPr>
          <t xml:space="preserve">Use this chart to help focus your energy saving efforts before moving onto the next step. 
</t>
        </r>
      </text>
    </comment>
    <comment ref="K19" authorId="0" shapeId="0" xr:uid="{00000000-0006-0000-0100-000005000000}">
      <text>
        <r>
          <rPr>
            <sz val="9"/>
            <color indexed="81"/>
            <rFont val="Tahoma"/>
            <family val="2"/>
          </rPr>
          <t>Existing buildings have access to their metered  energy consumption. This allows predicted savings generated by the tool (in Step 2) to be mapped against real data.</t>
        </r>
      </text>
    </comment>
    <comment ref="M19" authorId="0" shapeId="0" xr:uid="{00000000-0006-0000-0100-000006000000}">
      <text>
        <r>
          <rPr>
            <sz val="9"/>
            <color indexed="81"/>
            <rFont val="Tahoma"/>
            <family val="2"/>
          </rPr>
          <t xml:space="preserve">New buildings and major refurbishments use benchmark data to automatically estimate their energy consumption.
</t>
        </r>
      </text>
    </comment>
    <comment ref="H24" authorId="0" shapeId="0" xr:uid="{00000000-0006-0000-0100-000007000000}">
      <text>
        <r>
          <rPr>
            <sz val="9"/>
            <color indexed="81"/>
            <rFont val="Tahoma"/>
            <family val="2"/>
          </rPr>
          <t xml:space="preserve">Net Internal Area (NIA)
</t>
        </r>
      </text>
    </comment>
    <comment ref="M24" authorId="0" shapeId="0" xr:uid="{00000000-0006-0000-0100-000008000000}">
      <text>
        <r>
          <rPr>
            <sz val="9"/>
            <color indexed="81"/>
            <rFont val="Tahoma"/>
            <family val="2"/>
          </rPr>
          <t xml:space="preserve">Define the area of project works
</t>
        </r>
      </text>
    </comment>
    <comment ref="K26" authorId="0" shapeId="0" xr:uid="{00000000-0006-0000-0100-000009000000}">
      <text>
        <r>
          <rPr>
            <sz val="9"/>
            <color indexed="81"/>
            <rFont val="Tahoma"/>
            <family val="2"/>
          </rPr>
          <t xml:space="preserve">Building use for existing buildings predefined.
</t>
        </r>
      </text>
    </comment>
    <comment ref="M26" authorId="0" shapeId="0" xr:uid="{00000000-0006-0000-0100-00000A000000}">
      <text>
        <r>
          <rPr>
            <sz val="9"/>
            <color indexed="81"/>
            <rFont val="Tahoma"/>
            <family val="2"/>
          </rPr>
          <t xml:space="preserve">Define building use by entering percentages against the types of spaces proposed for in your building.
Note: Total percentage to equal 100% otherwise cells will turn red .
</t>
        </r>
      </text>
    </comment>
    <comment ref="K35" authorId="0" shapeId="0" xr:uid="{00000000-0006-0000-0100-00000B000000}">
      <text>
        <r>
          <rPr>
            <sz val="9"/>
            <color indexed="81"/>
            <rFont val="Tahoma"/>
            <family val="2"/>
          </rPr>
          <t xml:space="preserve">Energy consumption benchmarks are used to estimate the energy split of metered energy consumption.
You can override these and enter your own by following the link to DATA on the left hand side of this sheet. 
</t>
        </r>
      </text>
    </comment>
    <comment ref="M35" authorId="0" shapeId="0" xr:uid="{00000000-0006-0000-0100-00000C000000}">
      <text>
        <r>
          <rPr>
            <sz val="9"/>
            <color indexed="81"/>
            <rFont val="Tahoma"/>
            <family val="2"/>
          </rPr>
          <t>Energy consumption benchmarks are used to predict the energy use of new buildings.
You can override these and enter your own by following the link to DATA on the left hand side of this sheet.</t>
        </r>
      </text>
    </comment>
    <comment ref="O35" authorId="0" shapeId="0" xr:uid="{00000000-0006-0000-0100-00000D000000}">
      <text>
        <r>
          <rPr>
            <sz val="9"/>
            <color indexed="81"/>
            <rFont val="Tahoma"/>
            <family val="2"/>
          </rPr>
          <t xml:space="preserve">Estimated annual energy consumption for your building before any energy efficiency initiatives are included.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 Raymond</author>
  </authors>
  <commentList>
    <comment ref="O10" authorId="0" shapeId="0" xr:uid="{00000000-0006-0000-0200-000001000000}">
      <text>
        <r>
          <rPr>
            <sz val="9"/>
            <color indexed="81"/>
            <rFont val="Tahoma"/>
            <family val="2"/>
          </rPr>
          <t>Select and work through  each of the tools that are relevant to the scope of your project. 
Note: The tools calculate approximate savings using typical calculation methodologies.</t>
        </r>
      </text>
    </comment>
    <comment ref="Q10" authorId="0" shapeId="0" xr:uid="{00000000-0006-0000-0200-000002000000}">
      <text>
        <r>
          <rPr>
            <sz val="9"/>
            <color indexed="81"/>
            <rFont val="Tahoma"/>
            <family val="2"/>
          </rPr>
          <t xml:space="preserve">Once you have worked through and completed the individual tools, relevant to the scope your project, use the individual and cumulative payback periods, illustrated below, to help you select the changes to include within your final proposal. </t>
        </r>
      </text>
    </comment>
    <comment ref="V10" authorId="0" shapeId="0" xr:uid="{00000000-0006-0000-0200-000003000000}">
      <text>
        <r>
          <rPr>
            <sz val="9"/>
            <color indexed="81"/>
            <rFont val="Tahoma"/>
            <family val="2"/>
          </rPr>
          <t>Select the changes to include in your final option.
Note: only 'included'  changes will influence the results.</t>
        </r>
      </text>
    </comment>
    <comment ref="C25" authorId="0" shapeId="0" xr:uid="{00000000-0006-0000-0200-000004000000}">
      <text>
        <r>
          <rPr>
            <sz val="9"/>
            <color indexed="81"/>
            <rFont val="Tahoma"/>
            <family val="2"/>
          </rPr>
          <t>Carbon savings for preferred option of 
included changes selected in the 'Decision Panel'</t>
        </r>
      </text>
    </comment>
    <comment ref="C30" authorId="0" shapeId="0" xr:uid="{00000000-0006-0000-0200-000005000000}">
      <text>
        <r>
          <rPr>
            <sz val="9"/>
            <color indexed="81"/>
            <rFont val="Tahoma"/>
            <family val="2"/>
          </rPr>
          <t>Cost savings for preferred option of included changes  selected in the 'Decision Panel'</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 Raymond</author>
  </authors>
  <commentList>
    <comment ref="K10" authorId="0" shapeId="0" xr:uid="{00000000-0006-0000-0300-000001000000}">
      <text>
        <r>
          <rPr>
            <sz val="9"/>
            <color indexed="81"/>
            <rFont val="Tahoma"/>
            <family val="2"/>
          </rPr>
          <t xml:space="preserve">The 'Current' scenario should reflect a 'Do the Minimum' approach, addressing the costs required to maintain the current option. 
This could be expressed through higher maintenance costs and/or more frequent replacement costs, compared with the 'Preferred' and 'Second' options.
</t>
        </r>
      </text>
    </comment>
    <comment ref="S10" authorId="0" shapeId="0" xr:uid="{00000000-0006-0000-0300-000002000000}">
      <text>
        <r>
          <rPr>
            <sz val="9"/>
            <color indexed="81"/>
            <rFont val="Tahoma"/>
            <family val="2"/>
          </rPr>
          <t xml:space="preserve">Net Present Value (NPV) is the difference between the present value of cash inflows and the present value of cash outflows.  It takes into account capital costs, operational costs/revenues and also introduces the "time value of money", with the discounting of future net cash flows.
Refer to the NPV in capital budgeting to analyse the profitability of a projected investment or project. Use the calculation to support the financial decision making, for example, when to replace an existing asset.
Note: The graph plots NPV year after year, providing a better understanding of these cash flows.
</t>
        </r>
      </text>
    </comment>
    <comment ref="P11" authorId="0" shapeId="0" xr:uid="{00000000-0006-0000-0300-000003000000}">
      <text>
        <r>
          <rPr>
            <sz val="9"/>
            <color indexed="81"/>
            <rFont val="Tahoma"/>
            <family val="2"/>
          </rPr>
          <t>If change included in final selection on 'Step 2' home page;  estimated saving will be applied to total building energy consumption  after all other selected interventions.</t>
        </r>
      </text>
    </comment>
    <comment ref="Q13" authorId="0" shapeId="0" xr:uid="{00000000-0006-0000-0300-000004000000}">
      <text>
        <r>
          <rPr>
            <sz val="9"/>
            <color indexed="81"/>
            <rFont val="Tahoma"/>
            <family val="2"/>
          </rPr>
          <t xml:space="preserve">Percentage saving against 'Current' scenario.
</t>
        </r>
      </text>
    </comment>
    <comment ref="I15" authorId="0" shapeId="0" xr:uid="{00000000-0006-0000-0300-000005000000}">
      <text>
        <r>
          <rPr>
            <sz val="9"/>
            <color indexed="81"/>
            <rFont val="Tahoma"/>
            <family val="2"/>
          </rPr>
          <t xml:space="preserve">Note: Gas/DH mix defined for your building based on existing metered data.
</t>
        </r>
      </text>
    </comment>
    <comment ref="O15" authorId="0" shapeId="0" xr:uid="{00000000-0006-0000-0300-000006000000}">
      <text>
        <r>
          <rPr>
            <sz val="9"/>
            <color indexed="81"/>
            <rFont val="Tahoma"/>
            <family val="2"/>
          </rPr>
          <t xml:space="preserve">Note: Gas/DH mix defined for your building based on existing metered data.
</t>
        </r>
      </text>
    </comment>
    <comment ref="J18" authorId="0" shapeId="0" xr:uid="{00000000-0006-0000-0300-000007000000}">
      <text>
        <r>
          <rPr>
            <sz val="9"/>
            <color indexed="81"/>
            <rFont val="Tahoma"/>
            <family val="2"/>
          </rPr>
          <t xml:space="preserve">One off capital cost to occur at the time specified below. 
Note: For the 'Current' scenario, in most cases,  this is likely to be left blank.
</t>
        </r>
      </text>
    </comment>
    <comment ref="P18" authorId="0" shapeId="0" xr:uid="{00000000-0006-0000-0300-000008000000}">
      <text>
        <r>
          <rPr>
            <sz val="9"/>
            <color indexed="81"/>
            <rFont val="Tahoma"/>
            <family val="2"/>
          </rPr>
          <t>One off capital cost to occur at the time specified below. 
Note: For the 'Current' scenario, in most cases,  this is likely to be left blank.</t>
        </r>
      </text>
    </comment>
    <comment ref="J19" authorId="0" shapeId="0" xr:uid="{00000000-0006-0000-0300-000009000000}">
      <text>
        <r>
          <rPr>
            <sz val="9"/>
            <color indexed="81"/>
            <rFont val="Tahoma"/>
            <family val="2"/>
          </rPr>
          <t xml:space="preserve">Capital cost to occur at this time.
Note: The capital cost entered will be adjusted for inflation to reflect the year it occurs.
</t>
        </r>
      </text>
    </comment>
    <comment ref="P19" authorId="0" shapeId="0" xr:uid="{00000000-0006-0000-0300-00000A000000}">
      <text>
        <r>
          <rPr>
            <sz val="9"/>
            <color indexed="81"/>
            <rFont val="Tahoma"/>
            <family val="2"/>
          </rPr>
          <t>Capital cost to occur at this time.
Note: The capital cost entered will be adjusted for inflation to reflect the year it occurs.</t>
        </r>
      </text>
    </comment>
    <comment ref="J21" authorId="0" shapeId="0" xr:uid="{00000000-0006-0000-0300-00000B000000}">
      <text>
        <r>
          <rPr>
            <sz val="9"/>
            <color indexed="81"/>
            <rFont val="Tahoma"/>
            <family val="2"/>
          </rPr>
          <t>Operational costs (excluding energy costs) associated with the option. For example parts and labour for maintenance.
Note: This cost will occur annually and is adjusted for inflation.</t>
        </r>
      </text>
    </comment>
    <comment ref="P21" authorId="0" shapeId="0" xr:uid="{00000000-0006-0000-0300-00000C000000}">
      <text>
        <r>
          <rPr>
            <sz val="9"/>
            <color indexed="81"/>
            <rFont val="Tahoma"/>
            <family val="2"/>
          </rPr>
          <t>Operational costs (excluding energy costs) associated with the option. For example parts and labour for maintenance.
Note: This cost will occur annually and is adjusted for inflation.</t>
        </r>
      </text>
    </comment>
    <comment ref="J22" authorId="0" shapeId="0" xr:uid="{00000000-0006-0000-0300-00000D000000}">
      <text>
        <r>
          <rPr>
            <sz val="9"/>
            <color indexed="81"/>
            <rFont val="Tahoma"/>
            <family val="2"/>
          </rPr>
          <t>Operational revenues accrued from Feed in Tariffs (FIT),  Renewable Heat Incentive (RHI) or similar. 
Note: Typically revenue would only be expected when the project is generating renewable energy.</t>
        </r>
      </text>
    </comment>
    <comment ref="P22" authorId="0" shapeId="0" xr:uid="{00000000-0006-0000-0300-00000E000000}">
      <text>
        <r>
          <rPr>
            <sz val="9"/>
            <color indexed="81"/>
            <rFont val="Tahoma"/>
            <family val="2"/>
          </rPr>
          <t>Operational revenues accrued from Feed in Tariffs (FIT),  Renewable Heat Incentive (RHI) or similar. 
Note: Typically revenue would only be expected when the project is generating renewable energy.</t>
        </r>
      </text>
    </comment>
    <comment ref="J23" authorId="0" shapeId="0" xr:uid="{00000000-0006-0000-0300-00000F000000}">
      <text>
        <r>
          <rPr>
            <sz val="9"/>
            <color indexed="81"/>
            <rFont val="Tahoma"/>
            <family val="2"/>
          </rPr>
          <t>Periodic costs that occur at the replacement period defined below. For example, replacing a piece of equipment at its end of life. 
Note: A 'Replacement period' must be defined below for the replacement cost to occur.</t>
        </r>
      </text>
    </comment>
    <comment ref="P23" authorId="0" shapeId="0" xr:uid="{00000000-0006-0000-0300-000010000000}">
      <text>
        <r>
          <rPr>
            <sz val="9"/>
            <color indexed="81"/>
            <rFont val="Tahoma"/>
            <family val="2"/>
          </rPr>
          <t>Periodic costs that occur at the replacement period defined below. For example, replacing a piece of equipment at its end of life. 
Note: A 'Replacement period' must be defined below for the replacement cost to occur.</t>
        </r>
      </text>
    </comment>
    <comment ref="J24" authorId="0" shapeId="0" xr:uid="{00000000-0006-0000-0300-000011000000}">
      <text>
        <r>
          <rPr>
            <sz val="9"/>
            <color indexed="81"/>
            <rFont val="Tahoma"/>
            <family val="2"/>
          </rPr>
          <t xml:space="preserve">Replacement cost to occur at this frequency and  from the time of change as defined above. 
Note: If 'Time until change' is left blank the replacement period will begin from year 0.
</t>
        </r>
      </text>
    </comment>
    <comment ref="P24" authorId="0" shapeId="0" xr:uid="{00000000-0006-0000-0300-000012000000}">
      <text>
        <r>
          <rPr>
            <sz val="9"/>
            <color indexed="81"/>
            <rFont val="Tahoma"/>
            <family val="2"/>
          </rPr>
          <t xml:space="preserve">Replacement cost to occur at this frequency and  from the time of change as defined above. 
Note: If 'Time until change' is left blank the replacement period will begin from year 0.
</t>
        </r>
      </text>
    </comment>
    <comment ref="Q31" authorId="0" shapeId="0" xr:uid="{00000000-0006-0000-0300-000013000000}">
      <text>
        <r>
          <rPr>
            <sz val="9"/>
            <color indexed="81"/>
            <rFont val="Tahoma"/>
            <family val="2"/>
          </rPr>
          <t xml:space="preserve">Percentage saving against 'Current' scenario.
</t>
        </r>
      </text>
    </comment>
    <comment ref="O33" authorId="0" shapeId="0" xr:uid="{00000000-0006-0000-0300-000014000000}">
      <text>
        <r>
          <rPr>
            <sz val="9"/>
            <color indexed="81"/>
            <rFont val="Tahoma"/>
            <family val="2"/>
          </rPr>
          <t>Note: Gas/DH mix defined for your building based on existing metered data.</t>
        </r>
      </text>
    </comment>
    <comment ref="P36" authorId="0" shapeId="0" xr:uid="{00000000-0006-0000-0300-000015000000}">
      <text>
        <r>
          <rPr>
            <sz val="9"/>
            <color indexed="81"/>
            <rFont val="Tahoma"/>
            <family val="2"/>
          </rPr>
          <t xml:space="preserve">One off capital cost to occur at the time specified below. 
Note: For the 'Current' scenario, in most cases,  this is likely to be left blank.
</t>
        </r>
      </text>
    </comment>
    <comment ref="P37" authorId="0" shapeId="0" xr:uid="{00000000-0006-0000-0300-000016000000}">
      <text>
        <r>
          <rPr>
            <sz val="9"/>
            <color indexed="81"/>
            <rFont val="Tahoma"/>
            <family val="2"/>
          </rPr>
          <t xml:space="preserve">Capital cost to occur at this time.
Note: The capital cost entered will be adjusted for inflation to reflect the year it occurs.
</t>
        </r>
      </text>
    </comment>
    <comment ref="P39" authorId="0" shapeId="0" xr:uid="{00000000-0006-0000-0300-000017000000}">
      <text>
        <r>
          <rPr>
            <sz val="9"/>
            <color indexed="81"/>
            <rFont val="Tahoma"/>
            <family val="2"/>
          </rPr>
          <t xml:space="preserve">Operational costs (excluding energy costs) associated with the option. For example parts and labour for maintenance.
Note: This cost will occur annually and is adjusted for inflation.
</t>
        </r>
      </text>
    </comment>
    <comment ref="P40" authorId="0" shapeId="0" xr:uid="{00000000-0006-0000-0300-000018000000}">
      <text>
        <r>
          <rPr>
            <sz val="9"/>
            <color indexed="81"/>
            <rFont val="Tahoma"/>
            <family val="2"/>
          </rPr>
          <t xml:space="preserve">Operational revenues accrued from Feed in Tariffs (FIT),  Renewable Heat Incentive (RHI) or similar. 
Note: Typically revenue would only be expected when the project is generating renewable energy.
</t>
        </r>
      </text>
    </comment>
    <comment ref="P41" authorId="0" shapeId="0" xr:uid="{00000000-0006-0000-0300-000019000000}">
      <text>
        <r>
          <rPr>
            <sz val="9"/>
            <color indexed="81"/>
            <rFont val="Tahoma"/>
            <family val="2"/>
          </rPr>
          <t xml:space="preserve">Periodic costs that occur at the replacement period defined below. For example, replacing a piece of equipment at its end of life. 
Note: A 'Replacement period' must be defined below for the replacement cost to occur.
</t>
        </r>
      </text>
    </comment>
    <comment ref="P42" authorId="0" shapeId="0" xr:uid="{00000000-0006-0000-0300-00001A000000}">
      <text>
        <r>
          <rPr>
            <sz val="9"/>
            <color indexed="81"/>
            <rFont val="Tahoma"/>
            <family val="2"/>
          </rPr>
          <t xml:space="preserve">Replacement cost to occur at this frequency and  from the time of change as defined above. 
Note: If 'Time until change' is left blank the replacement period will begin from year 0.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 Raymond</author>
  </authors>
  <commentList>
    <comment ref="K10" authorId="0" shapeId="0" xr:uid="{00000000-0006-0000-0400-000001000000}">
      <text>
        <r>
          <rPr>
            <sz val="9"/>
            <color indexed="81"/>
            <rFont val="Tahoma"/>
            <family val="2"/>
          </rPr>
          <t>The 'Current' scenario should reflect a 'Do the Minimum' approach, addressing the costs required to maintain the current option. 
This could be expressed through higher maintenance costs and/or more frequent replacement costs, compared with the 'Preferred' and 'Second' options.</t>
        </r>
      </text>
    </comment>
    <comment ref="S10" authorId="0" shapeId="0" xr:uid="{00000000-0006-0000-0400-000002000000}">
      <text>
        <r>
          <rPr>
            <sz val="9"/>
            <color indexed="81"/>
            <rFont val="Tahoma"/>
            <family val="2"/>
          </rPr>
          <t xml:space="preserve">Net Present Value (NPV) is the difference between the present value of cash inflows and the present value of cash outflows.  It takes into account capital costs, operational costs/revenues and also introduces the "time value of money", with the discounting of future net cash flows.
Refer to the NPV in capital budgeting to analyse the profitability of a projected investment or project. Use the calculation to support the financial decision making, for example, when to replace an existing asset.
Note: The graph plots NPV year after year, providing a better understanding of these cash flows.
</t>
        </r>
      </text>
    </comment>
    <comment ref="Q13" authorId="0" shapeId="0" xr:uid="{00000000-0006-0000-0400-000003000000}">
      <text>
        <r>
          <rPr>
            <sz val="9"/>
            <color indexed="81"/>
            <rFont val="Tahoma"/>
            <family val="2"/>
          </rPr>
          <t xml:space="preserve">Percentage saving against 'Current' scenario
</t>
        </r>
      </text>
    </comment>
    <comment ref="I15" authorId="0" shapeId="0" xr:uid="{00000000-0006-0000-0400-000004000000}">
      <text>
        <r>
          <rPr>
            <sz val="9"/>
            <color indexed="81"/>
            <rFont val="Tahoma"/>
            <family val="2"/>
          </rPr>
          <t xml:space="preserve">Note: Gas/DH mix defined for your building based on existing metered data.
</t>
        </r>
      </text>
    </comment>
    <comment ref="O15" authorId="0" shapeId="0" xr:uid="{00000000-0006-0000-0400-000005000000}">
      <text>
        <r>
          <rPr>
            <sz val="9"/>
            <color indexed="81"/>
            <rFont val="Tahoma"/>
            <family val="2"/>
          </rPr>
          <t xml:space="preserve">Note: Gas/DH mix defined for your building based on existing metered data.
</t>
        </r>
      </text>
    </comment>
    <comment ref="J18" authorId="0" shapeId="0" xr:uid="{00000000-0006-0000-0400-000006000000}">
      <text>
        <r>
          <rPr>
            <sz val="9"/>
            <color indexed="81"/>
            <rFont val="Tahoma"/>
            <family val="2"/>
          </rPr>
          <t>One off capital cost to occur at the time specified below. 
Note: For the 'Current' scenario, in most cases,  this is likely to be left blank.</t>
        </r>
      </text>
    </comment>
    <comment ref="P18" authorId="0" shapeId="0" xr:uid="{00000000-0006-0000-0400-000007000000}">
      <text>
        <r>
          <rPr>
            <sz val="9"/>
            <color indexed="81"/>
            <rFont val="Tahoma"/>
            <family val="2"/>
          </rPr>
          <t xml:space="preserve">One off capital cost to occur at the time specified below. 
Note: For the 'Current' scenario, in most cases,  this is likely to be left blank.
</t>
        </r>
      </text>
    </comment>
    <comment ref="J19" authorId="0" shapeId="0" xr:uid="{00000000-0006-0000-0400-000008000000}">
      <text>
        <r>
          <rPr>
            <sz val="9"/>
            <color indexed="81"/>
            <rFont val="Tahoma"/>
            <family val="2"/>
          </rPr>
          <t xml:space="preserve">Capital cost to occur at this time.
Note: The capital cost entered will be adjusted for inflation to reflect the year it occurs.
</t>
        </r>
      </text>
    </comment>
    <comment ref="P19" authorId="0" shapeId="0" xr:uid="{00000000-0006-0000-0400-000009000000}">
      <text>
        <r>
          <rPr>
            <sz val="9"/>
            <color indexed="81"/>
            <rFont val="Tahoma"/>
            <family val="2"/>
          </rPr>
          <t xml:space="preserve">Capital cost to occur at this time.
Note: The capital cost entered will be adjusted for inflation to reflect the year it occurs.
</t>
        </r>
      </text>
    </comment>
    <comment ref="J21" authorId="0" shapeId="0" xr:uid="{00000000-0006-0000-0400-00000A000000}">
      <text>
        <r>
          <rPr>
            <sz val="9"/>
            <color indexed="81"/>
            <rFont val="Tahoma"/>
            <family val="2"/>
          </rPr>
          <t xml:space="preserve">Operational costs (excluding energy costs) associated with the option. For example parts and labour for maintenance.
Note: This cost will occur annually and is adjusted for inflation.
</t>
        </r>
      </text>
    </comment>
    <comment ref="P21" authorId="0" shapeId="0" xr:uid="{00000000-0006-0000-0400-00000B000000}">
      <text>
        <r>
          <rPr>
            <sz val="9"/>
            <color indexed="81"/>
            <rFont val="Tahoma"/>
            <family val="2"/>
          </rPr>
          <t xml:space="preserve">Operational costs (excluding energy costs) associated with the option. For example parts and labour for maintenance.
Note: This cost will occur annually and is adjusted for inflation.
</t>
        </r>
      </text>
    </comment>
    <comment ref="J22" authorId="0" shapeId="0" xr:uid="{00000000-0006-0000-0400-00000C000000}">
      <text>
        <r>
          <rPr>
            <sz val="9"/>
            <color indexed="81"/>
            <rFont val="Tahoma"/>
            <family val="2"/>
          </rPr>
          <t>Operational revenues accrued from Feed in Tariffs (FIT),  Renewable Heat Incentive (RHI) or similar. 
Note: Typically revenue would only be expected when the project is generating renewable energy.</t>
        </r>
      </text>
    </comment>
    <comment ref="P22" authorId="0" shapeId="0" xr:uid="{00000000-0006-0000-0400-00000D000000}">
      <text>
        <r>
          <rPr>
            <sz val="9"/>
            <color indexed="81"/>
            <rFont val="Tahoma"/>
            <family val="2"/>
          </rPr>
          <t xml:space="preserve">Operational revenues accrued from Feed in Tariffs (FIT),  Renewable Heat Incentive (RHI) or similar. 
Note: Typically revenue would only be expected when the project is generating renewable energy.
</t>
        </r>
      </text>
    </comment>
    <comment ref="J23" authorId="0" shapeId="0" xr:uid="{00000000-0006-0000-0400-00000E000000}">
      <text>
        <r>
          <rPr>
            <sz val="9"/>
            <color indexed="81"/>
            <rFont val="Tahoma"/>
            <family val="2"/>
          </rPr>
          <t>Periodic costs that occur at the replacement period defined below. For example, replacing a piece of equipment at its end of life. 
Note: A 'Replacement period' must be defined below for the replacement cost to occur.</t>
        </r>
      </text>
    </comment>
    <comment ref="P23" authorId="0" shapeId="0" xr:uid="{00000000-0006-0000-0400-00000F000000}">
      <text>
        <r>
          <rPr>
            <sz val="9"/>
            <color indexed="81"/>
            <rFont val="Tahoma"/>
            <family val="2"/>
          </rPr>
          <t xml:space="preserve">Periodic costs that occur at the replacement period defined below. For example, replacing a piece of equipment at its end of life. 
Note: A 'Replacement period' must be defined below for the replacement cost to occur.
</t>
        </r>
      </text>
    </comment>
    <comment ref="J24" authorId="0" shapeId="0" xr:uid="{00000000-0006-0000-0400-000010000000}">
      <text>
        <r>
          <rPr>
            <sz val="9"/>
            <color indexed="81"/>
            <rFont val="Tahoma"/>
            <family val="2"/>
          </rPr>
          <t>Replacement cost to occur at this frequency and  from the time of change as defined above. 
Note: If 'Time until change' is left blank the replacement period will begin from year 0.</t>
        </r>
      </text>
    </comment>
    <comment ref="P24" authorId="0" shapeId="0" xr:uid="{00000000-0006-0000-0400-000011000000}">
      <text>
        <r>
          <rPr>
            <sz val="9"/>
            <color indexed="81"/>
            <rFont val="Tahoma"/>
            <family val="2"/>
          </rPr>
          <t>Replacement cost to occur at this frequency and  from the time of change as defined above. 
Note: If 'Time until change' is left blank the replacement period will begin from year 0.</t>
        </r>
      </text>
    </comment>
    <comment ref="Q31" authorId="0" shapeId="0" xr:uid="{00000000-0006-0000-0400-000012000000}">
      <text>
        <r>
          <rPr>
            <sz val="9"/>
            <color indexed="81"/>
            <rFont val="Tahoma"/>
            <family val="2"/>
          </rPr>
          <t xml:space="preserve">Percentage saving against 'Current' scenario
</t>
        </r>
      </text>
    </comment>
    <comment ref="O33" authorId="0" shapeId="0" xr:uid="{00000000-0006-0000-0400-000013000000}">
      <text>
        <r>
          <rPr>
            <sz val="9"/>
            <color indexed="81"/>
            <rFont val="Tahoma"/>
            <family val="2"/>
          </rPr>
          <t>Note: Gas/DH mix defined for your building based on existing metered data.</t>
        </r>
      </text>
    </comment>
    <comment ref="P36" authorId="0" shapeId="0" xr:uid="{00000000-0006-0000-0400-000014000000}">
      <text>
        <r>
          <rPr>
            <sz val="9"/>
            <color indexed="81"/>
            <rFont val="Tahoma"/>
            <family val="2"/>
          </rPr>
          <t xml:space="preserve">One off capital cost to occur at the time specified below. 
Note: For the 'Current' scenario, in most cases,  this is likely to be left blank.
</t>
        </r>
      </text>
    </comment>
    <comment ref="P37" authorId="0" shapeId="0" xr:uid="{00000000-0006-0000-0400-000015000000}">
      <text>
        <r>
          <rPr>
            <sz val="9"/>
            <color indexed="81"/>
            <rFont val="Tahoma"/>
            <family val="2"/>
          </rPr>
          <t xml:space="preserve">Capital cost to occur at this time.
Note: The capital cost entered will be adjusted for inflation to reflect the year it occurs.
</t>
        </r>
      </text>
    </comment>
    <comment ref="P39" authorId="0" shapeId="0" xr:uid="{00000000-0006-0000-0400-000016000000}">
      <text>
        <r>
          <rPr>
            <sz val="9"/>
            <color indexed="81"/>
            <rFont val="Tahoma"/>
            <family val="2"/>
          </rPr>
          <t xml:space="preserve">Operational costs (excluding energy costs) associated with the option. For example parts and labour for maintenance.
Note: This cost will occur annually and is adjusted for inflation.
</t>
        </r>
      </text>
    </comment>
    <comment ref="P40" authorId="0" shapeId="0" xr:uid="{00000000-0006-0000-0400-000017000000}">
      <text>
        <r>
          <rPr>
            <sz val="9"/>
            <color indexed="81"/>
            <rFont val="Tahoma"/>
            <family val="2"/>
          </rPr>
          <t xml:space="preserve">Operational revenues accrued from Feed in Tariffs (FIT),  Renewable Heat Incentive (RHI) or similar. 
Note: Typically revenue would only be expected when the project is generating renewable energy.
</t>
        </r>
      </text>
    </comment>
    <comment ref="P41" authorId="0" shapeId="0" xr:uid="{00000000-0006-0000-0400-000018000000}">
      <text>
        <r>
          <rPr>
            <sz val="9"/>
            <color indexed="81"/>
            <rFont val="Tahoma"/>
            <family val="2"/>
          </rPr>
          <t>Periodic costs that occur at the replacement period defined below. For example, replacing a piece of equipment at its end of life. 
Note: A 'Replacement period' must be defined below for the replacement cost to occur.</t>
        </r>
      </text>
    </comment>
    <comment ref="P42" authorId="0" shapeId="0" xr:uid="{00000000-0006-0000-0400-000019000000}">
      <text>
        <r>
          <rPr>
            <sz val="9"/>
            <color indexed="81"/>
            <rFont val="Tahoma"/>
            <family val="2"/>
          </rPr>
          <t xml:space="preserve">Replacement cost to occur at this frequency and  from the time of change as defined above. 
Note: If 'Time until change' is left blank the replacement period will begin from year 0.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Daniel Raymond</author>
  </authors>
  <commentList>
    <comment ref="S10" authorId="0" shapeId="0" xr:uid="{00000000-0006-0000-0500-000001000000}">
      <text>
        <r>
          <rPr>
            <sz val="9"/>
            <color indexed="81"/>
            <rFont val="Tahoma"/>
            <family val="2"/>
          </rPr>
          <t xml:space="preserve">Net Present Value (NPV) is the difference between the present value of cash inflows and the present value of cash outflows.  It takes into account capital costs, operational costs/revenues and also introduces the "time value of money", with the discounting of future net cash flows.
Refer to the NPV in capital budgeting to analyse the profitability of a projected investment or project. Use the calculation to support the financial decision making, for example, when to replace an existing asset.
Note: The graph plots NPV year after year, providing a better understanding of these cash flows.
</t>
        </r>
      </text>
    </comment>
    <comment ref="J11" authorId="0" shapeId="0" xr:uid="{00000000-0006-0000-0500-000002000000}">
      <text>
        <r>
          <rPr>
            <sz val="9"/>
            <color indexed="81"/>
            <rFont val="Tahoma"/>
            <family val="2"/>
          </rPr>
          <t>The 'Current' scenario should reflect a 'Do the Minimum' approach, addressing the costs required to maintain the current option. 
This could be expressed through higher maintenance costs and/or more frequent replacement costs, compared with the 'Preferred' and 'Second' options.</t>
        </r>
      </text>
    </comment>
    <comment ref="Q13" authorId="0" shapeId="0" xr:uid="{00000000-0006-0000-0500-000003000000}">
      <text>
        <r>
          <rPr>
            <sz val="9"/>
            <color indexed="81"/>
            <rFont val="Tahoma"/>
            <family val="2"/>
          </rPr>
          <t xml:space="preserve">Percentage saving against 'Current' scenario
</t>
        </r>
      </text>
    </comment>
    <comment ref="I15" authorId="0" shapeId="0" xr:uid="{00000000-0006-0000-0500-000004000000}">
      <text>
        <r>
          <rPr>
            <sz val="9"/>
            <color indexed="81"/>
            <rFont val="Tahoma"/>
            <family val="2"/>
          </rPr>
          <t xml:space="preserve">Note: Gas/DH mix defined for your building based on existing metered data.
</t>
        </r>
      </text>
    </comment>
    <comment ref="O15" authorId="0" shapeId="0" xr:uid="{00000000-0006-0000-0500-000005000000}">
      <text>
        <r>
          <rPr>
            <sz val="9"/>
            <color indexed="81"/>
            <rFont val="Tahoma"/>
            <family val="2"/>
          </rPr>
          <t xml:space="preserve">Note: Gas/DH mix defined for your building based on existing metered data.
</t>
        </r>
      </text>
    </comment>
    <comment ref="J18" authorId="0" shapeId="0" xr:uid="{00000000-0006-0000-0500-000006000000}">
      <text>
        <r>
          <rPr>
            <sz val="9"/>
            <color indexed="81"/>
            <rFont val="Tahoma"/>
            <family val="2"/>
          </rPr>
          <t>One off capital cost to occur at the time specified below. 
Note: For the 'Current' scenario, in most cases,  this is likely to be left blank.</t>
        </r>
      </text>
    </comment>
    <comment ref="P18" authorId="0" shapeId="0" xr:uid="{00000000-0006-0000-0500-000007000000}">
      <text>
        <r>
          <rPr>
            <sz val="9"/>
            <color indexed="81"/>
            <rFont val="Tahoma"/>
            <family val="2"/>
          </rPr>
          <t xml:space="preserve">One off capital cost to occur at the time specified below. 
Note: For the 'Current' scenario, in most cases,  this is likely to be left blank.
</t>
        </r>
      </text>
    </comment>
    <comment ref="J19" authorId="0" shapeId="0" xr:uid="{00000000-0006-0000-0500-000008000000}">
      <text>
        <r>
          <rPr>
            <sz val="9"/>
            <color indexed="81"/>
            <rFont val="Tahoma"/>
            <family val="2"/>
          </rPr>
          <t xml:space="preserve">Capital cost to occur at this time.
Note: The capital cost entered will be adjusted for inflation to reflect the year it occurs.
</t>
        </r>
      </text>
    </comment>
    <comment ref="P19" authorId="0" shapeId="0" xr:uid="{00000000-0006-0000-0500-000009000000}">
      <text>
        <r>
          <rPr>
            <sz val="9"/>
            <color indexed="81"/>
            <rFont val="Tahoma"/>
            <family val="2"/>
          </rPr>
          <t xml:space="preserve">Capital cost to occur at this time.
Note: The capital cost entered will be adjusted for inflation to reflect the year it occurs.
</t>
        </r>
      </text>
    </comment>
    <comment ref="J21" authorId="0" shapeId="0" xr:uid="{00000000-0006-0000-0500-00000A000000}">
      <text>
        <r>
          <rPr>
            <sz val="9"/>
            <color indexed="81"/>
            <rFont val="Tahoma"/>
            <family val="2"/>
          </rPr>
          <t xml:space="preserve">Operational costs (excluding energy costs) associated with the option. For example parts and labour for maintenance.
Note: This cost will occur annually and is adjusted for inflation.
</t>
        </r>
      </text>
    </comment>
    <comment ref="P21" authorId="0" shapeId="0" xr:uid="{00000000-0006-0000-0500-00000B000000}">
      <text>
        <r>
          <rPr>
            <sz val="9"/>
            <color indexed="81"/>
            <rFont val="Tahoma"/>
            <family val="2"/>
          </rPr>
          <t xml:space="preserve">Operational costs (excluding energy costs) associated with the option. For example parts and labour for maintenance.
Note: This cost will occur annually and is adjusted for inflation.
</t>
        </r>
      </text>
    </comment>
    <comment ref="J22" authorId="0" shapeId="0" xr:uid="{00000000-0006-0000-0500-00000C000000}">
      <text>
        <r>
          <rPr>
            <sz val="9"/>
            <color indexed="81"/>
            <rFont val="Tahoma"/>
            <family val="2"/>
          </rPr>
          <t xml:space="preserve">Operational revenues accrued from Feed in Tariffs (FIT),  Renewable Heat Incentive (RHI) or similar. 
Note: Typically revenue would only be expected when the project is generating renewable energy.
</t>
        </r>
      </text>
    </comment>
    <comment ref="P22" authorId="0" shapeId="0" xr:uid="{00000000-0006-0000-0500-00000D000000}">
      <text>
        <r>
          <rPr>
            <sz val="9"/>
            <color indexed="81"/>
            <rFont val="Tahoma"/>
            <family val="2"/>
          </rPr>
          <t xml:space="preserve">Operational revenues accrued from Feed in Tariffs (FIT),  Renewable Heat Incentive (RHI) or similar. 
Note: Typically revenue would only be expected when the project is generating renewable energy.
</t>
        </r>
      </text>
    </comment>
    <comment ref="J23" authorId="0" shapeId="0" xr:uid="{00000000-0006-0000-0500-00000E000000}">
      <text>
        <r>
          <rPr>
            <sz val="9"/>
            <color indexed="81"/>
            <rFont val="Tahoma"/>
            <family val="2"/>
          </rPr>
          <t>Periodic costs that occur at the replacement period defined below. For example, replacing a piece of equipment at its end of life. 
Note: A 'Replacement period' must be defined below for the replacement cost to occur.</t>
        </r>
      </text>
    </comment>
    <comment ref="P23" authorId="0" shapeId="0" xr:uid="{00000000-0006-0000-0500-00000F000000}">
      <text>
        <r>
          <rPr>
            <sz val="9"/>
            <color indexed="81"/>
            <rFont val="Tahoma"/>
            <family val="2"/>
          </rPr>
          <t xml:space="preserve">Periodic costs that occur at the replacement period defined below. For example, replacing a piece of equipment at its end of life. 
Note: A 'Replacement period' must be defined below for the replacement cost to occur.
</t>
        </r>
      </text>
    </comment>
    <comment ref="J24" authorId="0" shapeId="0" xr:uid="{00000000-0006-0000-0500-000010000000}">
      <text>
        <r>
          <rPr>
            <sz val="9"/>
            <color indexed="81"/>
            <rFont val="Tahoma"/>
            <family val="2"/>
          </rPr>
          <t>Replacement cost to occur at this frequency and  from the time of change as defined above. 
Note: If 'Time until change' is left blank the replacement period will begin from year 0.</t>
        </r>
      </text>
    </comment>
    <comment ref="P24" authorId="0" shapeId="0" xr:uid="{00000000-0006-0000-0500-000011000000}">
      <text>
        <r>
          <rPr>
            <sz val="9"/>
            <color indexed="81"/>
            <rFont val="Tahoma"/>
            <family val="2"/>
          </rPr>
          <t>Replacement cost to occur at this frequency and  from the time of change as defined above. 
Note: If 'Time until change' is left blank the replacement period will begin from year 0.</t>
        </r>
      </text>
    </comment>
    <comment ref="Q31" authorId="0" shapeId="0" xr:uid="{00000000-0006-0000-0500-000012000000}">
      <text>
        <r>
          <rPr>
            <sz val="9"/>
            <color indexed="81"/>
            <rFont val="Tahoma"/>
            <family val="2"/>
          </rPr>
          <t xml:space="preserve">Percentage saving against 'Current' scenario
</t>
        </r>
      </text>
    </comment>
    <comment ref="O33" authorId="0" shapeId="0" xr:uid="{00000000-0006-0000-0500-000013000000}">
      <text>
        <r>
          <rPr>
            <sz val="9"/>
            <color indexed="81"/>
            <rFont val="Tahoma"/>
            <family val="2"/>
          </rPr>
          <t xml:space="preserve">Note: Gas/DH mix defined for your building based on existing metered data.
</t>
        </r>
      </text>
    </comment>
    <comment ref="P36" authorId="0" shapeId="0" xr:uid="{00000000-0006-0000-0500-000014000000}">
      <text>
        <r>
          <rPr>
            <sz val="9"/>
            <color indexed="81"/>
            <rFont val="Tahoma"/>
            <family val="2"/>
          </rPr>
          <t xml:space="preserve">One off capital cost to occur at the time specified below. 
Note: For the 'Current' scenario, in most cases,  this is likely to be left blank.
</t>
        </r>
      </text>
    </comment>
    <comment ref="P37" authorId="0" shapeId="0" xr:uid="{00000000-0006-0000-0500-000015000000}">
      <text>
        <r>
          <rPr>
            <sz val="9"/>
            <color indexed="81"/>
            <rFont val="Tahoma"/>
            <family val="2"/>
          </rPr>
          <t xml:space="preserve">Capital cost to occur at this time.
Note: The capital cost entered will be adjusted for inflation to reflect the year it occurs.
</t>
        </r>
      </text>
    </comment>
    <comment ref="P39" authorId="0" shapeId="0" xr:uid="{00000000-0006-0000-0500-000016000000}">
      <text>
        <r>
          <rPr>
            <sz val="9"/>
            <color indexed="81"/>
            <rFont val="Tahoma"/>
            <family val="2"/>
          </rPr>
          <t xml:space="preserve">Operational costs (excluding energy costs) associated with the option. For example parts and labour for maintenance.
Note: This cost will occur annually and is adjusted for inflation.
</t>
        </r>
      </text>
    </comment>
    <comment ref="P40" authorId="0" shapeId="0" xr:uid="{00000000-0006-0000-0500-000017000000}">
      <text>
        <r>
          <rPr>
            <sz val="9"/>
            <color indexed="81"/>
            <rFont val="Tahoma"/>
            <family val="2"/>
          </rPr>
          <t xml:space="preserve">Operational revenues accrued from Feed in Tariffs (FIT),  Renewable Heat Incentive (RHI) or similar. 
Note: Typically revenue would only be expected when the project is generating renewable energy.
</t>
        </r>
      </text>
    </comment>
    <comment ref="P41" authorId="0" shapeId="0" xr:uid="{00000000-0006-0000-0500-000018000000}">
      <text>
        <r>
          <rPr>
            <sz val="9"/>
            <color indexed="81"/>
            <rFont val="Tahoma"/>
            <family val="2"/>
          </rPr>
          <t>Periodic costs that occur at the replacement period defined below. For example, replacing a piece of equipment at its end of life. 
Note: A 'Replacement period' must be defined below for the replacement cost to occur.</t>
        </r>
      </text>
    </comment>
    <comment ref="P42" authorId="0" shapeId="0" xr:uid="{00000000-0006-0000-0500-000019000000}">
      <text>
        <r>
          <rPr>
            <sz val="9"/>
            <color indexed="81"/>
            <rFont val="Tahoma"/>
            <family val="2"/>
          </rPr>
          <t xml:space="preserve">Replacement cost to occur at this frequency and  from the time of change as defined above. 
Note: If 'Time until change' is left blank the replacement period will begin from year 0.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Daniel Raymond</author>
  </authors>
  <commentList>
    <comment ref="S10" authorId="0" shapeId="0" xr:uid="{00000000-0006-0000-0600-000001000000}">
      <text>
        <r>
          <rPr>
            <sz val="9"/>
            <color indexed="81"/>
            <rFont val="Tahoma"/>
            <family val="2"/>
          </rPr>
          <t xml:space="preserve">Net Present Value (NPV) is the difference between the present value of cash inflows and the present value of cash outflows.  It takes into account capital costs, operational costs/revenues and also introduces the "time value of money", with the discounting of future net cash flows.
Refer to the NPV in capital budgeting to analyse the profitability of a projected investment or project. Use the calculation to support the financial decision making, for example, when to replace an existing asset.
Note: The graph plots NPV year after year, providing a better understanding of these cash flows.
</t>
        </r>
      </text>
    </comment>
    <comment ref="J11" authorId="0" shapeId="0" xr:uid="{00000000-0006-0000-0600-000002000000}">
      <text>
        <r>
          <rPr>
            <sz val="9"/>
            <color indexed="81"/>
            <rFont val="Tahoma"/>
            <family val="2"/>
          </rPr>
          <t xml:space="preserve">Whole building heating  consumption as defined from the energy split of metered data in Step 1.
</t>
        </r>
      </text>
    </comment>
    <comment ref="P11" authorId="0" shapeId="0" xr:uid="{00000000-0006-0000-0600-000003000000}">
      <text>
        <r>
          <rPr>
            <sz val="9"/>
            <color indexed="81"/>
            <rFont val="Tahoma"/>
            <family val="2"/>
          </rPr>
          <t xml:space="preserve">Metered data adjusted, according to relative percentage saving estimated below.
</t>
        </r>
      </text>
    </comment>
    <comment ref="AB11" authorId="0" shapeId="0" xr:uid="{00000000-0006-0000-0600-000004000000}">
      <text>
        <r>
          <rPr>
            <sz val="9"/>
            <color indexed="81"/>
            <rFont val="Tahoma"/>
            <family val="2"/>
          </rPr>
          <t xml:space="preserve">Metered data adjusted, according to relative percentage saving estimated below.
</t>
        </r>
      </text>
    </comment>
    <comment ref="P13" authorId="0" shapeId="0" xr:uid="{00000000-0006-0000-0600-000005000000}">
      <text>
        <r>
          <rPr>
            <sz val="9"/>
            <color indexed="81"/>
            <rFont val="Tahoma"/>
            <family val="2"/>
          </rPr>
          <t xml:space="preserve">Relative percentage saving based on theoretical energy modelling comparing the 'Current' and 'Preferred Option'. 
</t>
        </r>
      </text>
    </comment>
    <comment ref="AB13" authorId="0" shapeId="0" xr:uid="{00000000-0006-0000-0600-000006000000}">
      <text>
        <r>
          <rPr>
            <sz val="9"/>
            <color indexed="81"/>
            <rFont val="Tahoma"/>
            <family val="2"/>
          </rPr>
          <t xml:space="preserve">Relative percentage saving based on theoretical energy modelling comparing the 'Current' and 'Second Option'.
</t>
        </r>
      </text>
    </comment>
    <comment ref="J17" authorId="0" shapeId="0" xr:uid="{00000000-0006-0000-0600-000007000000}">
      <text>
        <r>
          <rPr>
            <sz val="9"/>
            <color indexed="81"/>
            <rFont val="Tahoma"/>
            <family val="2"/>
          </rPr>
          <t xml:space="preserve">Enter existing areas of building fabric for all components even for those you are not planning on changing. 
</t>
        </r>
      </text>
    </comment>
    <comment ref="P17" authorId="0" shapeId="0" xr:uid="{00000000-0006-0000-0600-000008000000}">
      <text>
        <r>
          <rPr>
            <sz val="9"/>
            <color indexed="81"/>
            <rFont val="Tahoma"/>
            <family val="2"/>
          </rPr>
          <t xml:space="preserve">Inputs left blank will use areas from the 'Current' option.
</t>
        </r>
      </text>
    </comment>
    <comment ref="AB17" authorId="0" shapeId="0" xr:uid="{00000000-0006-0000-0600-000009000000}">
      <text>
        <r>
          <rPr>
            <sz val="9"/>
            <color indexed="81"/>
            <rFont val="Tahoma"/>
            <family val="2"/>
          </rPr>
          <t xml:space="preserve">Inputs left blank will use areas from the 'Current' option.
</t>
        </r>
      </text>
    </comment>
    <comment ref="P18" authorId="0" shapeId="0" xr:uid="{00000000-0006-0000-0600-00000A000000}">
      <text>
        <r>
          <rPr>
            <sz val="9"/>
            <color indexed="81"/>
            <rFont val="Tahoma"/>
            <family val="2"/>
          </rPr>
          <t xml:space="preserve">Check total window and wall area do not exceed  the 'Current' option.
</t>
        </r>
      </text>
    </comment>
    <comment ref="AB18" authorId="0" shapeId="0" xr:uid="{00000000-0006-0000-0600-00000B000000}">
      <text>
        <r>
          <rPr>
            <sz val="9"/>
            <color indexed="81"/>
            <rFont val="Tahoma"/>
            <family val="2"/>
          </rPr>
          <t xml:space="preserve">Check total window and wall area do not exceed  the 'Current' option.
</t>
        </r>
      </text>
    </comment>
    <comment ref="P19" authorId="0" shapeId="0" xr:uid="{00000000-0006-0000-0600-00000C000000}">
      <text>
        <r>
          <rPr>
            <sz val="9"/>
            <color indexed="81"/>
            <rFont val="Tahoma"/>
            <family val="2"/>
          </rPr>
          <t xml:space="preserve">Check total window and wall area do not exceed  the 'Current' option.
</t>
        </r>
      </text>
    </comment>
    <comment ref="AB19" authorId="0" shapeId="0" xr:uid="{00000000-0006-0000-0600-00000D000000}">
      <text>
        <r>
          <rPr>
            <sz val="9"/>
            <color indexed="81"/>
            <rFont val="Tahoma"/>
            <family val="2"/>
          </rPr>
          <t xml:space="preserve">Check total window and wall area do not exceed  the 'Current' option.
</t>
        </r>
      </text>
    </comment>
    <comment ref="P20" authorId="0" shapeId="0" xr:uid="{00000000-0006-0000-0600-00000E000000}">
      <text>
        <r>
          <rPr>
            <sz val="9"/>
            <color indexed="81"/>
            <rFont val="Tahoma"/>
            <family val="2"/>
          </rPr>
          <t xml:space="preserve">Check roof area does not exceed  the 'Current' option.
</t>
        </r>
      </text>
    </comment>
    <comment ref="AB20" authorId="0" shapeId="0" xr:uid="{00000000-0006-0000-0600-00000F000000}">
      <text>
        <r>
          <rPr>
            <sz val="9"/>
            <color indexed="81"/>
            <rFont val="Tahoma"/>
            <family val="2"/>
          </rPr>
          <t xml:space="preserve">Check roof area does not exceed  the 'Current' option.
</t>
        </r>
      </text>
    </comment>
    <comment ref="P21" authorId="0" shapeId="0" xr:uid="{00000000-0006-0000-0600-000010000000}">
      <text>
        <r>
          <rPr>
            <sz val="9"/>
            <color indexed="81"/>
            <rFont val="Tahoma"/>
            <family val="2"/>
          </rPr>
          <t xml:space="preserve">Check ground floor area does not exceed  the 'Current' option.
</t>
        </r>
      </text>
    </comment>
    <comment ref="AB21" authorId="0" shapeId="0" xr:uid="{00000000-0006-0000-0600-000011000000}">
      <text>
        <r>
          <rPr>
            <sz val="9"/>
            <color indexed="81"/>
            <rFont val="Tahoma"/>
            <family val="2"/>
          </rPr>
          <t xml:space="preserve">Check ground floor area does not exceed  the 'Current' option.
</t>
        </r>
      </text>
    </comment>
    <comment ref="K27" authorId="0" shapeId="0" xr:uid="{00000000-0006-0000-0600-000012000000}">
      <text>
        <r>
          <rPr>
            <sz val="9"/>
            <color indexed="81"/>
            <rFont val="Tahoma"/>
            <family val="2"/>
          </rPr>
          <t xml:space="preserve">Corresponding U-values for building fabric type selections.
</t>
        </r>
      </text>
    </comment>
    <comment ref="Q27" authorId="0" shapeId="0" xr:uid="{00000000-0006-0000-0600-000013000000}">
      <text>
        <r>
          <rPr>
            <sz val="9"/>
            <color indexed="81"/>
            <rFont val="Tahoma"/>
            <family val="2"/>
          </rPr>
          <t xml:space="preserve">Corresponding U-values for building fabric type selections.
</t>
        </r>
      </text>
    </comment>
    <comment ref="AC27" authorId="0" shapeId="0" xr:uid="{00000000-0006-0000-0600-000014000000}">
      <text>
        <r>
          <rPr>
            <sz val="9"/>
            <color indexed="81"/>
            <rFont val="Tahoma"/>
            <family val="2"/>
          </rPr>
          <t xml:space="preserve">Corresponding U-values for building fabric type selections.
</t>
        </r>
      </text>
    </comment>
    <comment ref="I28" authorId="0" shapeId="0" xr:uid="{00000000-0006-0000-0600-000015000000}">
      <text>
        <r>
          <rPr>
            <sz val="9"/>
            <color indexed="81"/>
            <rFont val="Tahoma"/>
            <family val="2"/>
          </rPr>
          <t xml:space="preserve">Select 'user defined' and enter the window U-value or select a predefined construction type.
</t>
        </r>
      </text>
    </comment>
    <comment ref="O28" authorId="0" shapeId="0" xr:uid="{00000000-0006-0000-0600-000016000000}">
      <text>
        <r>
          <rPr>
            <sz val="9"/>
            <color indexed="81"/>
            <rFont val="Tahoma"/>
            <family val="2"/>
          </rPr>
          <t>Select 'user defined' and enter the window U-value or select a predefined construction type.</t>
        </r>
        <r>
          <rPr>
            <sz val="9"/>
            <color indexed="81"/>
            <rFont val="Tahoma"/>
            <charset val="1"/>
          </rPr>
          <t xml:space="preserve">
</t>
        </r>
      </text>
    </comment>
    <comment ref="AA28" authorId="0" shapeId="0" xr:uid="{00000000-0006-0000-0600-000017000000}">
      <text>
        <r>
          <rPr>
            <sz val="9"/>
            <color indexed="81"/>
            <rFont val="Tahoma"/>
            <family val="2"/>
          </rPr>
          <t xml:space="preserve">Select 'user defined' and enter the window U-value or select a predefined construction type.
</t>
        </r>
      </text>
    </comment>
    <comment ref="I29" authorId="0" shapeId="0" xr:uid="{00000000-0006-0000-0600-000018000000}">
      <text>
        <r>
          <rPr>
            <sz val="9"/>
            <color indexed="81"/>
            <rFont val="Tahoma"/>
            <family val="2"/>
          </rPr>
          <t>Select 'user defined' and enter the external wall U-value or select a predefined construction type.</t>
        </r>
      </text>
    </comment>
    <comment ref="O29" authorId="0" shapeId="0" xr:uid="{00000000-0006-0000-0600-000019000000}">
      <text>
        <r>
          <rPr>
            <sz val="9"/>
            <color indexed="81"/>
            <rFont val="Tahoma"/>
            <family val="2"/>
          </rPr>
          <t>Select 'user defined' and enter the external wall U-value or select a predefined construction type.</t>
        </r>
        <r>
          <rPr>
            <sz val="9"/>
            <color indexed="81"/>
            <rFont val="Tahoma"/>
            <charset val="1"/>
          </rPr>
          <t xml:space="preserve">
</t>
        </r>
      </text>
    </comment>
    <comment ref="AA29" authorId="0" shapeId="0" xr:uid="{00000000-0006-0000-0600-00001A000000}">
      <text>
        <r>
          <rPr>
            <sz val="9"/>
            <color indexed="81"/>
            <rFont val="Tahoma"/>
            <family val="2"/>
          </rPr>
          <t xml:space="preserve">Select 'user defined' and enter the external wall U-value or select a predefined construction type.
</t>
        </r>
      </text>
    </comment>
    <comment ref="I30" authorId="0" shapeId="0" xr:uid="{00000000-0006-0000-0600-00001B000000}">
      <text>
        <r>
          <rPr>
            <sz val="9"/>
            <color indexed="81"/>
            <rFont val="Tahoma"/>
            <family val="2"/>
          </rPr>
          <t xml:space="preserve">Select 'user defined' and enter the roof U-value or select a predefined construction type.
</t>
        </r>
      </text>
    </comment>
    <comment ref="O30" authorId="0" shapeId="0" xr:uid="{00000000-0006-0000-0600-00001C000000}">
      <text>
        <r>
          <rPr>
            <sz val="9"/>
            <color indexed="81"/>
            <rFont val="Tahoma"/>
            <family val="2"/>
          </rPr>
          <t>Select 'user defined' and enter the roof U-value or select a predefined construction type.</t>
        </r>
        <r>
          <rPr>
            <sz val="9"/>
            <color indexed="81"/>
            <rFont val="Tahoma"/>
            <charset val="1"/>
          </rPr>
          <t xml:space="preserve">
</t>
        </r>
      </text>
    </comment>
    <comment ref="AA30" authorId="0" shapeId="0" xr:uid="{00000000-0006-0000-0600-00001D000000}">
      <text>
        <r>
          <rPr>
            <sz val="9"/>
            <color indexed="81"/>
            <rFont val="Tahoma"/>
            <family val="2"/>
          </rPr>
          <t xml:space="preserve">Select 'user defined' and enter the roof U-value or select a predefined construction type.
</t>
        </r>
      </text>
    </comment>
    <comment ref="I31" authorId="0" shapeId="0" xr:uid="{00000000-0006-0000-0600-00001E000000}">
      <text>
        <r>
          <rPr>
            <sz val="9"/>
            <color indexed="81"/>
            <rFont val="Tahoma"/>
            <family val="2"/>
          </rPr>
          <t xml:space="preserve">Select 'user defined' and enter the ground floor U-value or select a predefined construction type.
</t>
        </r>
      </text>
    </comment>
    <comment ref="O31" authorId="0" shapeId="0" xr:uid="{00000000-0006-0000-0600-00001F000000}">
      <text>
        <r>
          <rPr>
            <sz val="9"/>
            <color indexed="81"/>
            <rFont val="Tahoma"/>
            <family val="2"/>
          </rPr>
          <t>Select 'user defined' and enter the ground floor U-value or select a predefined construction type.</t>
        </r>
        <r>
          <rPr>
            <sz val="9"/>
            <color indexed="81"/>
            <rFont val="Tahoma"/>
            <charset val="1"/>
          </rPr>
          <t xml:space="preserve">
</t>
        </r>
      </text>
    </comment>
    <comment ref="AA31" authorId="0" shapeId="0" xr:uid="{00000000-0006-0000-0600-000020000000}">
      <text>
        <r>
          <rPr>
            <sz val="9"/>
            <color indexed="81"/>
            <rFont val="Tahoma"/>
            <family val="2"/>
          </rPr>
          <t xml:space="preserve">Select 'user defined' and enter the ground floor U-value or select a predefined construction type.
</t>
        </r>
      </text>
    </comment>
    <comment ref="O33" authorId="0" shapeId="0" xr:uid="{00000000-0006-0000-0600-000021000000}">
      <text>
        <r>
          <rPr>
            <sz val="9"/>
            <color indexed="81"/>
            <rFont val="Tahoma"/>
            <family val="2"/>
          </rPr>
          <t xml:space="preserve">Use this to reflect improvements from sealing up openings and gaps around the building.
</t>
        </r>
      </text>
    </comment>
    <comment ref="AA33" authorId="0" shapeId="0" xr:uid="{00000000-0006-0000-0600-000022000000}">
      <text>
        <r>
          <rPr>
            <sz val="9"/>
            <color indexed="81"/>
            <rFont val="Tahoma"/>
            <family val="2"/>
          </rPr>
          <t xml:space="preserve">Use this to reflect improvements from sealing up openings and gaps around the building.
</t>
        </r>
      </text>
    </comment>
    <comment ref="J34" authorId="0" shapeId="0" xr:uid="{00000000-0006-0000-0600-000023000000}">
      <text>
        <r>
          <rPr>
            <sz val="9"/>
            <color indexed="81"/>
            <rFont val="Tahoma"/>
            <family val="2"/>
          </rPr>
          <t xml:space="preserve">Enter the infiltration rate as air changes per hour (ACH).
</t>
        </r>
      </text>
    </comment>
    <comment ref="P34" authorId="0" shapeId="0" xr:uid="{00000000-0006-0000-0600-000024000000}">
      <text>
        <r>
          <rPr>
            <sz val="9"/>
            <color indexed="81"/>
            <rFont val="Tahoma"/>
            <family val="2"/>
          </rPr>
          <t xml:space="preserve">Enter the infiltration rate as air changes per hour (ACH).
</t>
        </r>
      </text>
    </comment>
    <comment ref="AB34" authorId="0" shapeId="0" xr:uid="{00000000-0006-0000-0600-000025000000}">
      <text>
        <r>
          <rPr>
            <sz val="9"/>
            <color indexed="81"/>
            <rFont val="Tahoma"/>
            <family val="2"/>
          </rPr>
          <t xml:space="preserve">Enter the infiltration rate as air changes per hour (ACH).
</t>
        </r>
      </text>
    </comment>
    <comment ref="J37" authorId="0" shapeId="0" xr:uid="{00000000-0006-0000-0600-000026000000}">
      <text>
        <r>
          <rPr>
            <sz val="9"/>
            <color indexed="81"/>
            <rFont val="Tahoma"/>
            <family val="2"/>
          </rPr>
          <t xml:space="preserve">One off capital cost to occur at the time specified below. 
Note: For the 'Current' scenario, in most cases,  this is likely to be left blank.
</t>
        </r>
      </text>
    </comment>
    <comment ref="P37" authorId="0" shapeId="0" xr:uid="{00000000-0006-0000-0600-000027000000}">
      <text>
        <r>
          <rPr>
            <sz val="9"/>
            <color indexed="81"/>
            <rFont val="Tahoma"/>
            <family val="2"/>
          </rPr>
          <t xml:space="preserve">One off capital cost to occur at the time specified below. 
Note: For the 'Current' scenario, in most cases,  this is likely to be left blank.
</t>
        </r>
      </text>
    </comment>
    <comment ref="AB37" authorId="0" shapeId="0" xr:uid="{00000000-0006-0000-0600-000028000000}">
      <text>
        <r>
          <rPr>
            <sz val="9"/>
            <color indexed="81"/>
            <rFont val="Tahoma"/>
            <family val="2"/>
          </rPr>
          <t xml:space="preserve">One off capital cost to occur at the time specified below. 
Note: For the 'Current' scenario, in most cases,  this is likely to be left blank.
</t>
        </r>
      </text>
    </comment>
    <comment ref="J38" authorId="0" shapeId="0" xr:uid="{00000000-0006-0000-0600-000029000000}">
      <text>
        <r>
          <rPr>
            <sz val="9"/>
            <color indexed="81"/>
            <rFont val="Tahoma"/>
            <family val="2"/>
          </rPr>
          <t xml:space="preserve">Capital cost to occur at this time.
Note: The capital cost entered will be adjusted for inflation to reflect the year it occurs.
</t>
        </r>
      </text>
    </comment>
    <comment ref="P38" authorId="0" shapeId="0" xr:uid="{00000000-0006-0000-0600-00002A000000}">
      <text>
        <r>
          <rPr>
            <sz val="9"/>
            <color indexed="81"/>
            <rFont val="Tahoma"/>
            <family val="2"/>
          </rPr>
          <t xml:space="preserve">Capital cost to occur at this time.
Note: The capital cost entered will be adjusted for inflation to reflect the year it occurs.
</t>
        </r>
      </text>
    </comment>
    <comment ref="AB38" authorId="0" shapeId="0" xr:uid="{00000000-0006-0000-0600-00002B000000}">
      <text>
        <r>
          <rPr>
            <sz val="9"/>
            <color indexed="81"/>
            <rFont val="Tahoma"/>
            <family val="2"/>
          </rPr>
          <t xml:space="preserve">Capital cost to occur at this time.
Note: The capital cost entered will be adjusted for inflation to reflect the year it occurs.
</t>
        </r>
      </text>
    </comment>
    <comment ref="J40" authorId="0" shapeId="0" xr:uid="{00000000-0006-0000-0600-00002C000000}">
      <text>
        <r>
          <rPr>
            <sz val="9"/>
            <color indexed="81"/>
            <rFont val="Tahoma"/>
            <family val="2"/>
          </rPr>
          <t xml:space="preserve">Operational costs (excluding energy costs) associated with the option. For example parts and labour for maintenance.
Note: This cost will occur annually and is adjusted for inflation.
</t>
        </r>
      </text>
    </comment>
    <comment ref="P40" authorId="0" shapeId="0" xr:uid="{00000000-0006-0000-0600-00002D000000}">
      <text>
        <r>
          <rPr>
            <sz val="9"/>
            <color indexed="81"/>
            <rFont val="Tahoma"/>
            <family val="2"/>
          </rPr>
          <t xml:space="preserve">Operational costs (excluding energy costs) associated with the option. For example parts and labour for maintenance.
Note: This cost will occur annually and is adjusted for inflation.
</t>
        </r>
      </text>
    </comment>
    <comment ref="AB40" authorId="0" shapeId="0" xr:uid="{00000000-0006-0000-0600-00002E000000}">
      <text>
        <r>
          <rPr>
            <sz val="9"/>
            <color indexed="81"/>
            <rFont val="Tahoma"/>
            <family val="2"/>
          </rPr>
          <t xml:space="preserve">Operational costs (excluding energy costs) associated with the option. For example parts and labour for maintenance.
Note: This cost will occur annually and is adjusted for inflation.
</t>
        </r>
      </text>
    </comment>
    <comment ref="J42" authorId="0" shapeId="0" xr:uid="{00000000-0006-0000-0600-00002F000000}">
      <text>
        <r>
          <rPr>
            <sz val="9"/>
            <color indexed="81"/>
            <rFont val="Tahoma"/>
            <family val="2"/>
          </rPr>
          <t xml:space="preserve">Periodic costs that occur at the replacement period defined below. For example, replacing a piece of fabric at its end of life. 
Note: A 'Replacement period' must be defined below for the replacement cost to occur.
</t>
        </r>
      </text>
    </comment>
    <comment ref="P42" authorId="0" shapeId="0" xr:uid="{00000000-0006-0000-0600-000030000000}">
      <text>
        <r>
          <rPr>
            <sz val="9"/>
            <color indexed="81"/>
            <rFont val="Tahoma"/>
            <family val="2"/>
          </rPr>
          <t xml:space="preserve">Periodic costs that occur at the replacement period defined below. For example, replacing a piece of fabric at its end of life. 
Note: A 'Replacement period' must be defined below for the replacement cost to occur.
</t>
        </r>
      </text>
    </comment>
    <comment ref="AB42" authorId="0" shapeId="0" xr:uid="{00000000-0006-0000-0600-000031000000}">
      <text>
        <r>
          <rPr>
            <sz val="9"/>
            <color indexed="81"/>
            <rFont val="Tahoma"/>
            <family val="2"/>
          </rPr>
          <t xml:space="preserve">Replacement cost to occur at this frequency and  from the time of change as defined above. 
Note: If 'Time until change' is left blank the replacement period will begin from year 0.
</t>
        </r>
      </text>
    </comment>
    <comment ref="J43" authorId="0" shapeId="0" xr:uid="{00000000-0006-0000-0600-000032000000}">
      <text>
        <r>
          <rPr>
            <sz val="9"/>
            <color indexed="81"/>
            <rFont val="Tahoma"/>
            <family val="2"/>
          </rPr>
          <t xml:space="preserve">Replacement cost to occur at this frequency and  from the time of change as defined above. 
Note: If 'Time until change' is left blank the replacement period will begin from year 0.
</t>
        </r>
      </text>
    </comment>
    <comment ref="P43" authorId="0" shapeId="0" xr:uid="{00000000-0006-0000-0600-000033000000}">
      <text>
        <r>
          <rPr>
            <sz val="9"/>
            <color indexed="81"/>
            <rFont val="Tahoma"/>
            <family val="2"/>
          </rPr>
          <t xml:space="preserve">Replacement cost to occur at this frequency and  from the time of change as defined above. 
Note: If 'Time until change' is left blank the replacement period will begin from year 0.
</t>
        </r>
      </text>
    </comment>
    <comment ref="AB43" authorId="0" shapeId="0" xr:uid="{00000000-0006-0000-0600-000034000000}">
      <text>
        <r>
          <rPr>
            <sz val="9"/>
            <color indexed="81"/>
            <rFont val="Tahoma"/>
            <family val="2"/>
          </rPr>
          <t xml:space="preserve">Replacement cost to occur at this frequency and  from the time of change as defined above. 
Note: If 'Time until change' is left blank the replacement period will begin from year 0.
</t>
        </r>
      </text>
    </comment>
    <comment ref="J45" authorId="0" shapeId="0" xr:uid="{00000000-0006-0000-0600-000035000000}">
      <text>
        <r>
          <rPr>
            <sz val="9"/>
            <color indexed="81"/>
            <rFont val="Tahoma"/>
            <family val="2"/>
          </rPr>
          <t xml:space="preserve">Value for reference only.
Theoretically calculated using typical methodologies (includes the use of Heating Degree Days).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Daniel Raymond</author>
  </authors>
  <commentList>
    <comment ref="S10" authorId="0" shapeId="0" xr:uid="{00000000-0006-0000-0700-000001000000}">
      <text>
        <r>
          <rPr>
            <sz val="9"/>
            <color indexed="81"/>
            <rFont val="Tahoma"/>
            <family val="2"/>
          </rPr>
          <t xml:space="preserve">Net Present Value (NPV) is the difference between the present value of cash inflows and the present value of cash outflows.  It takes into account capital costs, operational costs/revenues and also introduces the "time value of money", with the discounting of future net cash flows.
Refer to the NPV in capital budgeting to analyse the profitability of a projected investment or project. Use the calculation to support the financial decision making, for example, when to replace an existing asset.
Note: The graph plots NPV year after year, providing a better understanding of these cash flows.
</t>
        </r>
      </text>
    </comment>
    <comment ref="J11" authorId="0" shapeId="0" xr:uid="{00000000-0006-0000-0700-000002000000}">
      <text>
        <r>
          <rPr>
            <sz val="9"/>
            <color indexed="81"/>
            <rFont val="Tahoma"/>
            <family val="2"/>
          </rPr>
          <t>Theoretically calculated using typical methodologies (includes the use of Heating Degree Days).
Note: Ventilation tool is heating only. Currently calculating the energy to heat fresh air, not cool it.
Note: Will highlight red if calculated space heating energy is greater then metred data from Step 1.</t>
        </r>
      </text>
    </comment>
    <comment ref="K11" authorId="0" shapeId="0" xr:uid="{00000000-0006-0000-0700-000003000000}">
      <text>
        <r>
          <rPr>
            <sz val="9"/>
            <color indexed="81"/>
            <rFont val="Tahoma"/>
            <family val="2"/>
          </rPr>
          <t xml:space="preserve">Note: Warning indicates calculated space heating energy is greater then metred data from Step 1.
</t>
        </r>
      </text>
    </comment>
    <comment ref="P11" authorId="0" shapeId="0" xr:uid="{00000000-0006-0000-0700-000004000000}">
      <text>
        <r>
          <rPr>
            <sz val="9"/>
            <color indexed="81"/>
            <rFont val="Tahoma"/>
            <family val="2"/>
          </rPr>
          <t>If change included in final selection on 'Step 2' home page;  estimated space heating saving to be applied after fabric savings.</t>
        </r>
      </text>
    </comment>
    <comment ref="Q11" authorId="0" shapeId="0" xr:uid="{00000000-0006-0000-0700-000005000000}">
      <text>
        <r>
          <rPr>
            <sz val="9"/>
            <color indexed="81"/>
            <rFont val="Tahoma"/>
            <family val="2"/>
          </rPr>
          <t xml:space="preserve">Note: Warning indicates calculated space heating energy is greater then metred data from Step 1.
</t>
        </r>
      </text>
    </comment>
    <comment ref="AB11" authorId="0" shapeId="0" xr:uid="{00000000-0006-0000-0700-000006000000}">
      <text>
        <r>
          <rPr>
            <sz val="9"/>
            <color indexed="81"/>
            <rFont val="Tahoma"/>
            <family val="2"/>
          </rPr>
          <t>If change included in final selection on 'Step 2' home page;  estimated space heating saving to be applied after fabric savings.</t>
        </r>
      </text>
    </comment>
    <comment ref="AC11" authorId="0" shapeId="0" xr:uid="{00000000-0006-0000-0700-000007000000}">
      <text>
        <r>
          <rPr>
            <sz val="9"/>
            <color indexed="81"/>
            <rFont val="Tahoma"/>
            <family val="2"/>
          </rPr>
          <t xml:space="preserve">Note: Warning indicates calculated space heating energy is greater then metred data from Step 1.
</t>
        </r>
      </text>
    </comment>
    <comment ref="P16" authorId="0" shapeId="0" xr:uid="{00000000-0006-0000-0700-000008000000}">
      <text>
        <r>
          <rPr>
            <sz val="9"/>
            <color indexed="81"/>
            <rFont val="Tahoma"/>
            <family val="2"/>
          </rPr>
          <t xml:space="preserve">12 litres/second/person is recommended for office spaces.
</t>
        </r>
      </text>
    </comment>
    <comment ref="AB16" authorId="0" shapeId="0" xr:uid="{00000000-0006-0000-0700-000009000000}">
      <text>
        <r>
          <rPr>
            <sz val="9"/>
            <color indexed="81"/>
            <rFont val="Tahoma"/>
            <family val="2"/>
          </rPr>
          <t xml:space="preserve">12 litres/second/person is recommended for office spaces.
</t>
        </r>
      </text>
    </comment>
    <comment ref="I23" authorId="0" shapeId="0" xr:uid="{00000000-0006-0000-0700-00000A000000}">
      <text>
        <r>
          <rPr>
            <sz val="9"/>
            <color indexed="81"/>
            <rFont val="Tahoma"/>
            <family val="2"/>
          </rPr>
          <t xml:space="preserve">This refers to natural ventilation with BMS control, i.e., modifying the ventilation flow rate provided by natural means in the space
based on some form of control.
</t>
        </r>
      </text>
    </comment>
    <comment ref="O23" authorId="0" shapeId="0" xr:uid="{00000000-0006-0000-0700-00000B000000}">
      <text>
        <r>
          <rPr>
            <sz val="9"/>
            <color indexed="81"/>
            <rFont val="Tahoma"/>
            <family val="2"/>
          </rPr>
          <t xml:space="preserve">This refers to natural ventilation with BMS control, i.e., modifying the ventilation flow rate provided by natural means in the space
based on some form of control.
</t>
        </r>
      </text>
    </comment>
    <comment ref="AA23" authorId="0" shapeId="0" xr:uid="{00000000-0006-0000-0700-00000C000000}">
      <text>
        <r>
          <rPr>
            <sz val="9"/>
            <color indexed="81"/>
            <rFont val="Tahoma"/>
            <family val="2"/>
          </rPr>
          <t xml:space="preserve">This refers to natural ventilation with BMS control, i.e., modifying the ventilation flow rate provided by natural means in the space
based on some form of control.
</t>
        </r>
      </text>
    </comment>
    <comment ref="K29" authorId="0" shapeId="0" xr:uid="{00000000-0006-0000-0700-00000D000000}">
      <text>
        <r>
          <rPr>
            <sz val="9"/>
            <color indexed="81"/>
            <rFont val="Tahoma"/>
            <family val="2"/>
          </rPr>
          <t xml:space="preserve">Note: Warning indicates calculated auxiliary energy is greater then metred data from Step 1.
</t>
        </r>
      </text>
    </comment>
    <comment ref="Q29" authorId="0" shapeId="0" xr:uid="{00000000-0006-0000-0700-00000E000000}">
      <text>
        <r>
          <rPr>
            <sz val="9"/>
            <color indexed="81"/>
            <rFont val="Tahoma"/>
            <family val="2"/>
          </rPr>
          <t xml:space="preserve">Note: Warning indicates calculated auxiliary energy is greater then metred data from Step 1.
</t>
        </r>
      </text>
    </comment>
    <comment ref="AC29" authorId="0" shapeId="0" xr:uid="{00000000-0006-0000-0700-00000F000000}">
      <text>
        <r>
          <rPr>
            <sz val="9"/>
            <color indexed="81"/>
            <rFont val="Tahoma"/>
            <family val="2"/>
          </rPr>
          <t xml:space="preserve">Note: Warning indicates calculated auxiliary energy is greater then metred data from Step 1.
</t>
        </r>
      </text>
    </comment>
    <comment ref="G32" authorId="0" shapeId="0" xr:uid="{00000000-0006-0000-0700-000010000000}">
      <text>
        <r>
          <rPr>
            <sz val="9"/>
            <color indexed="81"/>
            <rFont val="Tahoma"/>
            <family val="2"/>
          </rPr>
          <t xml:space="preserve">Specific fan power (SFP)
</t>
        </r>
      </text>
    </comment>
    <comment ref="I32" authorId="0" shapeId="0" xr:uid="{00000000-0006-0000-0700-000011000000}">
      <text>
        <r>
          <rPr>
            <sz val="9"/>
            <color indexed="81"/>
            <rFont val="Tahoma"/>
            <family val="2"/>
          </rPr>
          <t xml:space="preserve">Select 'user defined' and enter the SFP of your  air distribution system or select a predefined system.
</t>
        </r>
      </text>
    </comment>
    <comment ref="M32" authorId="0" shapeId="0" xr:uid="{00000000-0006-0000-0700-000012000000}">
      <text>
        <r>
          <rPr>
            <sz val="9"/>
            <color indexed="81"/>
            <rFont val="Tahoma"/>
            <family val="2"/>
          </rPr>
          <t xml:space="preserve">Specific fan power (SFP)
</t>
        </r>
      </text>
    </comment>
    <comment ref="O32" authorId="0" shapeId="0" xr:uid="{00000000-0006-0000-0700-000013000000}">
      <text>
        <r>
          <rPr>
            <sz val="9"/>
            <color indexed="81"/>
            <rFont val="Tahoma"/>
            <family val="2"/>
          </rPr>
          <t xml:space="preserve">Select 'user defined' and enter the SFP of your  air distribution system or select a predefined system.
</t>
        </r>
      </text>
    </comment>
    <comment ref="Y32" authorId="0" shapeId="0" xr:uid="{00000000-0006-0000-0700-000014000000}">
      <text>
        <r>
          <rPr>
            <sz val="9"/>
            <color indexed="81"/>
            <rFont val="Tahoma"/>
            <family val="2"/>
          </rPr>
          <t xml:space="preserve">Specific fan power (SFP)
</t>
        </r>
      </text>
    </comment>
    <comment ref="AA32" authorId="0" shapeId="0" xr:uid="{00000000-0006-0000-0700-000015000000}">
      <text>
        <r>
          <rPr>
            <sz val="9"/>
            <color indexed="81"/>
            <rFont val="Tahoma"/>
            <family val="2"/>
          </rPr>
          <t xml:space="preserve">Select 'user defined' and enter the SFP of your  air distribution system or select a predefined system.
</t>
        </r>
      </text>
    </comment>
    <comment ref="I33" authorId="0" shapeId="0" xr:uid="{00000000-0006-0000-0700-000016000000}">
      <text>
        <r>
          <rPr>
            <sz val="9"/>
            <color indexed="81"/>
            <rFont val="Tahoma"/>
            <family val="2"/>
          </rPr>
          <t xml:space="preserve">In addition to affecting the fresh air load (i.e.  energy to heat the fresh air), demand control of ventilation can also affect the auxiliary energy;  where the air flow regulation
uses fan speed control.
</t>
        </r>
      </text>
    </comment>
    <comment ref="O33" authorId="0" shapeId="0" xr:uid="{00000000-0006-0000-0700-000017000000}">
      <text>
        <r>
          <rPr>
            <sz val="9"/>
            <color indexed="81"/>
            <rFont val="Tahoma"/>
            <family val="2"/>
          </rPr>
          <t xml:space="preserve">In addition to affecting the fresh air load (i.e.  energy to heat the fresh air), demand control of ventilation can also affect the auxiliary energy;  where the air flow regulation
uses fan speed control.
</t>
        </r>
      </text>
    </comment>
    <comment ref="AA33" authorId="0" shapeId="0" xr:uid="{00000000-0006-0000-0700-000018000000}">
      <text>
        <r>
          <rPr>
            <sz val="9"/>
            <color indexed="81"/>
            <rFont val="Tahoma"/>
            <family val="2"/>
          </rPr>
          <t xml:space="preserve">In addition to affecting the fresh air load (i.e.  energy to heat the fresh air), demand control of ventilation can also affect the auxiliary energy;  where the air flow regulation
uses fan speed control.
</t>
        </r>
      </text>
    </comment>
    <comment ref="J36" authorId="0" shapeId="0" xr:uid="{00000000-0006-0000-0700-000019000000}">
      <text>
        <r>
          <rPr>
            <sz val="9"/>
            <color indexed="81"/>
            <rFont val="Tahoma"/>
            <family val="2"/>
          </rPr>
          <t xml:space="preserve">Estimate hours of ventilation operation. 
Note: This is only used to calculate auxiliary energy associated with the ventilation systems fans.
</t>
        </r>
      </text>
    </comment>
    <comment ref="P36" authorId="0" shapeId="0" xr:uid="{00000000-0006-0000-0700-00001A000000}">
      <text>
        <r>
          <rPr>
            <sz val="9"/>
            <color indexed="81"/>
            <rFont val="Tahoma"/>
            <family val="2"/>
          </rPr>
          <t xml:space="preserve">Estimate hours of ventilation operation. 
Note: This is only used to calculate auxiliary energy associated with the ventilation systems fans.
</t>
        </r>
      </text>
    </comment>
    <comment ref="AB36" authorId="0" shapeId="0" xr:uid="{00000000-0006-0000-0700-00001B000000}">
      <text>
        <r>
          <rPr>
            <sz val="9"/>
            <color indexed="81"/>
            <rFont val="Tahoma"/>
            <family val="2"/>
          </rPr>
          <t xml:space="preserve">Estimate hours of ventilation operation. 
Note: This is only used to calculate auxiliary energy associated with the ventilation systems fans.
</t>
        </r>
      </text>
    </comment>
    <comment ref="J41" authorId="0" shapeId="0" xr:uid="{00000000-0006-0000-0700-00001C000000}">
      <text>
        <r>
          <rPr>
            <sz val="9"/>
            <color indexed="81"/>
            <rFont val="Tahoma"/>
            <family val="2"/>
          </rPr>
          <t xml:space="preserve">One off capital cost to occur at the time specified below. 
Note: For the 'Current' scenario, in most cases,  this is likely to be left blank.
</t>
        </r>
      </text>
    </comment>
    <comment ref="P41" authorId="0" shapeId="0" xr:uid="{00000000-0006-0000-0700-00001D000000}">
      <text>
        <r>
          <rPr>
            <sz val="9"/>
            <color indexed="81"/>
            <rFont val="Tahoma"/>
            <family val="2"/>
          </rPr>
          <t xml:space="preserve">One off capital cost to occur at the time specified below. 
Note: For the 'Current' scenario, in most cases,  this is likely to be left blank.
</t>
        </r>
      </text>
    </comment>
    <comment ref="AB41" authorId="0" shapeId="0" xr:uid="{00000000-0006-0000-0700-00001E000000}">
      <text>
        <r>
          <rPr>
            <sz val="9"/>
            <color indexed="81"/>
            <rFont val="Tahoma"/>
            <family val="2"/>
          </rPr>
          <t xml:space="preserve">One off capital cost to occur at the time specified below. 
Note: For the 'Current' scenario, in most cases,  this is likely to be left blank.
</t>
        </r>
      </text>
    </comment>
    <comment ref="J42" authorId="0" shapeId="0" xr:uid="{00000000-0006-0000-0700-00001F000000}">
      <text>
        <r>
          <rPr>
            <sz val="9"/>
            <color indexed="81"/>
            <rFont val="Tahoma"/>
            <family val="2"/>
          </rPr>
          <t xml:space="preserve">Capital cost to occur at this time.
Note: The capital cost entered will be adjusted for inflation to reflect the year it occurs.
</t>
        </r>
      </text>
    </comment>
    <comment ref="P42" authorId="0" shapeId="0" xr:uid="{00000000-0006-0000-0700-000020000000}">
      <text>
        <r>
          <rPr>
            <sz val="9"/>
            <color indexed="81"/>
            <rFont val="Tahoma"/>
            <family val="2"/>
          </rPr>
          <t xml:space="preserve">Capital cost to occur at this time.
Note: The capital cost entered will be adjusted for inflation to reflect the year it occurs.
</t>
        </r>
      </text>
    </comment>
    <comment ref="AB42" authorId="0" shapeId="0" xr:uid="{00000000-0006-0000-0700-000021000000}">
      <text>
        <r>
          <rPr>
            <sz val="9"/>
            <color indexed="81"/>
            <rFont val="Tahoma"/>
            <family val="2"/>
          </rPr>
          <t xml:space="preserve">Capital cost to occur at this time.
Note: The capital cost entered will be adjusted for inflation to reflect the year it occurs.
</t>
        </r>
      </text>
    </comment>
    <comment ref="J44" authorId="0" shapeId="0" xr:uid="{00000000-0006-0000-0700-000022000000}">
      <text>
        <r>
          <rPr>
            <sz val="9"/>
            <color indexed="81"/>
            <rFont val="Tahoma"/>
            <family val="2"/>
          </rPr>
          <t xml:space="preserve">Operational costs (excluding energy costs) associated with the option. For example parts and labour for maintenance.
Note: This cost will occur annually and is adjusted for inflation.
</t>
        </r>
      </text>
    </comment>
    <comment ref="P44" authorId="0" shapeId="0" xr:uid="{00000000-0006-0000-0700-000023000000}">
      <text>
        <r>
          <rPr>
            <sz val="9"/>
            <color indexed="81"/>
            <rFont val="Tahoma"/>
            <family val="2"/>
          </rPr>
          <t xml:space="preserve">Operational costs (excluding energy costs) associated with the option. For example parts and labour for maintenance.
Note: This cost will occur annually and is adjusted for inflation.
</t>
        </r>
      </text>
    </comment>
    <comment ref="AB44" authorId="0" shapeId="0" xr:uid="{00000000-0006-0000-0700-000024000000}">
      <text>
        <r>
          <rPr>
            <sz val="9"/>
            <color indexed="81"/>
            <rFont val="Tahoma"/>
            <family val="2"/>
          </rPr>
          <t xml:space="preserve">Operational costs (excluding energy costs) associated with the option. For example parts and labour for maintenance.
Note: This cost will occur annually and is adjusted for inflation.
</t>
        </r>
      </text>
    </comment>
    <comment ref="J46" authorId="0" shapeId="0" xr:uid="{00000000-0006-0000-0700-000025000000}">
      <text>
        <r>
          <rPr>
            <sz val="9"/>
            <color indexed="81"/>
            <rFont val="Tahoma"/>
            <family val="2"/>
          </rPr>
          <t xml:space="preserve">Periodic costs that occur at the replacement period defined below. For example, replacing a piece of fabric at its end of life. 
Note: A 'Replacement period' must be defined below for the replacement cost to occur.
</t>
        </r>
      </text>
    </comment>
    <comment ref="P46" authorId="0" shapeId="0" xr:uid="{00000000-0006-0000-0700-000026000000}">
      <text>
        <r>
          <rPr>
            <sz val="9"/>
            <color indexed="81"/>
            <rFont val="Tahoma"/>
            <family val="2"/>
          </rPr>
          <t xml:space="preserve">Periodic costs that occur at the replacement period defined below. For example, replacing a piece of fabric at its end of life. 
Note: A 'Replacement period' must be defined below for the replacement cost to occur.
</t>
        </r>
      </text>
    </comment>
    <comment ref="AB46" authorId="0" shapeId="0" xr:uid="{00000000-0006-0000-0700-000027000000}">
      <text>
        <r>
          <rPr>
            <sz val="9"/>
            <color indexed="81"/>
            <rFont val="Tahoma"/>
            <family val="2"/>
          </rPr>
          <t xml:space="preserve">Periodic costs that occur at the replacement period defined below. For example, replacing a piece of fabric at its end of life. 
Note: A 'Replacement period' must be defined below for the replacement cost to occur.
</t>
        </r>
      </text>
    </comment>
    <comment ref="J47" authorId="0" shapeId="0" xr:uid="{00000000-0006-0000-0700-000028000000}">
      <text>
        <r>
          <rPr>
            <sz val="9"/>
            <color indexed="81"/>
            <rFont val="Tahoma"/>
            <family val="2"/>
          </rPr>
          <t xml:space="preserve">Replacement cost to occur at this frequency and  from the time of change as defined above. 
Note: If 'Time until change' is left blank the replacement period will begin from year 0.
</t>
        </r>
      </text>
    </comment>
    <comment ref="P47" authorId="0" shapeId="0" xr:uid="{00000000-0006-0000-0700-000029000000}">
      <text>
        <r>
          <rPr>
            <sz val="9"/>
            <color indexed="81"/>
            <rFont val="Tahoma"/>
            <family val="2"/>
          </rPr>
          <t xml:space="preserve">Replacement cost to occur at this frequency and  from the time of change as defined above. 
Note: If 'Time until change' is left blank the replacement period will begin from year 0.
</t>
        </r>
      </text>
    </comment>
    <comment ref="AB47" authorId="0" shapeId="0" xr:uid="{00000000-0006-0000-0700-00002A000000}">
      <text>
        <r>
          <rPr>
            <sz val="9"/>
            <color indexed="81"/>
            <rFont val="Tahoma"/>
            <family val="2"/>
          </rPr>
          <t xml:space="preserve">Replacement cost to occur at this frequency and  from the time of change as defined above. 
Note: If 'Time until change' is left blank the replacement period will begin from year 0.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Daniel Raymond</author>
  </authors>
  <commentList>
    <comment ref="S10" authorId="0" shapeId="0" xr:uid="{00000000-0006-0000-0800-000001000000}">
      <text>
        <r>
          <rPr>
            <sz val="9"/>
            <color indexed="81"/>
            <rFont val="Tahoma"/>
            <family val="2"/>
          </rPr>
          <t xml:space="preserve">Net Present Value (NPV) is the difference between the present value of cash inflows and the present value of cash outflows.  It takes into account capital costs, operational costs/revenues and also introduces the "time value of money", with the discounting of future net cash flows.
Refer to the NPV in capital budgeting to analyse the profitability of a projected investment or project. Use the calculation to support the financial decision making, for example, when to replace an existing asset.
Note: The graph plots NPV year after year, providing a better understanding of these cash flows.
</t>
        </r>
      </text>
    </comment>
    <comment ref="J11" authorId="0" shapeId="0" xr:uid="{00000000-0006-0000-0800-000002000000}">
      <text>
        <r>
          <rPr>
            <sz val="9"/>
            <color indexed="81"/>
            <rFont val="Tahoma"/>
            <family val="2"/>
          </rPr>
          <t xml:space="preserve">Whole building natural gas consumption using metred/benchmarked data (from Step 1) adjusted for space heating savings (from fabric and ventilation tools, if interventions 'selected' on 'Step 2' home page).
</t>
        </r>
      </text>
    </comment>
    <comment ref="O18" authorId="0" shapeId="0" xr:uid="{00000000-0006-0000-0800-000003000000}">
      <text>
        <r>
          <rPr>
            <sz val="9"/>
            <color indexed="81"/>
            <rFont val="Tahoma"/>
            <family val="2"/>
          </rPr>
          <t xml:space="preserve">You can compare the 'Current' natural gas boiler against a connection to the District Heating network or a Heat Pump by selecting 'Grid electricity' as your energy source.
</t>
        </r>
      </text>
    </comment>
    <comment ref="AA18" authorId="0" shapeId="0" xr:uid="{00000000-0006-0000-0800-000004000000}">
      <text>
        <r>
          <rPr>
            <sz val="9"/>
            <color indexed="81"/>
            <rFont val="Tahoma"/>
            <family val="2"/>
          </rPr>
          <t xml:space="preserve">You can compare the 'Current' natural gas boiler against a connection to the District Heating network or a Heat Pump by selecting 'Grid electricity' as your energy source.
</t>
        </r>
      </text>
    </comment>
    <comment ref="J22" authorId="0" shapeId="0" xr:uid="{00000000-0006-0000-0800-000005000000}">
      <text>
        <r>
          <rPr>
            <sz val="9"/>
            <color indexed="81"/>
            <rFont val="Tahoma"/>
            <family val="2"/>
          </rPr>
          <t xml:space="preserve">If multiple boilers exist estimate the proportion of natural gas use associated with the boiler being changed.
Note: If there are two boilers both providing the same amount of heat and you are only planning on replacing one enter 50% here.
</t>
        </r>
      </text>
    </comment>
    <comment ref="J23" authorId="0" shapeId="0" xr:uid="{00000000-0006-0000-0800-000006000000}">
      <text>
        <r>
          <rPr>
            <sz val="9"/>
            <color indexed="81"/>
            <rFont val="Tahoma"/>
            <family val="2"/>
          </rPr>
          <t xml:space="preserve">This is the area served by the boiler being changed as a proportion of total building area.
Note: If you are upgrading the total boiler system enter 100% here.
</t>
        </r>
      </text>
    </comment>
    <comment ref="P23" authorId="0" shapeId="0" xr:uid="{00000000-0006-0000-0800-000007000000}">
      <text>
        <r>
          <rPr>
            <sz val="9"/>
            <color indexed="81"/>
            <rFont val="Tahoma"/>
            <family val="2"/>
          </rPr>
          <t>Use this input to represent any previously unheated spaces that will now be heated.</t>
        </r>
      </text>
    </comment>
    <comment ref="AB23" authorId="0" shapeId="0" xr:uid="{00000000-0006-0000-0800-000008000000}">
      <text>
        <r>
          <rPr>
            <sz val="9"/>
            <color indexed="81"/>
            <rFont val="Tahoma"/>
            <family val="2"/>
          </rPr>
          <t>Use this input to represent any previously unheated spaces that will now be heated.</t>
        </r>
      </text>
    </comment>
    <comment ref="P25" authorId="0" shapeId="0" xr:uid="{00000000-0006-0000-0800-000009000000}">
      <text>
        <r>
          <rPr>
            <sz val="9"/>
            <color indexed="81"/>
            <rFont val="Tahoma"/>
            <family val="2"/>
          </rPr>
          <t xml:space="preserve">If using grid electricity as your 'energy source' enter the COP of your heat pump as a percentage.
</t>
        </r>
      </text>
    </comment>
    <comment ref="AB25" authorId="0" shapeId="0" xr:uid="{00000000-0006-0000-0800-00000A000000}">
      <text>
        <r>
          <rPr>
            <sz val="9"/>
            <color indexed="81"/>
            <rFont val="Tahoma"/>
            <family val="2"/>
          </rPr>
          <t xml:space="preserve">If using grid electricity as your 'energy source' enter the COP of your heat pump as a percentage.
</t>
        </r>
      </text>
    </comment>
    <comment ref="J27" authorId="0" shapeId="0" xr:uid="{00000000-0006-0000-0800-00000B000000}">
      <text>
        <r>
          <rPr>
            <sz val="9"/>
            <color indexed="81"/>
            <rFont val="Tahoma"/>
            <family val="2"/>
          </rPr>
          <t>Selecting building controls will improve your heating system efficiency. 
Note: The percentage improvement for each control is provided by the "Non-domestic Building Services Compliance Guide". These values are considered to be on the pessimistic side, compared with real-life savings. 
You can override these and enter your own by following the link to DATA on  the 'Step 2' home page by clicking 'Done' on this sheet.</t>
        </r>
      </text>
    </comment>
    <comment ref="P27" authorId="0" shapeId="0" xr:uid="{00000000-0006-0000-0800-00000C000000}">
      <text>
        <r>
          <rPr>
            <sz val="9"/>
            <color indexed="81"/>
            <rFont val="Tahoma"/>
            <family val="2"/>
          </rPr>
          <t xml:space="preserve">Selecting building controls will improve your heating system efficiency. 
Note: The percentage improvement for each control is provided by the "Non-domestic Building Services Compliance Guide". These values are considered to be on the pessimistic side, compared with real-life savings. 
You can override these and enter your own by following the link to DATA on  the 'Step 2' home page by clicking 'Done' on this sheet.
</t>
        </r>
      </text>
    </comment>
    <comment ref="AB27" authorId="0" shapeId="0" xr:uid="{00000000-0006-0000-0800-00000D000000}">
      <text>
        <r>
          <rPr>
            <sz val="9"/>
            <color indexed="81"/>
            <rFont val="Tahoma"/>
            <family val="2"/>
          </rPr>
          <t xml:space="preserve">Selecting building controls will improve your heating system efficiency. 
Note: The percentage improvement for each control is provided by the "Non-domestic Building Services Compliance Guide". These values are considered to be on the pessimistic side, compared with real-life savings. 
You can override these and enter your own by following the link to DATA on  the 'Step 2' home page by clicking 'Done' on this sheet.
</t>
        </r>
      </text>
    </comment>
    <comment ref="J28" authorId="0" shapeId="0" xr:uid="{00000000-0006-0000-0800-00000E000000}">
      <text>
        <r>
          <rPr>
            <sz val="9"/>
            <color indexed="81"/>
            <rFont val="Tahoma"/>
            <family val="2"/>
          </rPr>
          <t xml:space="preserve">Thermostatic radiator valves (TRVs) enable the building temperature to be controlled and therefore reduce waste of energy.
A room thermostat controls boiler water temperature in relation to heat load.
</t>
        </r>
        <r>
          <rPr>
            <sz val="7"/>
            <color indexed="81"/>
            <rFont val="Tahoma"/>
            <family val="2"/>
          </rPr>
          <t>(Non-domestic Building Services Compliance Guide)</t>
        </r>
      </text>
    </comment>
    <comment ref="P28" authorId="0" shapeId="0" xr:uid="{00000000-0006-0000-0800-00000F000000}">
      <text>
        <r>
          <rPr>
            <sz val="9"/>
            <color indexed="81"/>
            <rFont val="Tahoma"/>
            <family val="2"/>
          </rPr>
          <t xml:space="preserve">Thermostatic radiator valves (TRVs) enable the building temperature to be controlled and therefore reduce waste of energy.
A room thermostat controls boiler water temperature in relation to heat load.
(Non-domestic Building Services Compliance Guide)
</t>
        </r>
      </text>
    </comment>
    <comment ref="AB28" authorId="0" shapeId="0" xr:uid="{00000000-0006-0000-0800-000010000000}">
      <text>
        <r>
          <rPr>
            <sz val="9"/>
            <color indexed="81"/>
            <rFont val="Tahoma"/>
            <family val="2"/>
          </rPr>
          <t xml:space="preserve">Thermostatic radiator valves (TRVs) enable the building temperature to be controlled and therefore reduce waste of energy.
A room thermostat controls boiler water temperature in relation to heat load.
(Non-domestic Building Services Compliance Guide)
</t>
        </r>
      </text>
    </comment>
    <comment ref="J29" authorId="0" shapeId="0" xr:uid="{00000000-0006-0000-0800-000011000000}">
      <text>
        <r>
          <rPr>
            <sz val="9"/>
            <color indexed="81"/>
            <rFont val="Tahoma"/>
            <family val="2"/>
          </rPr>
          <t xml:space="preserve">Weather (inside/outside temperature) compensation system that is direct acting. Provides more accurate prediction of load and hence control.
</t>
        </r>
        <r>
          <rPr>
            <sz val="7"/>
            <color indexed="81"/>
            <rFont val="Tahoma"/>
            <family val="2"/>
          </rPr>
          <t>(Non-domestic Building Services Compliance Guide)</t>
        </r>
        <r>
          <rPr>
            <sz val="9"/>
            <color indexed="81"/>
            <rFont val="Tahoma"/>
            <family val="2"/>
          </rPr>
          <t xml:space="preserve">
</t>
        </r>
      </text>
    </comment>
    <comment ref="P29" authorId="0" shapeId="0" xr:uid="{00000000-0006-0000-0800-000012000000}">
      <text>
        <r>
          <rPr>
            <sz val="9"/>
            <color indexed="81"/>
            <rFont val="Tahoma"/>
            <family val="2"/>
          </rPr>
          <t xml:space="preserve">Weather (inside/outside temperature) compensation system that is direct acting. Provides more accurate prediction of load and hence control.
(Non-domestic Building Services Compliance Guide)
</t>
        </r>
      </text>
    </comment>
    <comment ref="AB29" authorId="0" shapeId="0" xr:uid="{00000000-0006-0000-0800-000013000000}">
      <text>
        <r>
          <rPr>
            <sz val="9"/>
            <color indexed="81"/>
            <rFont val="Tahoma"/>
            <family val="2"/>
          </rPr>
          <t xml:space="preserve">Weather (inside/outside temperature) compensation system that is direct acting. Provides more accurate prediction of load and hence control.
(Non-domestic Building Services Compliance Guide)
</t>
        </r>
      </text>
    </comment>
    <comment ref="J30" authorId="0" shapeId="0" xr:uid="{00000000-0006-0000-0800-000014000000}">
      <text>
        <r>
          <rPr>
            <sz val="9"/>
            <color indexed="81"/>
            <rFont val="Tahoma"/>
            <family val="2"/>
          </rPr>
          <t xml:space="preserve">A control system which starts plant operation at the latest time possible to achieve specified conditions at the start of the occupancy period and stops plant operation at the earliest possible time such that internal conditions will not deteriorate beyond pre-set limits by the end of the occupancy period.
</t>
        </r>
        <r>
          <rPr>
            <sz val="7"/>
            <color indexed="81"/>
            <rFont val="Tahoma"/>
            <family val="2"/>
          </rPr>
          <t>(Non-domestic Building Services Compliance Guide)</t>
        </r>
        <r>
          <rPr>
            <sz val="9"/>
            <color indexed="81"/>
            <rFont val="Tahoma"/>
            <family val="2"/>
          </rPr>
          <t xml:space="preserve">
</t>
        </r>
      </text>
    </comment>
    <comment ref="P30" authorId="0" shapeId="0" xr:uid="{00000000-0006-0000-0800-000015000000}">
      <text>
        <r>
          <rPr>
            <sz val="9"/>
            <color indexed="81"/>
            <rFont val="Tahoma"/>
            <family val="2"/>
          </rPr>
          <t xml:space="preserve">A control system which starts plant operation at the latest time possible to achieve specified conditions at the start of the occupancy period and stops plant operation at the earliest possible time such that internal conditions will not deteriorate beyond pre-set limits by the end of the occupancy period.
(Non-domestic Building Services Compliance Guide)
</t>
        </r>
      </text>
    </comment>
    <comment ref="AB30" authorId="0" shapeId="0" xr:uid="{00000000-0006-0000-0800-000016000000}">
      <text>
        <r>
          <rPr>
            <sz val="9"/>
            <color indexed="81"/>
            <rFont val="Tahoma"/>
            <family val="2"/>
          </rPr>
          <t xml:space="preserve">A control system which starts plant operation at the latest time possible to achieve specified conditions at the start of the occupancy period and stops plant operation at the earliest possible time such that internal conditions will not deteriorate beyond pre-set limits by the end of the occupancy period.
(Non-domestic Building Services Compliance Guide)
</t>
        </r>
      </text>
    </comment>
    <comment ref="J31" authorId="0" shapeId="0" xr:uid="{00000000-0006-0000-0800-000017000000}">
      <text>
        <r>
          <rPr>
            <sz val="9"/>
            <color indexed="81"/>
            <rFont val="Tahoma"/>
            <family val="2"/>
          </rPr>
          <t xml:space="preserve">A full BMS linked to the heating plant will provide: sequential control of multiple boilers, full zoned time control and weather compensation where applicable; frost protection or night set-back; optimisation and monitoring and targeting.
</t>
        </r>
        <r>
          <rPr>
            <sz val="7"/>
            <color indexed="81"/>
            <rFont val="Tahoma"/>
            <family val="2"/>
          </rPr>
          <t>(Non-domestic Building Services Compliance Guide)</t>
        </r>
        <r>
          <rPr>
            <sz val="9"/>
            <color indexed="81"/>
            <rFont val="Tahoma"/>
            <family val="2"/>
          </rPr>
          <t xml:space="preserve">
</t>
        </r>
      </text>
    </comment>
    <comment ref="P31" authorId="0" shapeId="0" xr:uid="{00000000-0006-0000-0800-000018000000}">
      <text>
        <r>
          <rPr>
            <sz val="9"/>
            <color indexed="81"/>
            <rFont val="Tahoma"/>
            <family val="2"/>
          </rPr>
          <t xml:space="preserve">A full BMS linked to the heating plant will provide: sequential control of multiple boilers, full zoned time control and weather compensation where applicable; frost protection or night set-back; optimisation and monitoring and targeting.
(Non-domestic Building Services Compliance Guide)
</t>
        </r>
      </text>
    </comment>
    <comment ref="AB31" authorId="0" shapeId="0" xr:uid="{00000000-0006-0000-0800-000019000000}">
      <text>
        <r>
          <rPr>
            <sz val="9"/>
            <color indexed="81"/>
            <rFont val="Tahoma"/>
            <family val="2"/>
          </rPr>
          <t xml:space="preserve">A full BMS linked to the heating plant will provide: sequential control of multiple boilers, full zoned time control and weather compensation where applicable; frost protection or night set-back; optimisation and monitoring and targeting.
(Non-domestic Building Services Compliance Guide)
</t>
        </r>
      </text>
    </comment>
    <comment ref="J34" authorId="0" shapeId="0" xr:uid="{00000000-0006-0000-0800-00001A000000}">
      <text>
        <r>
          <rPr>
            <sz val="9"/>
            <color indexed="81"/>
            <rFont val="Tahoma"/>
            <family val="2"/>
          </rPr>
          <t xml:space="preserve">Pump power currently effects estimated auxiliary energy only not natural gas consumption.
</t>
        </r>
      </text>
    </comment>
    <comment ref="K34" authorId="0" shapeId="0" xr:uid="{00000000-0006-0000-0800-00001B000000}">
      <text>
        <r>
          <rPr>
            <sz val="9"/>
            <color indexed="81"/>
            <rFont val="Tahoma"/>
            <family val="2"/>
          </rPr>
          <t xml:space="preserve">Note: Warning indicates calculated auxiliary energy is greater then metred data from Step 1.
</t>
        </r>
      </text>
    </comment>
    <comment ref="P34" authorId="0" shapeId="0" xr:uid="{00000000-0006-0000-0800-00001C000000}">
      <text>
        <r>
          <rPr>
            <sz val="9"/>
            <color indexed="81"/>
            <rFont val="Tahoma"/>
            <family val="2"/>
          </rPr>
          <t xml:space="preserve">Pump power currently effects estimated auxiliary energy only not natural gas consumption.
</t>
        </r>
      </text>
    </comment>
    <comment ref="Q34" authorId="0" shapeId="0" xr:uid="{00000000-0006-0000-0800-00001D000000}">
      <text>
        <r>
          <rPr>
            <sz val="9"/>
            <color indexed="81"/>
            <rFont val="Tahoma"/>
            <family val="2"/>
          </rPr>
          <t xml:space="preserve">Note: Warning indicates calculated auxiliary energy is greater then metred data from Step 1.
</t>
        </r>
      </text>
    </comment>
    <comment ref="AB34" authorId="0" shapeId="0" xr:uid="{00000000-0006-0000-0800-00001E000000}">
      <text>
        <r>
          <rPr>
            <sz val="9"/>
            <color indexed="81"/>
            <rFont val="Tahoma"/>
            <family val="2"/>
          </rPr>
          <t xml:space="preserve">Pump power currently effects estimated auxiliary energy only not natural gas consumption.
</t>
        </r>
      </text>
    </comment>
    <comment ref="AC34" authorId="0" shapeId="0" xr:uid="{00000000-0006-0000-0800-00001F000000}">
      <text>
        <r>
          <rPr>
            <sz val="9"/>
            <color indexed="81"/>
            <rFont val="Tahoma"/>
            <family val="2"/>
          </rPr>
          <t xml:space="preserve">Note: Warning indicates calculated auxiliary energy is greater then metred data from Step 1.
</t>
        </r>
      </text>
    </comment>
    <comment ref="I37" authorId="0" shapeId="0" xr:uid="{00000000-0006-0000-0800-000020000000}">
      <text>
        <r>
          <rPr>
            <sz val="9"/>
            <color indexed="81"/>
            <rFont val="Tahoma"/>
            <family val="2"/>
          </rPr>
          <t xml:space="preserve">Select 'user defined' and enter pump power as Watt per m2 or select a predefined pump type.
</t>
        </r>
      </text>
    </comment>
    <comment ref="O37" authorId="0" shapeId="0" xr:uid="{00000000-0006-0000-0800-000021000000}">
      <text>
        <r>
          <rPr>
            <sz val="9"/>
            <color indexed="81"/>
            <rFont val="Tahoma"/>
            <family val="2"/>
          </rPr>
          <t xml:space="preserve">Select 'user defined' and enter pump power as Watt per m2 or select a predefined pump type.
</t>
        </r>
      </text>
    </comment>
    <comment ref="AA37" authorId="0" shapeId="0" xr:uid="{00000000-0006-0000-0800-000022000000}">
      <text>
        <r>
          <rPr>
            <sz val="9"/>
            <color indexed="81"/>
            <rFont val="Tahoma"/>
            <family val="2"/>
          </rPr>
          <t xml:space="preserve">Select 'user defined' and enter pump power as Watt per m2 or select a predefined pump type.
</t>
        </r>
      </text>
    </comment>
    <comment ref="J40" authorId="0" shapeId="0" xr:uid="{00000000-0006-0000-0800-000023000000}">
      <text>
        <r>
          <rPr>
            <sz val="9"/>
            <color indexed="81"/>
            <rFont val="Tahoma"/>
            <family val="2"/>
          </rPr>
          <t xml:space="preserve">Estimate hours of boiler operation. 
Note: This is only used to calculate auxiliary energy associated with the boilers pumps.
</t>
        </r>
      </text>
    </comment>
    <comment ref="J45" authorId="0" shapeId="0" xr:uid="{00000000-0006-0000-0800-000024000000}">
      <text>
        <r>
          <rPr>
            <sz val="9"/>
            <color indexed="81"/>
            <rFont val="Tahoma"/>
            <family val="2"/>
          </rPr>
          <t xml:space="preserve">One off capital cost to occur at the time specified below. 
Note: For the 'Current' scenario, in most cases,  this is likely to be left blank.
</t>
        </r>
      </text>
    </comment>
    <comment ref="P45" authorId="0" shapeId="0" xr:uid="{00000000-0006-0000-0800-000025000000}">
      <text>
        <r>
          <rPr>
            <sz val="9"/>
            <color indexed="81"/>
            <rFont val="Tahoma"/>
            <family val="2"/>
          </rPr>
          <t xml:space="preserve">One off capital cost to occur at the time specified below. 
Note: For the 'Current' scenario, in most cases,  this is likely to be left blank.
</t>
        </r>
      </text>
    </comment>
    <comment ref="AB45" authorId="0" shapeId="0" xr:uid="{00000000-0006-0000-0800-000026000000}">
      <text>
        <r>
          <rPr>
            <sz val="9"/>
            <color indexed="81"/>
            <rFont val="Tahoma"/>
            <family val="2"/>
          </rPr>
          <t xml:space="preserve">One off capital cost to occur at the time specified below. 
Note: For the 'Current' scenario, in most cases,  this is likely to be left blank.
</t>
        </r>
      </text>
    </comment>
    <comment ref="J46" authorId="0" shapeId="0" xr:uid="{00000000-0006-0000-0800-000027000000}">
      <text>
        <r>
          <rPr>
            <sz val="9"/>
            <color indexed="81"/>
            <rFont val="Tahoma"/>
            <family val="2"/>
          </rPr>
          <t xml:space="preserve">Capital cost to occur at this time.
Note: The capital cost entered will be adjusted for inflation to reflect the year it occurs.
</t>
        </r>
      </text>
    </comment>
    <comment ref="P46" authorId="0" shapeId="0" xr:uid="{00000000-0006-0000-0800-000028000000}">
      <text>
        <r>
          <rPr>
            <sz val="9"/>
            <color indexed="81"/>
            <rFont val="Tahoma"/>
            <family val="2"/>
          </rPr>
          <t xml:space="preserve">Capital cost to occur at this time.
Note: The capital cost entered will be adjusted for inflation to reflect the year it occurs.
</t>
        </r>
      </text>
    </comment>
    <comment ref="AB46" authorId="0" shapeId="0" xr:uid="{00000000-0006-0000-0800-000029000000}">
      <text>
        <r>
          <rPr>
            <sz val="9"/>
            <color indexed="81"/>
            <rFont val="Tahoma"/>
            <family val="2"/>
          </rPr>
          <t xml:space="preserve">Capital cost to occur at this time.
Note: The capital cost entered will be adjusted for inflation to reflect the year it occurs.
</t>
        </r>
      </text>
    </comment>
    <comment ref="J48" authorId="0" shapeId="0" xr:uid="{00000000-0006-0000-0800-00002A000000}">
      <text>
        <r>
          <rPr>
            <sz val="9"/>
            <color indexed="81"/>
            <rFont val="Tahoma"/>
            <family val="2"/>
          </rPr>
          <t xml:space="preserve">Operational costs (excluding energy costs) associated with the option. For example parts and labour for maintenance.
Note: This cost will occur annually and is adjusted for inflation.
</t>
        </r>
      </text>
    </comment>
    <comment ref="P48" authorId="0" shapeId="0" xr:uid="{00000000-0006-0000-0800-00002B000000}">
      <text>
        <r>
          <rPr>
            <sz val="9"/>
            <color indexed="81"/>
            <rFont val="Tahoma"/>
            <family val="2"/>
          </rPr>
          <t xml:space="preserve">Operational costs (excluding energy costs) associated with the option. For example parts and labour for maintenance.
Note: This cost will occur annually and is adjusted for inflation.
</t>
        </r>
      </text>
    </comment>
    <comment ref="AB48" authorId="0" shapeId="0" xr:uid="{00000000-0006-0000-0800-00002C000000}">
      <text>
        <r>
          <rPr>
            <sz val="9"/>
            <color indexed="81"/>
            <rFont val="Tahoma"/>
            <family val="2"/>
          </rPr>
          <t xml:space="preserve">Operational costs (excluding energy costs) associated with the option. For example parts and labour for maintenance.
Note: This cost will occur annually and is adjusted for inflation.
</t>
        </r>
      </text>
    </comment>
    <comment ref="J50" authorId="0" shapeId="0" xr:uid="{00000000-0006-0000-0800-00002D000000}">
      <text>
        <r>
          <rPr>
            <sz val="9"/>
            <color indexed="81"/>
            <rFont val="Tahoma"/>
            <family val="2"/>
          </rPr>
          <t xml:space="preserve">Periodic costs that occur at the replacement period defined below. For example, replacing a piece of fabric at its end of life. 
Note: A 'Replacement period' must be defined below for the replacement cost to occur.
</t>
        </r>
      </text>
    </comment>
    <comment ref="P50" authorId="0" shapeId="0" xr:uid="{00000000-0006-0000-0800-00002E000000}">
      <text>
        <r>
          <rPr>
            <sz val="9"/>
            <color indexed="81"/>
            <rFont val="Tahoma"/>
            <family val="2"/>
          </rPr>
          <t xml:space="preserve">Periodic costs that occur at the replacement period defined below. For example, replacing a piece of fabric at its end of life. 
Note: A 'Replacement period' must be defined below for the replacement cost to occur.
</t>
        </r>
      </text>
    </comment>
    <comment ref="AB50" authorId="0" shapeId="0" xr:uid="{00000000-0006-0000-0800-00002F000000}">
      <text>
        <r>
          <rPr>
            <sz val="9"/>
            <color indexed="81"/>
            <rFont val="Tahoma"/>
            <family val="2"/>
          </rPr>
          <t xml:space="preserve">Periodic costs that occur at the replacement period defined below. For example, replacing a piece of fabric at its end of life. 
Note: A 'Replacement period' must be defined below for the replacement cost to occur.
</t>
        </r>
      </text>
    </comment>
    <comment ref="J51" authorId="0" shapeId="0" xr:uid="{00000000-0006-0000-0800-000030000000}">
      <text>
        <r>
          <rPr>
            <sz val="9"/>
            <color indexed="81"/>
            <rFont val="Tahoma"/>
            <family val="2"/>
          </rPr>
          <t xml:space="preserve">Replacement cost to occur at this frequency and  from the time of change as defined above. 
Note: If 'Time until change' is left blank the replacement period will begin from year 0.
</t>
        </r>
      </text>
    </comment>
    <comment ref="P51" authorId="0" shapeId="0" xr:uid="{00000000-0006-0000-0800-000031000000}">
      <text>
        <r>
          <rPr>
            <sz val="9"/>
            <color indexed="81"/>
            <rFont val="Tahoma"/>
            <family val="2"/>
          </rPr>
          <t xml:space="preserve">Replacement cost to occur at this frequency and  from the time of change as defined above. 
Note: If 'Time until change' is left blank the replacement period will begin from year 0.
</t>
        </r>
      </text>
    </comment>
    <comment ref="AB51" authorId="0" shapeId="0" xr:uid="{00000000-0006-0000-0800-000032000000}">
      <text>
        <r>
          <rPr>
            <sz val="9"/>
            <color indexed="81"/>
            <rFont val="Tahoma"/>
            <family val="2"/>
          </rPr>
          <t xml:space="preserve">Replacement cost to occur at this frequency and  from the time of change as defined above. 
Note: If 'Time until change' is left blank the replacement period will begin from year 0.
</t>
        </r>
      </text>
    </comment>
  </commentList>
</comments>
</file>

<file path=xl/sharedStrings.xml><?xml version="1.0" encoding="utf-8"?>
<sst xmlns="http://schemas.openxmlformats.org/spreadsheetml/2006/main" count="3419" uniqueCount="828">
  <si>
    <t>Percentage saving</t>
  </si>
  <si>
    <t>Energy cost (£/kWh)</t>
  </si>
  <si>
    <t>Energy CO2e (CO2e/kWh)</t>
  </si>
  <si>
    <t>CO2e cost (£/kgCO2e)</t>
  </si>
  <si>
    <t>Embodied energy (kWh)</t>
  </si>
  <si>
    <t>Recurring embodied energy (kWh)</t>
  </si>
  <si>
    <t>Operational energy (kWh)</t>
  </si>
  <si>
    <t>Embodied carbon (kWh)</t>
  </si>
  <si>
    <t>Recurring embodied carbon (kWh)</t>
  </si>
  <si>
    <t>Operational carbon (kgCO2e)</t>
  </si>
  <si>
    <t>Capital cost (£)</t>
  </si>
  <si>
    <t>Recurring costs (£)</t>
  </si>
  <si>
    <t>Energy cost (£)</t>
  </si>
  <si>
    <t>Carbon cost (£)</t>
  </si>
  <si>
    <t>Total cost (£)</t>
  </si>
  <si>
    <t>Do nothing cumulative cost (£)</t>
  </si>
  <si>
    <t>Maintenance cost (£/year)</t>
  </si>
  <si>
    <t>Net present value</t>
  </si>
  <si>
    <t>Discount rate</t>
  </si>
  <si>
    <t>Natural Gas</t>
  </si>
  <si>
    <t>Lighting</t>
  </si>
  <si>
    <t>None</t>
  </si>
  <si>
    <t>Daylight</t>
  </si>
  <si>
    <t>Daylight with dimming</t>
  </si>
  <si>
    <t>Tungsten</t>
  </si>
  <si>
    <t>Halogen</t>
  </si>
  <si>
    <t>Fluorescent</t>
  </si>
  <si>
    <t>LED</t>
  </si>
  <si>
    <t>W</t>
  </si>
  <si>
    <t>%</t>
  </si>
  <si>
    <t>£/kWh</t>
  </si>
  <si>
    <t>£/kgCO2e</t>
  </si>
  <si>
    <t>DECC/DEFRA</t>
  </si>
  <si>
    <t>Kathleen Lonsdale Building</t>
  </si>
  <si>
    <t>WC1E 6BT</t>
  </si>
  <si>
    <t>WC1H 0AY</t>
  </si>
  <si>
    <t>PEARSON BUILDING</t>
  </si>
  <si>
    <t>North Wing</t>
  </si>
  <si>
    <t>Wilkins Building</t>
  </si>
  <si>
    <t>Physics Building</t>
  </si>
  <si>
    <t>London Centre For Nanotechnology</t>
  </si>
  <si>
    <t>WC1H 0AH</t>
  </si>
  <si>
    <t>Central Collegiate Building</t>
  </si>
  <si>
    <t>South Wing</t>
  </si>
  <si>
    <t>Chadwick Building</t>
  </si>
  <si>
    <t>Medical Sciences And Anatomy</t>
  </si>
  <si>
    <t>16-18 Gordon Square</t>
  </si>
  <si>
    <t>WC1H 0AG</t>
  </si>
  <si>
    <t>Henry Morley</t>
  </si>
  <si>
    <t>Medawar Building</t>
  </si>
  <si>
    <t>Foster Court</t>
  </si>
  <si>
    <t>Egyptology</t>
  </si>
  <si>
    <t>DMS Watson Building</t>
  </si>
  <si>
    <t>Darwin Building</t>
  </si>
  <si>
    <t>Roberts Building</t>
  </si>
  <si>
    <t>WC1E 7JE</t>
  </si>
  <si>
    <t>134-136 Gower Street</t>
  </si>
  <si>
    <t>Bernard Katz Building</t>
  </si>
  <si>
    <t>MRC Building</t>
  </si>
  <si>
    <t>Campbell House East</t>
  </si>
  <si>
    <t>WC1H 0BX</t>
  </si>
  <si>
    <t>Ramsay Hall</t>
  </si>
  <si>
    <t>Bentham House</t>
  </si>
  <si>
    <t>WC1H 0EG</t>
  </si>
  <si>
    <t>Denys Holland House</t>
  </si>
  <si>
    <t>NW1 9HZ</t>
  </si>
  <si>
    <t>Anne Stephenson House</t>
  </si>
  <si>
    <t>Christopher Ingold Building</t>
  </si>
  <si>
    <t>WC1H 0AJ</t>
  </si>
  <si>
    <t>Ifor Evans Halls</t>
  </si>
  <si>
    <t>Max Rayne House</t>
  </si>
  <si>
    <t>Campbell House West</t>
  </si>
  <si>
    <t>93-97 Gower Street</t>
  </si>
  <si>
    <t>WC1E 6AA</t>
  </si>
  <si>
    <t>26 Bedford Way</t>
  </si>
  <si>
    <t>1-19 Torrington Place</t>
  </si>
  <si>
    <t>WC1E 7HB</t>
  </si>
  <si>
    <t>66-72 Gower Street</t>
  </si>
  <si>
    <t>Gordon House</t>
  </si>
  <si>
    <t>WC1H 0PP</t>
  </si>
  <si>
    <t>Institute of Archaeology</t>
  </si>
  <si>
    <t>WC1H 0PY</t>
  </si>
  <si>
    <t>Hawkridge</t>
  </si>
  <si>
    <t>NW5 4SA</t>
  </si>
  <si>
    <t>U C L Hostel, Langton Close</t>
  </si>
  <si>
    <t>WC1X 0HD</t>
  </si>
  <si>
    <t>Schafer House</t>
  </si>
  <si>
    <t>NW1 3HZ</t>
  </si>
  <si>
    <t>John Dodgson House</t>
  </si>
  <si>
    <t>WC1H 9BL</t>
  </si>
  <si>
    <t>James Light Hill House Halls of Residence</t>
  </si>
  <si>
    <t>WC1X 9EN</t>
  </si>
  <si>
    <t>Drayton House</t>
  </si>
  <si>
    <t>WC1H 0AX</t>
  </si>
  <si>
    <t>MSSL Main building</t>
  </si>
  <si>
    <t>RH5 6NT</t>
  </si>
  <si>
    <t>Rubin Building</t>
  </si>
  <si>
    <t>Ian Baker House</t>
  </si>
  <si>
    <t>Andrew Huxley Building</t>
  </si>
  <si>
    <t>SSEES</t>
  </si>
  <si>
    <t>WC1H 0BW</t>
  </si>
  <si>
    <t>69 Wilson St.</t>
  </si>
  <si>
    <t>EC2A 2BB</t>
  </si>
  <si>
    <t>222 Euston Road</t>
  </si>
  <si>
    <t>NW1 2DA</t>
  </si>
  <si>
    <t>IOE - BEDFORD WAY, 20</t>
  </si>
  <si>
    <t>WC1H 0NS</t>
  </si>
  <si>
    <t>IOE - WOBURN SQUARE,10</t>
  </si>
  <si>
    <t>IOE - WOBURN SQUARE,11</t>
  </si>
  <si>
    <t>IOE - WOBURN SQUARE,12</t>
  </si>
  <si>
    <t>IOE - WOBURN SQUARE,13</t>
  </si>
  <si>
    <t>IOE - WOBURN SQUARE,14</t>
  </si>
  <si>
    <t>IOE - WOBURN SQUARE,15</t>
  </si>
  <si>
    <t>IOE - WOBURN SQUARE,16</t>
  </si>
  <si>
    <t>IOE - WOBURN SQUARE,17</t>
  </si>
  <si>
    <t>IOE - WOBURN SQUARE,18</t>
  </si>
  <si>
    <t>IOE - WOBURN SQUARE,24-26</t>
  </si>
  <si>
    <t>IOE - WOBURN SQUARE,27-28</t>
  </si>
  <si>
    <t>IOE - JOHN ADAMS HALL</t>
  </si>
  <si>
    <t>IOE - EMERALD STREET,23-29</t>
  </si>
  <si>
    <t>Paul O'Gorman Building</t>
  </si>
  <si>
    <t>WC1E 6DD</t>
  </si>
  <si>
    <t>Rockefeller Building</t>
  </si>
  <si>
    <t>WC1E 6DE</t>
  </si>
  <si>
    <t>Rayne Institute</t>
  </si>
  <si>
    <t>Chenies Mews</t>
  </si>
  <si>
    <t>WC1E 6HX</t>
  </si>
  <si>
    <t>Arthur Tattersall House</t>
  </si>
  <si>
    <t>WC1E 6AP</t>
  </si>
  <si>
    <t>Prankerd House</t>
  </si>
  <si>
    <t>NW1 2NJ</t>
  </si>
  <si>
    <t>Cruciform Building</t>
  </si>
  <si>
    <t>Ashton Building (IOO)</t>
  </si>
  <si>
    <t>EC1V 9EL</t>
  </si>
  <si>
    <t>Chandler House</t>
  </si>
  <si>
    <t>WC1N 1PF</t>
  </si>
  <si>
    <t>Institute of Neurology - 1 Wakefield St</t>
  </si>
  <si>
    <t>WC1N 1PJ</t>
  </si>
  <si>
    <t>ICH - Main Building</t>
  </si>
  <si>
    <t>WC1N 1EH</t>
  </si>
  <si>
    <t>Wolfson Centre I C H</t>
  </si>
  <si>
    <t xml:space="preserve">Queen Square House National Hospital for Neurology &amp; Neurosurgery </t>
  </si>
  <si>
    <t>WC1N 3BG</t>
  </si>
  <si>
    <t>Alexandra House</t>
  </si>
  <si>
    <t>WC1N 3AR</t>
  </si>
  <si>
    <t>INST NEUROLOGY - 12 QUEEN SQUARE</t>
  </si>
  <si>
    <t>Astor College U C L</t>
  </si>
  <si>
    <t>W1T 4QB</t>
  </si>
  <si>
    <t>Charles Bell House</t>
  </si>
  <si>
    <t>W1W 7EJ</t>
  </si>
  <si>
    <t>Institute of Orthopaedics and Musculoskeletal Science (IOMS)</t>
  </si>
  <si>
    <t>HA7 4LP</t>
  </si>
  <si>
    <t>Royal Free Hospital</t>
  </si>
  <si>
    <t>Bernard Johnson House</t>
  </si>
  <si>
    <t>N2 9EX</t>
  </si>
  <si>
    <t>SS11 8YW</t>
  </si>
  <si>
    <t>National Hospital ION 7 QS</t>
  </si>
  <si>
    <t>WC1X 8TU</t>
  </si>
  <si>
    <t>Institute of Laryngology &amp; Otology</t>
  </si>
  <si>
    <t>WC1X 8EE</t>
  </si>
  <si>
    <t>Malet Place Engineering Building</t>
  </si>
  <si>
    <t>Francis Gardener House</t>
  </si>
  <si>
    <t>Cancer Research UK &amp; U C L Trials Centre 90TCR</t>
  </si>
  <si>
    <t>W1T 4TJ</t>
  </si>
  <si>
    <t>Neil Sharpe House</t>
  </si>
  <si>
    <t>Engineering Front Building</t>
  </si>
  <si>
    <t>49-51 Gordon Square</t>
  </si>
  <si>
    <t>WC1H 0PN</t>
  </si>
  <si>
    <t>Goldsmid House (Wilton Plaza)</t>
  </si>
  <si>
    <t>SW1V 1HU</t>
  </si>
  <si>
    <t>Medical School Administration Building</t>
  </si>
  <si>
    <t>WC1E 6AU</t>
  </si>
  <si>
    <t>Maple House</t>
  </si>
  <si>
    <t>W1T 7DN</t>
  </si>
  <si>
    <t>Central House</t>
  </si>
  <si>
    <t>WC1H 0NN</t>
  </si>
  <si>
    <t>New Hall</t>
  </si>
  <si>
    <t>N7 9GU</t>
  </si>
  <si>
    <t>Bidborough House</t>
  </si>
  <si>
    <t>WC1H 9BT</t>
  </si>
  <si>
    <t>Building Name</t>
  </si>
  <si>
    <t>Post Code</t>
  </si>
  <si>
    <t>t</t>
  </si>
  <si>
    <t>Year</t>
  </si>
  <si>
    <t>Planned cumulative NPV (£)</t>
  </si>
  <si>
    <t>Best-case cumulative NPV (£)</t>
  </si>
  <si>
    <t>Baseline cumulative NPV (£)</t>
  </si>
  <si>
    <t>Next</t>
  </si>
  <si>
    <t>Cooling</t>
  </si>
  <si>
    <t xml:space="preserve">Admin/support </t>
  </si>
  <si>
    <t>Labs – chemical sciences</t>
  </si>
  <si>
    <t>Libraries</t>
  </si>
  <si>
    <t>Labs –medical &amp; biosciences</t>
  </si>
  <si>
    <t>Residences</t>
  </si>
  <si>
    <t>Sports centres</t>
  </si>
  <si>
    <t xml:space="preserve">Teaching </t>
  </si>
  <si>
    <t>Use</t>
  </si>
  <si>
    <t>NA</t>
  </si>
  <si>
    <t>No.</t>
  </si>
  <si>
    <t>Weekly Op Hours</t>
  </si>
  <si>
    <t>Maintenance cost (£/yr)</t>
  </si>
  <si>
    <t>Done</t>
  </si>
  <si>
    <t>Back</t>
  </si>
  <si>
    <t>`</t>
  </si>
  <si>
    <t>Optimised start/stop</t>
  </si>
  <si>
    <t>Capital cost of change (£)</t>
  </si>
  <si>
    <t>Weeks per year (wks)</t>
  </si>
  <si>
    <t>Constant speed</t>
  </si>
  <si>
    <t>External wall U-values</t>
  </si>
  <si>
    <t>Window U-values</t>
  </si>
  <si>
    <t>Roof U-values</t>
  </si>
  <si>
    <t>Variable speed with differential sensor across pump</t>
  </si>
  <si>
    <t>Variable speed with differential sensor in the system</t>
  </si>
  <si>
    <t>Full BMS</t>
  </si>
  <si>
    <t>W/m2</t>
  </si>
  <si>
    <t>Parasitic power</t>
  </si>
  <si>
    <t>kgCO2e/kWh</t>
  </si>
  <si>
    <t>Hours per day (hrs)</t>
  </si>
  <si>
    <t>Constant illuminance factor</t>
  </si>
  <si>
    <t>Vent rate (l/s/person)</t>
  </si>
  <si>
    <t>Hrs per day (hrs)</t>
  </si>
  <si>
    <t>Enhanced natural ventilation</t>
  </si>
  <si>
    <t>Days per week (days)</t>
  </si>
  <si>
    <t>Pump</t>
  </si>
  <si>
    <t>Min fresh air rate (l/s)</t>
  </si>
  <si>
    <t>Lower fresh air rate (l/s)</t>
  </si>
  <si>
    <t>Flow rate (m3/s)</t>
  </si>
  <si>
    <t>Ventilation Heat Loss Coefficient (kW/K)</t>
  </si>
  <si>
    <t>Air cooled chiller</t>
  </si>
  <si>
    <t>Evaporative cooling</t>
  </si>
  <si>
    <t>Heating system efficiency (%)</t>
  </si>
  <si>
    <t>Labs – Engineering/phys sciences</t>
  </si>
  <si>
    <t>Fabric</t>
  </si>
  <si>
    <t>Capital cost annual change (inflation)</t>
  </si>
  <si>
    <t>Admin/support (%)</t>
  </si>
  <si>
    <t>Labs – chemical sciences (%)</t>
  </si>
  <si>
    <t>Labs – Engineering – phys sciences (%)</t>
  </si>
  <si>
    <t>Labs –medical &amp; biosciences (%)</t>
  </si>
  <si>
    <t>Libraries (%)</t>
  </si>
  <si>
    <t>Residences (%)</t>
  </si>
  <si>
    <t>Sports centres (%)</t>
  </si>
  <si>
    <t>Teaching (%)</t>
  </si>
  <si>
    <t>TBD</t>
  </si>
  <si>
    <t>Heating water (gas or oil kWh per m²)</t>
  </si>
  <si>
    <t>Heating water (DH kWh per m²)</t>
  </si>
  <si>
    <t>Heating space (DH kWh per m²)</t>
  </si>
  <si>
    <t>Heating space (electricity kWh per m²)</t>
  </si>
  <si>
    <t>Heating water (electricity kWh per m²)</t>
  </si>
  <si>
    <t>Cooling (kWh per m²)</t>
  </si>
  <si>
    <t>Lighting (kWh per m²)</t>
  </si>
  <si>
    <t>Ventilating (kWh per m²)</t>
  </si>
  <si>
    <t>Building:</t>
  </si>
  <si>
    <t>Grid electricity</t>
  </si>
  <si>
    <t>BCS cumulative NPV (£)</t>
  </si>
  <si>
    <t>UDS cumulative NPV (£)</t>
  </si>
  <si>
    <t>No</t>
  </si>
  <si>
    <t>DNS cumulative cost (£)</t>
  </si>
  <si>
    <t>DNS cumulative NPV (£)</t>
  </si>
  <si>
    <t>DNS net present value</t>
  </si>
  <si>
    <t>District heating</t>
  </si>
  <si>
    <t>Heating (space)</t>
  </si>
  <si>
    <t>Heating (water)</t>
  </si>
  <si>
    <t>Fans, pumps and controls</t>
  </si>
  <si>
    <t>Lifts</t>
  </si>
  <si>
    <t>Other equipment</t>
  </si>
  <si>
    <t>Management factor</t>
  </si>
  <si>
    <t>Catering</t>
  </si>
  <si>
    <t>Range:</t>
  </si>
  <si>
    <t>Assumptions:</t>
  </si>
  <si>
    <t>Unregulated (kWh per m²)</t>
  </si>
  <si>
    <t>Heating space (gas or oil kWh per m²)</t>
  </si>
  <si>
    <t>Water cooled chiller</t>
  </si>
  <si>
    <t>Weather compensation</t>
  </si>
  <si>
    <t>Weather compensation +TRVs</t>
  </si>
  <si>
    <t>COP</t>
  </si>
  <si>
    <t>Daylight sensing:</t>
  </si>
  <si>
    <t>Occupant sensing:</t>
  </si>
  <si>
    <t>Max fresh air rate (l/s)</t>
  </si>
  <si>
    <t>W/m²K</t>
  </si>
  <si>
    <t>W/m²</t>
  </si>
  <si>
    <t>VALUE</t>
  </si>
  <si>
    <t>UNIT</t>
  </si>
  <si>
    <t>SOURCE</t>
  </si>
  <si>
    <t>Energy source:</t>
  </si>
  <si>
    <t>Natural gas</t>
  </si>
  <si>
    <t>CO2e additional costs and taxes</t>
  </si>
  <si>
    <t>Step 1:</t>
  </si>
  <si>
    <t>Carbon saving:</t>
  </si>
  <si>
    <t>Step 3:</t>
  </si>
  <si>
    <t>Step 2:</t>
  </si>
  <si>
    <t>CURRENT (DO NOTHING)</t>
  </si>
  <si>
    <t>Storeys</t>
  </si>
  <si>
    <t>Storey height (m)</t>
  </si>
  <si>
    <t>Window area changed (m²)</t>
  </si>
  <si>
    <t>Wall area changed (m²)</t>
  </si>
  <si>
    <t>Roof area changed (m²)</t>
  </si>
  <si>
    <t>CURRENT (DO NOTHING) COOLING</t>
  </si>
  <si>
    <t>CURRENT (DO NOTHING) AUXILLARY</t>
  </si>
  <si>
    <t>Area cooled by system (%)</t>
  </si>
  <si>
    <t>Daylight use (hrs/day)</t>
  </si>
  <si>
    <t>Daylight use (days/week)</t>
  </si>
  <si>
    <t>Daylight use (wks/year)</t>
  </si>
  <si>
    <t>Non-daylight use (hrs/day)</t>
  </si>
  <si>
    <t>Non-daylight use (days/week)</t>
  </si>
  <si>
    <t>Non-daylight use (wks/year)</t>
  </si>
  <si>
    <t>Capital cost (% of proposed)</t>
  </si>
  <si>
    <t>CURRENT (DO NOTHING) HEATING</t>
  </si>
  <si>
    <t>Inflation (%)</t>
  </si>
  <si>
    <t>Total</t>
  </si>
  <si>
    <t>User defined</t>
  </si>
  <si>
    <t>Constant illuminance control:</t>
  </si>
  <si>
    <t>Auto-on-dimmed</t>
  </si>
  <si>
    <t>Auto-on-off</t>
  </si>
  <si>
    <t>Man-on-dimmed</t>
  </si>
  <si>
    <t>Man-on-auto-off</t>
  </si>
  <si>
    <t>Hours</t>
  </si>
  <si>
    <t>PAYBACK</t>
  </si>
  <si>
    <t>Years</t>
  </si>
  <si>
    <t>Heating carbon kg/kWh</t>
  </si>
  <si>
    <t>Heating cost £/kWh</t>
  </si>
  <si>
    <t>Gas/DH mix</t>
  </si>
  <si>
    <t>General heat carbon (kgCo2e/kWh)</t>
  </si>
  <si>
    <t>General heat cost (£/kWh)</t>
  </si>
  <si>
    <t>Important assumptions:</t>
  </si>
  <si>
    <t>BENCHMARKING COST AND CARBON</t>
  </si>
  <si>
    <t>RESULTS</t>
  </si>
  <si>
    <t>Total electricity (kWh per m²)</t>
  </si>
  <si>
    <t>Area (NIA) (m2)</t>
  </si>
  <si>
    <t>Data</t>
  </si>
  <si>
    <t>HOME</t>
  </si>
  <si>
    <t>l</t>
  </si>
  <si>
    <t>DATA</t>
  </si>
  <si>
    <t>T5</t>
  </si>
  <si>
    <t>T8</t>
  </si>
  <si>
    <t>T12</t>
  </si>
  <si>
    <t>COP:</t>
  </si>
  <si>
    <t>Window area of building (m²)</t>
  </si>
  <si>
    <t>Wall area of building (m²)</t>
  </si>
  <si>
    <t>Roof area of building (m²)</t>
  </si>
  <si>
    <t>Window U-value</t>
  </si>
  <si>
    <t>Wall U-value</t>
  </si>
  <si>
    <t>Roof U-value</t>
  </si>
  <si>
    <t>Floor U-value</t>
  </si>
  <si>
    <t>Total electricity</t>
  </si>
  <si>
    <t>Small power (+office equipment)</t>
  </si>
  <si>
    <t>Server rooms (+cooling)</t>
  </si>
  <si>
    <t>Other</t>
  </si>
  <si>
    <t xml:space="preserve">Cells that require you to input information are green. </t>
  </si>
  <si>
    <t>Cells not requiring input but included for checking are grey.</t>
  </si>
  <si>
    <t>Cells that have questionable inputs will turn red.</t>
  </si>
  <si>
    <t>Links are bold, underlined, green text.</t>
  </si>
  <si>
    <t>Example</t>
  </si>
  <si>
    <t>Space heating (DH kWh per m²)</t>
  </si>
  <si>
    <t>Hot water (DH kWh per m²)</t>
  </si>
  <si>
    <t>Space heating (electricity kWh per m²)</t>
  </si>
  <si>
    <t>Hot water (electricity kWh per m²)</t>
  </si>
  <si>
    <t>Hot water (gas kWh per m²)</t>
  </si>
  <si>
    <t>Space heating (gas kWh per m²)</t>
  </si>
  <si>
    <t>Total district heating (kWh per m²)</t>
  </si>
  <si>
    <t>Space heating (gas)</t>
  </si>
  <si>
    <t>Hot water (gas)</t>
  </si>
  <si>
    <t>Space heating (DH)</t>
  </si>
  <si>
    <t>Hot water (DH)</t>
  </si>
  <si>
    <t>Space heating (electricity)</t>
  </si>
  <si>
    <t>Hot water (electricity)</t>
  </si>
  <si>
    <t>Equipment / small power (kWh per m²)</t>
  </si>
  <si>
    <t>Equipment / small power</t>
  </si>
  <si>
    <t>Space heating (gas £ per year)</t>
  </si>
  <si>
    <t>Hot water (gas £ per year)</t>
  </si>
  <si>
    <t>Space heating (DH £ per year)</t>
  </si>
  <si>
    <t>Hot water (DH £ per year)</t>
  </si>
  <si>
    <t>Space heating (electricity £ per year)</t>
  </si>
  <si>
    <t>Hot water (electricity £ per year)</t>
  </si>
  <si>
    <t>Cooling (£ per year)</t>
  </si>
  <si>
    <t>Lighting (£ per year)</t>
  </si>
  <si>
    <t>Equipment /small power (£ per year)</t>
  </si>
  <si>
    <t>2.1 Click for building fabric tool</t>
  </si>
  <si>
    <t>2.2 Click for ventilation tool</t>
  </si>
  <si>
    <t>2.5 Click for lighting tool</t>
  </si>
  <si>
    <t>2.4 Click for VRF/chiller tool</t>
  </si>
  <si>
    <t>2.3 Click for boiler tool</t>
  </si>
  <si>
    <t>Energy use (kWh)</t>
  </si>
  <si>
    <t>Ground floor  of building (m²)</t>
  </si>
  <si>
    <t>Ground floor changed (m²)</t>
  </si>
  <si>
    <t>Areas of building fabric to be changed</t>
  </si>
  <si>
    <t>Replacement cost (£)</t>
  </si>
  <si>
    <t>Financial considerations</t>
  </si>
  <si>
    <t>Est. percentage saving</t>
  </si>
  <si>
    <t>Proposed air permeability</t>
  </si>
  <si>
    <t>Systems type and performance</t>
  </si>
  <si>
    <t>System type and performance</t>
  </si>
  <si>
    <t>System being changed</t>
  </si>
  <si>
    <t>Total space heating energy (kWh)</t>
  </si>
  <si>
    <t>Parasitic power - daylight (W)</t>
  </si>
  <si>
    <t>Parasitic power - occupancy (W)</t>
  </si>
  <si>
    <t>Parasitic energy demand (kWh)</t>
  </si>
  <si>
    <t>Define type of control</t>
  </si>
  <si>
    <t>Daylight and non-daylight time usage</t>
  </si>
  <si>
    <t>Floor area served by lights changed (%)</t>
  </si>
  <si>
    <t>Natural ventilation?</t>
  </si>
  <si>
    <t>Single glazing</t>
  </si>
  <si>
    <t>Triple glazing</t>
  </si>
  <si>
    <t>PassivHaus</t>
  </si>
  <si>
    <t>PassivHaus standard</t>
  </si>
  <si>
    <t>Solid brick wall</t>
  </si>
  <si>
    <t>Uninsulated flat roof</t>
  </si>
  <si>
    <t>Flat roof with 100mm insulation</t>
  </si>
  <si>
    <t>Ground floor U-values</t>
  </si>
  <si>
    <t>Uninsulated solid ground floor</t>
  </si>
  <si>
    <t>Solid ground floor with insulation</t>
  </si>
  <si>
    <t>20 (leaky)</t>
  </si>
  <si>
    <t>ACH</t>
  </si>
  <si>
    <t>CIBSE TM23</t>
  </si>
  <si>
    <t>kWh per m²</t>
  </si>
  <si>
    <t>Heat kWh</t>
  </si>
  <si>
    <t>DH kWh</t>
  </si>
  <si>
    <t>Electricity kWh</t>
  </si>
  <si>
    <t>Electricity</t>
  </si>
  <si>
    <t>Total cooling energy (kWh)</t>
  </si>
  <si>
    <t>Select type of control</t>
  </si>
  <si>
    <t>Total natural gas used (kWh)*</t>
  </si>
  <si>
    <t>District heating (kWh)</t>
  </si>
  <si>
    <t>Gas assoc. with change (kWh)</t>
  </si>
  <si>
    <t>Gas not associated with change (kWh)</t>
  </si>
  <si>
    <t>Gas associated with change (kWh)</t>
  </si>
  <si>
    <t>Revenue e.g. FIT/RHI (£/year)</t>
  </si>
  <si>
    <t>Existing area of building fabric</t>
  </si>
  <si>
    <t>Area of building fabric to be changed</t>
  </si>
  <si>
    <t>Additional area heated by new system(m2)</t>
  </si>
  <si>
    <t>Improved heating system efficiency (%)</t>
  </si>
  <si>
    <t>Area heated by boiler (%)</t>
  </si>
  <si>
    <t>Natural gas used by boiler to be changed (%)</t>
  </si>
  <si>
    <t>Auxiliary - fans and pumps (kWh per m²)</t>
  </si>
  <si>
    <t>Auxiliary - fans and pumps</t>
  </si>
  <si>
    <t>Auxiliary - fans and pumps (£ per year))</t>
  </si>
  <si>
    <t>Do something cumulative cost (£)</t>
  </si>
  <si>
    <t>BCS cumulative cost (£)</t>
  </si>
  <si>
    <t>Electricity used for heating (kWh)</t>
  </si>
  <si>
    <t>Include fabric change?</t>
  </si>
  <si>
    <t>Include boiler change?</t>
  </si>
  <si>
    <t>Include VRF/Chiller change?</t>
  </si>
  <si>
    <t>Include lighting change?</t>
  </si>
  <si>
    <t>Est. space heating energy (kWh)</t>
  </si>
  <si>
    <t>Est. auxiliary energy (kWh)</t>
  </si>
  <si>
    <t>SFP (W/l/s)</t>
  </si>
  <si>
    <t>W/l/s</t>
  </si>
  <si>
    <t>Elec. not associated with change (kWh)</t>
  </si>
  <si>
    <t>Elec. associated with change (kWh)</t>
  </si>
  <si>
    <t>Total natural gas used (kWh)</t>
  </si>
  <si>
    <t>Ventilation rate</t>
  </si>
  <si>
    <t>Occupants</t>
  </si>
  <si>
    <t>Est. lighting energy use (kWh)</t>
  </si>
  <si>
    <t>Total DH</t>
  </si>
  <si>
    <t>Total NG</t>
  </si>
  <si>
    <t>Boiler</t>
  </si>
  <si>
    <t>Total electricity heating</t>
  </si>
  <si>
    <t>Total electricity other</t>
  </si>
  <si>
    <t>Total benchmark lighting energy (kWh)</t>
  </si>
  <si>
    <t>Opex minus revenue (£)</t>
  </si>
  <si>
    <t>Carbon intensities of energy sources</t>
  </si>
  <si>
    <t>Costs of energy sources</t>
  </si>
  <si>
    <t>Dynamics</t>
  </si>
  <si>
    <t>Light powers</t>
  </si>
  <si>
    <t>Light lives</t>
  </si>
  <si>
    <t>Est. lighting energy (kWh)</t>
  </si>
  <si>
    <r>
      <t>Likely (kWh/m</t>
    </r>
    <r>
      <rPr>
        <sz val="10"/>
        <color theme="3"/>
        <rFont val="Calibri"/>
        <family val="2"/>
      </rPr>
      <t>²</t>
    </r>
    <r>
      <rPr>
        <sz val="10"/>
        <color theme="3"/>
        <rFont val="Arial"/>
        <family val="2"/>
      </rPr>
      <t>):</t>
    </r>
  </si>
  <si>
    <t>Value:</t>
  </si>
  <si>
    <t>User defined energy split for existing</t>
  </si>
  <si>
    <t>District heating cost annual change</t>
  </si>
  <si>
    <t>Natural gas cost annual change</t>
  </si>
  <si>
    <t>Gas/DH mix cost annual change</t>
  </si>
  <si>
    <t>Grid electricity cost annual change</t>
  </si>
  <si>
    <t>CO2e additional costs and taxes annual change</t>
  </si>
  <si>
    <t>Natural gas CO2e annual change</t>
  </si>
  <si>
    <t>District heating CO2e annual change</t>
  </si>
  <si>
    <t>Gas/DH mix CO2e annual change</t>
  </si>
  <si>
    <t>Grid electricity CO2e annual change</t>
  </si>
  <si>
    <t>UCL CA Method</t>
  </si>
  <si>
    <t>Energy source CO2e (CO2e/kWh)</t>
  </si>
  <si>
    <t>Energy source cost (£/kWh)</t>
  </si>
  <si>
    <t>User defined CO2e annual change</t>
  </si>
  <si>
    <t>User defined cost annual change</t>
  </si>
  <si>
    <t>Total operational carbon</t>
  </si>
  <si>
    <t>Total operational energy cost</t>
  </si>
  <si>
    <t>Operational carbon saving</t>
  </si>
  <si>
    <t>Operational energy cost saving</t>
  </si>
  <si>
    <t xml:space="preserve"> (kgCO2e in year one)</t>
  </si>
  <si>
    <t xml:space="preserve"> (£ in year one)</t>
  </si>
  <si>
    <t>Vent</t>
  </si>
  <si>
    <t>DESCRIPTION OF PROPOSAL(S):</t>
  </si>
  <si>
    <t>Cooling (including server cooling)</t>
  </si>
  <si>
    <t>Total natural gas</t>
  </si>
  <si>
    <t>Total district heating</t>
  </si>
  <si>
    <t>Total electricity used for other equipment</t>
  </si>
  <si>
    <t>Total heating</t>
  </si>
  <si>
    <t>Benchmark</t>
  </si>
  <si>
    <t>GRAPH OF CUMULATIVE NPV</t>
  </si>
  <si>
    <t>Check +</t>
  </si>
  <si>
    <t xml:space="preserve"> Check -</t>
  </si>
  <si>
    <t>Split (%)</t>
  </si>
  <si>
    <t>Tool:</t>
  </si>
  <si>
    <t>Volume (m³)</t>
  </si>
  <si>
    <t>Boiler tool</t>
  </si>
  <si>
    <t>Fabric tool</t>
  </si>
  <si>
    <t>VRF/chiller tool</t>
  </si>
  <si>
    <t>Lighting tool</t>
  </si>
  <si>
    <t>Ventilation tool</t>
  </si>
  <si>
    <t>Small power 
(incl. office equipment)</t>
  </si>
  <si>
    <t>&lt; Describe important assumptions &gt;</t>
  </si>
  <si>
    <t>Hit the next button when you have completed a stage</t>
  </si>
  <si>
    <t>Hit the back buttons if you need to go back</t>
  </si>
  <si>
    <t>Hover for hints to help you complete the tool</t>
  </si>
  <si>
    <t>PO HEATING</t>
  </si>
  <si>
    <t>SO HEATING</t>
  </si>
  <si>
    <t>PO AUXILLARY</t>
  </si>
  <si>
    <t>SO AUXILLARY</t>
  </si>
  <si>
    <t>SO COOLING ONLY</t>
  </si>
  <si>
    <t>PO COOLING ONLY</t>
  </si>
  <si>
    <t>Electricity used by VRF/chiller being changed (%)</t>
  </si>
  <si>
    <t>RECORD ESTIMATE</t>
  </si>
  <si>
    <t>CHART KEY</t>
  </si>
  <si>
    <t>DESCRIPTION OF ASSUMPTION</t>
  </si>
  <si>
    <t>RESULTS TABLE</t>
  </si>
  <si>
    <t>Cavity wall no insulation</t>
  </si>
  <si>
    <t>Cavity wall 50mm insulation</t>
  </si>
  <si>
    <t>PREFERRED OPTION</t>
  </si>
  <si>
    <t>Heat source</t>
  </si>
  <si>
    <t>Name:</t>
  </si>
  <si>
    <t>Define type of project:</t>
  </si>
  <si>
    <t>Select the existing building:</t>
  </si>
  <si>
    <t>SECOND OPTION</t>
  </si>
  <si>
    <t>Time until change (yrs)</t>
  </si>
  <si>
    <t>Replacement period (yrs)</t>
  </si>
  <si>
    <t>&lt; Describe the initiative in more detail here &gt;</t>
  </si>
  <si>
    <t>&lt; Name your initiative here &gt;</t>
  </si>
  <si>
    <t>DESCRIBING YOUR PROJECT</t>
  </si>
  <si>
    <t>BENCHMARKING YOUR PROJECT</t>
  </si>
  <si>
    <t>Years until change (yrs)</t>
  </si>
  <si>
    <t>User defined energy split for major refurb, extension or new build</t>
  </si>
  <si>
    <t>General/Global</t>
  </si>
  <si>
    <t>Hint</t>
  </si>
  <si>
    <t xml:space="preserve">PREFFERED OPTION </t>
  </si>
  <si>
    <t>YEARS</t>
  </si>
  <si>
    <t>HOW TO USE THIS TOOL</t>
  </si>
  <si>
    <t>WHAT THIS TOOL DOES</t>
  </si>
  <si>
    <t>NAVIGATION</t>
  </si>
  <si>
    <t>Cost saving:</t>
  </si>
  <si>
    <t>DISCLAIMER</t>
  </si>
  <si>
    <t>Payback (Preferred Option)</t>
  </si>
  <si>
    <t>Step 1 Benchmark</t>
  </si>
  <si>
    <t>Estimate</t>
  </si>
  <si>
    <t>MAP OF THE TOOL</t>
  </si>
  <si>
    <t>GNU LICENSE [SIC] / TERMS AND CONDITIONS</t>
  </si>
  <si>
    <t>Baseline</t>
  </si>
  <si>
    <t>Annual energy (KWh/year)</t>
  </si>
  <si>
    <t>Annual carbon dioxide (t CO2/year)</t>
  </si>
  <si>
    <t>Building Fabric</t>
  </si>
  <si>
    <t>Ventilation</t>
  </si>
  <si>
    <t>VRF/ Chiller</t>
  </si>
  <si>
    <t>Reporting:</t>
  </si>
  <si>
    <t xml:space="preserve"> </t>
  </si>
  <si>
    <t>Actual Energy</t>
  </si>
  <si>
    <t>NPV (£ AT 25  YEARS)</t>
  </si>
  <si>
    <t>Preferred Option</t>
  </si>
  <si>
    <t>Second Option</t>
  </si>
  <si>
    <t>ENERGY IN YEAR ONE</t>
  </si>
  <si>
    <t>ENERGY COST PROJECTION</t>
  </si>
  <si>
    <t>ENERGY CARBON PROJECTION</t>
  </si>
  <si>
    <t>PO RESULTS TABLE</t>
  </si>
  <si>
    <t>SO RESULTS TABLE</t>
  </si>
  <si>
    <t>Current</t>
  </si>
  <si>
    <t>PAYBACKS (YEARS)</t>
  </si>
  <si>
    <t>Bespoke at RIBA Stage 2</t>
  </si>
  <si>
    <t>CURRENT (DO THE MINIMUM)</t>
  </si>
  <si>
    <t>STEP 2:CALCULATE</t>
  </si>
  <si>
    <t>STEP 1:DEFINE</t>
  </si>
  <si>
    <t>STEP 3:RESULTS</t>
  </si>
  <si>
    <t>Include vent. change?</t>
  </si>
  <si>
    <t>A. Click for bespoke tool A</t>
  </si>
  <si>
    <t>B. Click for bespoke tool B</t>
  </si>
  <si>
    <t>C. Click for bespoke tool C</t>
  </si>
  <si>
    <t>Include bespoke change A?</t>
  </si>
  <si>
    <t>Include bespoke change B?</t>
  </si>
  <si>
    <t>Include bespoke change C?</t>
  </si>
  <si>
    <t>Building fabric</t>
  </si>
  <si>
    <t>VRF/chiller</t>
  </si>
  <si>
    <t>Bespoke A</t>
  </si>
  <si>
    <t>Bespoke B</t>
  </si>
  <si>
    <t>Bespoke C</t>
  </si>
  <si>
    <t>NPV (£ at 25 years)</t>
  </si>
  <si>
    <t>Payback (years)</t>
  </si>
  <si>
    <t>-</t>
  </si>
  <si>
    <t>Payback (Second Option)</t>
  </si>
  <si>
    <t>TOTAL</t>
  </si>
  <si>
    <t xml:space="preserve">SECOND OPTION </t>
  </si>
  <si>
    <t>DECISION MAKING - COMBINED RESULTS</t>
  </si>
  <si>
    <t>DECISION MAKING - INDIVIDUAL PAYBACKS (YEARS)</t>
  </si>
  <si>
    <t>DECISION MAKING - INDIVIDUAL NPVs (£ AT 25  YEARS)</t>
  </si>
  <si>
    <t>Welcome to the UCL Cost &amp; Carbon Tool</t>
  </si>
  <si>
    <t>Preferred paybacks:</t>
  </si>
  <si>
    <t>SELECTIONS</t>
  </si>
  <si>
    <t>TOOLS AND PAYBACKS TO INFORM SELECTIONS</t>
  </si>
  <si>
    <t>NPV OF SELECTIONS</t>
  </si>
  <si>
    <t>Selected Payback PO</t>
  </si>
  <si>
    <t>PREFFERED</t>
  </si>
  <si>
    <t>Selected Payback SO</t>
  </si>
  <si>
    <t>SECOND</t>
  </si>
  <si>
    <t>Supporting Calcs</t>
  </si>
  <si>
    <t>Step 2 - Preferred Option</t>
  </si>
  <si>
    <t>Step 2 - Second Option</t>
  </si>
  <si>
    <t>BUILDING RESULTS FOR YEAR ONE</t>
  </si>
  <si>
    <r>
      <t>Total natural gas (kWh per m</t>
    </r>
    <r>
      <rPr>
        <sz val="10"/>
        <color theme="9"/>
        <rFont val="Calibri"/>
        <family val="2"/>
      </rPr>
      <t>²)</t>
    </r>
  </si>
  <si>
    <t>Server rooms 
(incl. cooling)</t>
  </si>
  <si>
    <t xml:space="preserve">Go back and select  </t>
  </si>
  <si>
    <t>BASE CASE</t>
  </si>
  <si>
    <t>Generate Report Tables</t>
  </si>
  <si>
    <t>Data:</t>
  </si>
  <si>
    <t>User defined 2</t>
  </si>
  <si>
    <t>User defined 1</t>
  </si>
  <si>
    <t>User defined 3</t>
  </si>
  <si>
    <t>Infiltration rate:</t>
  </si>
  <si>
    <r>
      <t xml:space="preserve">Existing building fabric type/ U-value </t>
    </r>
    <r>
      <rPr>
        <sz val="10"/>
        <color theme="3" tint="-0.499984740745262"/>
        <rFont val="Arial"/>
        <family val="2"/>
      </rPr>
      <t>(W/m2k)</t>
    </r>
  </si>
  <si>
    <r>
      <t xml:space="preserve">Existing air permeability </t>
    </r>
    <r>
      <rPr>
        <sz val="10"/>
        <color theme="3" tint="-0.499984740745262"/>
        <rFont val="Arial"/>
        <family val="2"/>
      </rPr>
      <t>(m3/h.m2@50Pa)</t>
    </r>
  </si>
  <si>
    <t>Infiltration rates</t>
  </si>
  <si>
    <t>10 (Part L 2002)</t>
  </si>
  <si>
    <t>7 (Part L 2005)</t>
  </si>
  <si>
    <t>W/m2k</t>
  </si>
  <si>
    <t>m2</t>
  </si>
  <si>
    <r>
      <t xml:space="preserve">Proposed building fabric type/ U-value </t>
    </r>
    <r>
      <rPr>
        <sz val="10"/>
        <color theme="9"/>
        <rFont val="Arial"/>
        <family val="2"/>
      </rPr>
      <t>(W/m2k)</t>
    </r>
  </si>
  <si>
    <r>
      <t xml:space="preserve">Proposed building fabric type/ U-value </t>
    </r>
    <r>
      <rPr>
        <sz val="10"/>
        <color theme="4" tint="-0.499984740745262"/>
        <rFont val="Arial"/>
        <family val="2"/>
      </rPr>
      <t>(W/m2k)</t>
    </r>
  </si>
  <si>
    <t>External wall (2002 regs)</t>
  </si>
  <si>
    <t>External wall (2013 Regs)</t>
  </si>
  <si>
    <t>Roof (2013 regs)</t>
  </si>
  <si>
    <t>PIR presence detector</t>
  </si>
  <si>
    <t>Demand control coefficient (factors)</t>
  </si>
  <si>
    <t>Central mech vent</t>
  </si>
  <si>
    <t>Local mech vent with HR</t>
  </si>
  <si>
    <t>Central mech vent with HR</t>
  </si>
  <si>
    <t xml:space="preserve">Specific fan powers (SFP) </t>
  </si>
  <si>
    <t>Non-domestic Building Services Compliance Guide, 2013</t>
  </si>
  <si>
    <t>National Calculation Methodology (NCM) modelling guide, 2013</t>
  </si>
  <si>
    <t>Define the system being changed</t>
  </si>
  <si>
    <t>Additional area heated by new system (m2)</t>
  </si>
  <si>
    <t>Heating efficiency credits</t>
  </si>
  <si>
    <t>Select building controls</t>
  </si>
  <si>
    <t>TRVs + Room thermostats</t>
  </si>
  <si>
    <t>Pump power</t>
  </si>
  <si>
    <t>Operational hours</t>
  </si>
  <si>
    <t>Demand control of ventilation</t>
  </si>
  <si>
    <t>Variable speed fan</t>
  </si>
  <si>
    <t>Weeks per year (weeks)</t>
  </si>
  <si>
    <t>Ventilation rate (l/s/person)</t>
  </si>
  <si>
    <t>Mech vent control</t>
  </si>
  <si>
    <t>Nat vent control</t>
  </si>
  <si>
    <t>Heat recovery effectiveness (%)</t>
  </si>
  <si>
    <t>Efficiencies (Coefficient of Performance)</t>
  </si>
  <si>
    <t>VRF</t>
  </si>
  <si>
    <t>Pump power density for low temperature hot water (LTHW)</t>
  </si>
  <si>
    <t>Pump powers density for chilled water (CHW)</t>
  </si>
  <si>
    <t>Watt per fitting</t>
  </si>
  <si>
    <t>Type 1</t>
  </si>
  <si>
    <t>Type 2</t>
  </si>
  <si>
    <t>Type 3</t>
  </si>
  <si>
    <t>Quantity of type 1 fitting</t>
  </si>
  <si>
    <t>Quantity of type 2 fitting</t>
  </si>
  <si>
    <t>Quantity of type 3 fitting</t>
  </si>
  <si>
    <t>Typical value</t>
  </si>
  <si>
    <t>Lighting control factors</t>
  </si>
  <si>
    <t>Simplified Building Energy Model (SBEM) Technical Manual, 2014</t>
  </si>
  <si>
    <t>3% of installed load</t>
  </si>
  <si>
    <t>Sensor time-switch:</t>
  </si>
  <si>
    <t>BETA</t>
  </si>
  <si>
    <t>UCL</t>
  </si>
  <si>
    <t>www.degreedays.net</t>
  </si>
  <si>
    <t>Space heating degree days (base temp. 15.5C, London)</t>
  </si>
  <si>
    <t>Ventilation heating degree days (base temp. 21C, London)</t>
  </si>
  <si>
    <t>Approved document L2A, 2013</t>
  </si>
  <si>
    <t>Roof (2002 regs)</t>
  </si>
  <si>
    <t>Double glazing (2002 regs)</t>
  </si>
  <si>
    <t>Double glazing (2013 regs)</t>
  </si>
  <si>
    <t>Ground floor (2002 regs)</t>
  </si>
  <si>
    <t>Ground floor (2013 regs)</t>
  </si>
  <si>
    <t>Building regulation</t>
  </si>
  <si>
    <t>Benchmark data, kWh/m2 (Source: UCL)</t>
  </si>
  <si>
    <t>Estimated Energy Split (Source: UCL)</t>
  </si>
  <si>
    <t>Initial Benchmark (Step 1)</t>
  </si>
  <si>
    <t>RIBA 3+ Estimate (Step 2)</t>
  </si>
  <si>
    <t>RIBA 3+ Estimate</t>
  </si>
  <si>
    <t>Initial Benchmark</t>
  </si>
  <si>
    <t>The tables below are for RIBA Stage 2 reporting</t>
  </si>
  <si>
    <t>The table below is for RIBA Stage 3+ reporting</t>
  </si>
  <si>
    <t>Report</t>
  </si>
  <si>
    <t>T</t>
  </si>
  <si>
    <t>Gross Internal Area (GIA)</t>
  </si>
  <si>
    <t>25 Gordon Street</t>
  </si>
  <si>
    <t>26 GORDON SQUARE</t>
  </si>
  <si>
    <t>25 GORDON SQUARE</t>
  </si>
  <si>
    <t>24 GORDON SQUARE</t>
  </si>
  <si>
    <t>23 GORDON SQUARE</t>
  </si>
  <si>
    <t>22 GORDON SQUARE</t>
  </si>
  <si>
    <t>21 GORDON SQUARE</t>
  </si>
  <si>
    <t>WC1H 0AW</t>
  </si>
  <si>
    <t>20 GORDON SQUARE</t>
  </si>
  <si>
    <t>19 GORDON SQUARE</t>
  </si>
  <si>
    <t>MALET PLACE, 1-4</t>
  </si>
  <si>
    <t>WC1E 7JG</t>
  </si>
  <si>
    <t>TORRINGTON PLACE, 33-35</t>
  </si>
  <si>
    <t>WC1E 7HG</t>
  </si>
  <si>
    <t>WC1E 6BP</t>
  </si>
  <si>
    <t>W1P 5GB</t>
  </si>
  <si>
    <t>BUNGALOWS, 109 CAMDEN ROAD</t>
  </si>
  <si>
    <t>RAMSAY HALL (ROME)</t>
  </si>
  <si>
    <t>W1P 5LH</t>
  </si>
  <si>
    <t>JOHN TOVELL HOUSE, GOWER ST, 89</t>
  </si>
  <si>
    <t>WC1E 6AD</t>
  </si>
  <si>
    <t>TAVITON STREET, 3-4</t>
  </si>
  <si>
    <t>WC1H 0BT</t>
  </si>
  <si>
    <t>WATES HOUSE</t>
  </si>
  <si>
    <t>WC1H 0QB</t>
  </si>
  <si>
    <t>IOE - ENDSLEIGH GARDENS, 9-11</t>
  </si>
  <si>
    <t>WC1H 0EH</t>
  </si>
  <si>
    <t>WC1H 0DS</t>
  </si>
  <si>
    <t>SLADE SCHOOL - WOBURN SQUARE</t>
  </si>
  <si>
    <t>WC1H 0AB</t>
  </si>
  <si>
    <t>48 GORDON SQUARE</t>
  </si>
  <si>
    <t>WC1H 0PJ</t>
  </si>
  <si>
    <t>WC1H 9EZ</t>
  </si>
  <si>
    <t>MILL HILL - WILSON OBSERVATORY</t>
  </si>
  <si>
    <t>NW7 2QS</t>
  </si>
  <si>
    <t>MILL HILL - RADCLIFFE OBSERVATORY</t>
  </si>
  <si>
    <t>MILL HILL - FRY OBSERVATORY</t>
  </si>
  <si>
    <t>W1T 5BD</t>
  </si>
  <si>
    <t>SCHOOL OF PHARMACY</t>
  </si>
  <si>
    <t>WC1N 1AX</t>
  </si>
  <si>
    <t>Camley Street</t>
  </si>
  <si>
    <t>N1C 4PF</t>
  </si>
  <si>
    <t>WC1H 0AL</t>
  </si>
  <si>
    <t>WC1H 0NR</t>
  </si>
  <si>
    <t>WC1H 0AA</t>
  </si>
  <si>
    <t>IOE - ENDSLEIGH STREET,14</t>
  </si>
  <si>
    <t>WC1H 0DH</t>
  </si>
  <si>
    <t>WC1H 0DP</t>
  </si>
  <si>
    <t>WC1N 3QS</t>
  </si>
  <si>
    <t>WC1E 6JJ</t>
  </si>
  <si>
    <t>115-117 GOWER ST</t>
  </si>
  <si>
    <t>WC1E 6AT</t>
  </si>
  <si>
    <t>INST OF OPHTHALM - WOLFSON BLDG</t>
  </si>
  <si>
    <t>EC1V 9EJ</t>
  </si>
  <si>
    <t>INST OF OPHTHALM - CAYTON ST, 17-25</t>
  </si>
  <si>
    <t>EC1V 9EH</t>
  </si>
  <si>
    <t>ICH - WELLCOME TRUST BUILDING</t>
  </si>
  <si>
    <t>ICH - PHILIP ULLMAN WING</t>
  </si>
  <si>
    <t>WC1N2AD</t>
  </si>
  <si>
    <t>WC1N 3RX</t>
  </si>
  <si>
    <t>INST NEUROLOGY - 23 QUEEN SQUARE</t>
  </si>
  <si>
    <t>WC1N 3AZ</t>
  </si>
  <si>
    <t>INST NEUROLOGY - 8/11 QUEEN SQUARE</t>
  </si>
  <si>
    <t>THE SAINSBURY WELLCOME CENTRE</t>
  </si>
  <si>
    <t>W1T 4JG</t>
  </si>
  <si>
    <t>EAR INSTITUTE- GRAYS INN RD 334-336</t>
  </si>
  <si>
    <t>NW3 2PF</t>
  </si>
  <si>
    <t>Belnor House</t>
  </si>
  <si>
    <t>ORMOND HOUSE</t>
  </si>
  <si>
    <t>WC1N 3JD</t>
  </si>
  <si>
    <t>TUFNELL PARK - PAMELA</t>
  </si>
  <si>
    <t>N19 5UN</t>
  </si>
  <si>
    <t>TOTTENHAM COURT ROAD, 188</t>
  </si>
  <si>
    <t>W1T 7PH</t>
  </si>
  <si>
    <t>INST OF OPHTHALM - PHASE 6A BATH ST</t>
  </si>
  <si>
    <t>INST OF OPHTHALM - PHASE 6B BATH ST</t>
  </si>
  <si>
    <t>TAVISTOCK SQUARE, 34</t>
  </si>
  <si>
    <t>INST NEUROLOGY - 33 QUEEN SQUARE</t>
  </si>
  <si>
    <t>CHAPEL PLACE,1-2   PORTSLADE BRIGHT</t>
  </si>
  <si>
    <t>BN41 1DR</t>
  </si>
  <si>
    <t>TAVITON STREET, 2</t>
  </si>
  <si>
    <t>TAVISTOCK SQUARE, 35</t>
  </si>
  <si>
    <t>IOE - GORDON SQUARE, 55-59</t>
  </si>
  <si>
    <t>WC1H 0NU</t>
  </si>
  <si>
    <t>TAVISTOCK SQUARE, 31</t>
  </si>
  <si>
    <t>EAR INSTITUTE - WICKLOW STREET 75</t>
  </si>
  <si>
    <t>WC1X 9JY</t>
  </si>
  <si>
    <t>RUSSELL SQUARE HOUSE</t>
  </si>
  <si>
    <t>WC1B 5EH</t>
  </si>
  <si>
    <t>ZFL HOUSE</t>
  </si>
  <si>
    <t>CM8 3YQ</t>
  </si>
  <si>
    <t>R</t>
  </si>
  <si>
    <t>S</t>
  </si>
  <si>
    <t>LM/T</t>
  </si>
  <si>
    <t>A</t>
  </si>
  <si>
    <t>LM</t>
  </si>
  <si>
    <t>LIB</t>
  </si>
  <si>
    <t>LE</t>
  </si>
  <si>
    <t>LC</t>
  </si>
  <si>
    <t>LE/T</t>
  </si>
  <si>
    <t>LIB/T</t>
  </si>
  <si>
    <t>District heating %</t>
  </si>
  <si>
    <t>Annual energy cost (£/year)</t>
  </si>
  <si>
    <t>Est. auxiliary energy - pumps (kWh)</t>
  </si>
  <si>
    <t>Est. auxiliary energy - fans (kWh)</t>
  </si>
  <si>
    <t>Est.percentage saving</t>
  </si>
  <si>
    <t>Max occupancy the system is designed for (people)</t>
  </si>
  <si>
    <t>Min occupancy the system is designed for (people)</t>
  </si>
  <si>
    <t>System (or area) max occupancy (people)</t>
  </si>
  <si>
    <t>System (or area) min occupancy (people)</t>
  </si>
  <si>
    <t>Existing building change</t>
  </si>
  <si>
    <t>Eastman Dental Institute 123 GIR</t>
  </si>
  <si>
    <t>ZAYED CENTRE FOR RESEARCH</t>
  </si>
  <si>
    <t>PEARS BUILDING</t>
  </si>
  <si>
    <t>CANADA SQUARE,1 - L38</t>
  </si>
  <si>
    <t>HERE EAST UCL</t>
  </si>
  <si>
    <t>SOLAR HOUSE</t>
  </si>
  <si>
    <t>PEARL</t>
  </si>
  <si>
    <t>Student Centre</t>
  </si>
  <si>
    <t>36-38 Gordon Square</t>
  </si>
  <si>
    <t>WC1H 0PD</t>
  </si>
  <si>
    <t>Shropshire House</t>
  </si>
  <si>
    <t>WC1E 6JA</t>
  </si>
  <si>
    <t>Courtauld Building</t>
  </si>
  <si>
    <t>W1W 7FF</t>
  </si>
  <si>
    <t>91 GOWER STREET</t>
  </si>
  <si>
    <t>90 HIGH HOLBORN</t>
  </si>
  <si>
    <t>10-11 MONTAGUE STREET</t>
  </si>
  <si>
    <t>169 EUSTON ROAD</t>
  </si>
  <si>
    <t>E14 5AB</t>
  </si>
  <si>
    <t>E15 2GW</t>
  </si>
  <si>
    <t>40 BERNARD STREET</t>
  </si>
  <si>
    <t>77 WICKLOW STREET</t>
  </si>
  <si>
    <t>44 WICKLOW STREET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</si>
</sst>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_-;\-* #,##0_-;_-* &quot;-&quot;??_-;_-@_-"/>
    <numFmt numFmtId="165" formatCode="0.0"/>
    <numFmt numFmtId="166" formatCode="000"/>
    <numFmt numFmtId="167" formatCode="#,##0.0"/>
    <numFmt numFmtId="168" formatCode="0.000"/>
  </numFmts>
  <fonts count="144" x14ac:knownFonts="1">
    <font>
      <sz val="11"/>
      <color theme="1"/>
      <name val="Calibri"/>
      <family val="2"/>
      <scheme val="minor"/>
    </font>
    <font>
      <sz val="10"/>
      <name val="Arial"/>
      <family val="2"/>
    </font>
    <font>
      <sz val="11"/>
      <color theme="1"/>
      <name val="Calibri"/>
      <family val="2"/>
      <scheme val="minor"/>
    </font>
    <font>
      <sz val="10"/>
      <color theme="1"/>
      <name val="Arial"/>
      <family val="2"/>
    </font>
    <font>
      <sz val="10"/>
      <color theme="0" tint="-0.249977111117893"/>
      <name val="Arial"/>
      <family val="2"/>
    </font>
    <font>
      <sz val="10"/>
      <color theme="7"/>
      <name val="Arial"/>
      <family val="2"/>
    </font>
    <font>
      <sz val="10"/>
      <color theme="3" tint="0.79998168889431442"/>
      <name val="Arial"/>
      <family val="2"/>
    </font>
    <font>
      <sz val="10"/>
      <color theme="3"/>
      <name val="Arial"/>
      <family val="2"/>
    </font>
    <font>
      <b/>
      <sz val="10"/>
      <color theme="1"/>
      <name val="Arial"/>
      <family val="2"/>
    </font>
    <font>
      <sz val="10"/>
      <color theme="0"/>
      <name val="Arial"/>
      <family val="2"/>
    </font>
    <font>
      <sz val="10"/>
      <color theme="7" tint="0.79998168889431442"/>
      <name val="Arial"/>
      <family val="2"/>
    </font>
    <font>
      <b/>
      <sz val="10"/>
      <color theme="3"/>
      <name val="Arial"/>
      <family val="2"/>
    </font>
    <font>
      <sz val="10"/>
      <color theme="0" tint="-0.499984740745262"/>
      <name val="Arial"/>
      <family val="2"/>
    </font>
    <font>
      <b/>
      <sz val="10"/>
      <color theme="9"/>
      <name val="Arial"/>
      <family val="2"/>
    </font>
    <font>
      <sz val="10"/>
      <color theme="9"/>
      <name val="Arial"/>
      <family val="2"/>
    </font>
    <font>
      <b/>
      <sz val="10"/>
      <color theme="3" tint="0.39997558519241921"/>
      <name val="Arial"/>
      <family val="2"/>
    </font>
    <font>
      <sz val="10"/>
      <color theme="3" tint="0.39997558519241921"/>
      <name val="Arial"/>
      <family val="2"/>
    </font>
    <font>
      <sz val="10"/>
      <color theme="3"/>
      <name val="Calibri"/>
      <family val="2"/>
      <scheme val="minor"/>
    </font>
    <font>
      <sz val="10"/>
      <color theme="1"/>
      <name val="Calibri"/>
      <family val="2"/>
      <scheme val="minor"/>
    </font>
    <font>
      <b/>
      <sz val="10"/>
      <color rgb="FFFF0000"/>
      <name val="Arial"/>
      <family val="2"/>
    </font>
    <font>
      <sz val="10"/>
      <color rgb="FFFF0000"/>
      <name val="Arial"/>
      <family val="2"/>
    </font>
    <font>
      <b/>
      <sz val="10"/>
      <color theme="0"/>
      <name val="Arial"/>
      <family val="2"/>
    </font>
    <font>
      <i/>
      <sz val="10"/>
      <color theme="3" tint="0.39997558519241921"/>
      <name val="Arial"/>
      <family val="2"/>
    </font>
    <font>
      <sz val="10"/>
      <color rgb="FF4E5B6F"/>
      <name val="Arial"/>
      <family val="2"/>
    </font>
    <font>
      <b/>
      <sz val="9"/>
      <color indexed="81"/>
      <name val="Tahoma"/>
      <family val="2"/>
    </font>
    <font>
      <sz val="9"/>
      <color indexed="81"/>
      <name val="Tahoma"/>
      <family val="2"/>
    </font>
    <font>
      <sz val="10"/>
      <name val="Consolas"/>
      <family val="3"/>
    </font>
    <font>
      <sz val="10"/>
      <color theme="9" tint="0.79998168889431442"/>
      <name val="Arial"/>
      <family val="2"/>
    </font>
    <font>
      <sz val="10"/>
      <color theme="3"/>
      <name val="Calibri"/>
      <family val="2"/>
    </font>
    <font>
      <b/>
      <sz val="16"/>
      <color theme="9"/>
      <name val="Arial"/>
      <family val="2"/>
    </font>
    <font>
      <b/>
      <sz val="16"/>
      <color theme="3"/>
      <name val="Arial"/>
      <family val="2"/>
    </font>
    <font>
      <b/>
      <sz val="16"/>
      <color theme="0"/>
      <name val="Arial"/>
      <family val="2"/>
    </font>
    <font>
      <sz val="16"/>
      <color theme="1"/>
      <name val="Arial"/>
      <family val="2"/>
    </font>
    <font>
      <b/>
      <sz val="16"/>
      <color theme="3" tint="0.39997558519241921"/>
      <name val="Arial"/>
      <family val="2"/>
    </font>
    <font>
      <b/>
      <sz val="16"/>
      <color theme="5"/>
      <name val="Arial"/>
      <family val="2"/>
    </font>
    <font>
      <b/>
      <sz val="16"/>
      <color theme="7"/>
      <name val="Arial"/>
      <family val="2"/>
    </font>
    <font>
      <b/>
      <sz val="16"/>
      <color theme="6"/>
      <name val="Arial"/>
      <family val="2"/>
    </font>
    <font>
      <b/>
      <sz val="16"/>
      <color rgb="FF00B050"/>
      <name val="Arial"/>
      <family val="2"/>
    </font>
    <font>
      <b/>
      <sz val="16"/>
      <name val="Arial"/>
      <family val="2"/>
    </font>
    <font>
      <b/>
      <u/>
      <sz val="10"/>
      <color theme="0"/>
      <name val="Arial"/>
      <family val="2"/>
    </font>
    <font>
      <b/>
      <u/>
      <sz val="16"/>
      <color theme="3"/>
      <name val="Arial"/>
      <family val="2"/>
    </font>
    <font>
      <b/>
      <u/>
      <sz val="16"/>
      <color theme="5"/>
      <name val="Arial"/>
      <family val="2"/>
    </font>
    <font>
      <b/>
      <u/>
      <sz val="16"/>
      <color theme="7"/>
      <name val="Arial"/>
      <family val="2"/>
    </font>
    <font>
      <b/>
      <u/>
      <sz val="16"/>
      <color theme="6"/>
      <name val="Arial"/>
      <family val="2"/>
    </font>
    <font>
      <sz val="10"/>
      <color theme="9"/>
      <name val="Calibri"/>
      <family val="2"/>
      <scheme val="minor"/>
    </font>
    <font>
      <sz val="10"/>
      <color theme="3" tint="0.39997558519241921"/>
      <name val="Calibri"/>
      <family val="2"/>
      <scheme val="minor"/>
    </font>
    <font>
      <b/>
      <u/>
      <sz val="24"/>
      <color theme="9"/>
      <name val="Arial"/>
      <family val="2"/>
    </font>
    <font>
      <b/>
      <sz val="10"/>
      <color theme="0" tint="-0.249977111117893"/>
      <name val="Arial"/>
      <family val="2"/>
    </font>
    <font>
      <b/>
      <sz val="24"/>
      <color theme="3"/>
      <name val="Arial"/>
      <family val="2"/>
    </font>
    <font>
      <sz val="16"/>
      <color theme="9" tint="0.79998168889431442"/>
      <name val="Arial"/>
      <family val="2"/>
    </font>
    <font>
      <b/>
      <sz val="10"/>
      <color theme="9" tint="0.79998168889431442"/>
      <name val="Arial"/>
      <family val="2"/>
    </font>
    <font>
      <b/>
      <sz val="24"/>
      <color theme="0"/>
      <name val="Arial"/>
      <family val="2"/>
    </font>
    <font>
      <sz val="16"/>
      <color theme="9" tint="0.39997558519241921"/>
      <name val="Arial"/>
      <family val="2"/>
    </font>
    <font>
      <b/>
      <sz val="10"/>
      <color theme="9" tint="0.39997558519241921"/>
      <name val="Arial"/>
      <family val="2"/>
    </font>
    <font>
      <b/>
      <u/>
      <sz val="10"/>
      <color theme="9" tint="0.79998168889431442"/>
      <name val="Arial"/>
      <family val="2"/>
    </font>
    <font>
      <b/>
      <i/>
      <sz val="10"/>
      <color theme="3"/>
      <name val="Arial"/>
      <family val="2"/>
    </font>
    <font>
      <u/>
      <sz val="16"/>
      <color theme="9" tint="0.39997558519241921"/>
      <name val="Arial"/>
      <family val="2"/>
    </font>
    <font>
      <u/>
      <sz val="16"/>
      <color theme="9" tint="-0.249977111117893"/>
      <name val="Arial"/>
      <family val="2"/>
    </font>
    <font>
      <u/>
      <sz val="16"/>
      <color theme="0"/>
      <name val="Arial"/>
      <family val="2"/>
    </font>
    <font>
      <u/>
      <sz val="16"/>
      <color theme="9" tint="0.59999389629810485"/>
      <name val="Arial"/>
      <family val="2"/>
    </font>
    <font>
      <sz val="16"/>
      <color theme="0"/>
      <name val="Arial"/>
      <family val="2"/>
    </font>
    <font>
      <b/>
      <sz val="16"/>
      <color rgb="FF92D050"/>
      <name val="Arial"/>
      <family val="2"/>
    </font>
    <font>
      <b/>
      <u/>
      <sz val="10"/>
      <color theme="9"/>
      <name val="Arial"/>
      <family val="2"/>
    </font>
    <font>
      <sz val="10"/>
      <color theme="0" tint="-4.9989318521683403E-2"/>
      <name val="Arial"/>
      <family val="2"/>
    </font>
    <font>
      <i/>
      <sz val="10"/>
      <color theme="3"/>
      <name val="Arial"/>
      <family val="2"/>
    </font>
    <font>
      <i/>
      <sz val="10"/>
      <color theme="9"/>
      <name val="Arial"/>
      <family val="2"/>
    </font>
    <font>
      <u/>
      <sz val="11"/>
      <color theme="10"/>
      <name val="Calibri"/>
      <family val="2"/>
      <scheme val="minor"/>
    </font>
    <font>
      <i/>
      <sz val="10"/>
      <color theme="0" tint="-0.249977111117893"/>
      <name val="Arial"/>
      <family val="2"/>
    </font>
    <font>
      <sz val="16"/>
      <color rgb="FFFF0000"/>
      <name val="Arial"/>
      <family val="2"/>
    </font>
    <font>
      <i/>
      <sz val="10"/>
      <color theme="1"/>
      <name val="Arial"/>
      <family val="2"/>
    </font>
    <font>
      <i/>
      <sz val="10"/>
      <color theme="0"/>
      <name val="Arial"/>
      <family val="2"/>
    </font>
    <font>
      <b/>
      <sz val="16"/>
      <color theme="9" tint="0.39997558519241921"/>
      <name val="Arial"/>
      <family val="2"/>
    </font>
    <font>
      <b/>
      <sz val="6"/>
      <color theme="3"/>
      <name val="Arial"/>
      <family val="2"/>
    </font>
    <font>
      <sz val="6"/>
      <color theme="3"/>
      <name val="Arial"/>
      <family val="2"/>
    </font>
    <font>
      <sz val="6"/>
      <color theme="1"/>
      <name val="Arial"/>
      <family val="2"/>
    </font>
    <font>
      <b/>
      <i/>
      <sz val="6"/>
      <color theme="0" tint="-0.249977111117893"/>
      <name val="Arial"/>
      <family val="2"/>
    </font>
    <font>
      <i/>
      <sz val="6"/>
      <color theme="0" tint="-0.249977111117893"/>
      <name val="Arial"/>
      <family val="2"/>
    </font>
    <font>
      <b/>
      <sz val="6"/>
      <color theme="0"/>
      <name val="Arial"/>
      <family val="2"/>
    </font>
    <font>
      <b/>
      <sz val="16"/>
      <color theme="1"/>
      <name val="Arial"/>
      <family val="2"/>
    </font>
    <font>
      <b/>
      <sz val="10"/>
      <name val="Arial"/>
      <family val="2"/>
    </font>
    <font>
      <b/>
      <u/>
      <sz val="16"/>
      <color theme="0"/>
      <name val="Arial"/>
      <family val="2"/>
    </font>
    <font>
      <b/>
      <u/>
      <sz val="16"/>
      <color theme="1"/>
      <name val="Arial"/>
      <family val="2"/>
    </font>
    <font>
      <sz val="6"/>
      <color theme="9"/>
      <name val="Arial"/>
      <family val="2"/>
    </font>
    <font>
      <b/>
      <sz val="6"/>
      <color theme="9"/>
      <name val="Arial"/>
      <family val="2"/>
    </font>
    <font>
      <sz val="10"/>
      <color rgb="FF000000"/>
      <name val="Arial"/>
      <family val="2"/>
    </font>
    <font>
      <b/>
      <sz val="10"/>
      <name val="Calibri"/>
      <family val="2"/>
    </font>
    <font>
      <b/>
      <sz val="10"/>
      <color theme="1"/>
      <name val="Calibri"/>
      <family val="2"/>
    </font>
    <font>
      <b/>
      <sz val="10"/>
      <color rgb="FF000000"/>
      <name val="Arial"/>
      <family val="2"/>
    </font>
    <font>
      <b/>
      <sz val="10"/>
      <color theme="1"/>
      <name val="Calibri"/>
      <family val="2"/>
      <scheme val="minor"/>
    </font>
    <font>
      <sz val="10"/>
      <name val="Calibri"/>
      <family val="2"/>
    </font>
    <font>
      <u/>
      <sz val="10"/>
      <color theme="9" tint="0.39997558519241921"/>
      <name val="Arial"/>
      <family val="2"/>
    </font>
    <font>
      <u/>
      <sz val="10"/>
      <color rgb="FFFF0000"/>
      <name val="Arial"/>
      <family val="2"/>
    </font>
    <font>
      <sz val="10"/>
      <color theme="0"/>
      <name val="Wingdings"/>
      <charset val="2"/>
    </font>
    <font>
      <b/>
      <sz val="10"/>
      <color theme="5"/>
      <name val="Arial"/>
      <family val="2"/>
    </font>
    <font>
      <b/>
      <sz val="10"/>
      <color theme="6"/>
      <name val="Arial"/>
      <family val="2"/>
    </font>
    <font>
      <b/>
      <sz val="10"/>
      <color rgb="FF00B0F0"/>
      <name val="Arial"/>
      <family val="2"/>
    </font>
    <font>
      <sz val="10"/>
      <color theme="3" tint="0.39997558519241921"/>
      <name val="Open Sans"/>
      <family val="2"/>
    </font>
    <font>
      <b/>
      <sz val="10"/>
      <color theme="7"/>
      <name val="Arial"/>
      <family val="2"/>
    </font>
    <font>
      <b/>
      <sz val="10"/>
      <color theme="2" tint="-0.499984740745262"/>
      <name val="Arial"/>
      <family val="2"/>
    </font>
    <font>
      <b/>
      <sz val="10"/>
      <color rgb="FF92D050"/>
      <name val="Arial"/>
      <family val="2"/>
    </font>
    <font>
      <b/>
      <sz val="10"/>
      <color rgb="FF00B050"/>
      <name val="Arial"/>
      <family val="2"/>
    </font>
    <font>
      <b/>
      <i/>
      <sz val="10"/>
      <color theme="0" tint="-0.249977111117893"/>
      <name val="Arial"/>
      <family val="2"/>
    </font>
    <font>
      <u/>
      <sz val="10"/>
      <color theme="9" tint="0.79998168889431442"/>
      <name val="Arial"/>
      <family val="2"/>
    </font>
    <font>
      <b/>
      <sz val="10"/>
      <color theme="3" tint="0.79998168889431442"/>
      <name val="Arial"/>
      <family val="2"/>
    </font>
    <font>
      <b/>
      <sz val="16"/>
      <color rgb="FFFF0000"/>
      <name val="Arial"/>
      <family val="2"/>
    </font>
    <font>
      <b/>
      <u/>
      <sz val="16"/>
      <color theme="9" tint="0.79998168889431442"/>
      <name val="Arial"/>
      <family val="2"/>
    </font>
    <font>
      <b/>
      <u/>
      <sz val="16"/>
      <color theme="9" tint="0.39997558519241921"/>
      <name val="Arial"/>
      <family val="2"/>
    </font>
    <font>
      <u/>
      <sz val="16"/>
      <color rgb="FFFF0000"/>
      <name val="Arial"/>
      <family val="2"/>
    </font>
    <font>
      <b/>
      <sz val="16"/>
      <color theme="9" tint="0.79998168889431442"/>
      <name val="Arial"/>
      <family val="2"/>
    </font>
    <font>
      <b/>
      <sz val="16"/>
      <color theme="9" tint="-0.249977111117893"/>
      <name val="Arial"/>
      <family val="2"/>
    </font>
    <font>
      <sz val="6"/>
      <color theme="3" tint="0.39997558519241921"/>
      <name val="Arial"/>
      <family val="2"/>
    </font>
    <font>
      <b/>
      <i/>
      <sz val="6"/>
      <color theme="3" tint="0.39997558519241921"/>
      <name val="Arial"/>
      <family val="2"/>
    </font>
    <font>
      <b/>
      <i/>
      <sz val="6"/>
      <color theme="9"/>
      <name val="Arial"/>
      <family val="2"/>
    </font>
    <font>
      <b/>
      <i/>
      <sz val="6"/>
      <color theme="3"/>
      <name val="Arial"/>
      <family val="2"/>
    </font>
    <font>
      <i/>
      <sz val="6"/>
      <color theme="3" tint="0.39997558519241921"/>
      <name val="Arial"/>
      <family val="2"/>
    </font>
    <font>
      <b/>
      <sz val="20"/>
      <color theme="0"/>
      <name val="Arial"/>
      <family val="2"/>
    </font>
    <font>
      <sz val="10"/>
      <color rgb="FF0070C0"/>
      <name val="Arial"/>
      <family val="2"/>
    </font>
    <font>
      <sz val="10"/>
      <color theme="6"/>
      <name val="Arial"/>
      <family val="2"/>
    </font>
    <font>
      <sz val="10"/>
      <color theme="5"/>
      <name val="Arial"/>
      <family val="2"/>
    </font>
    <font>
      <b/>
      <sz val="6"/>
      <color theme="3" tint="0.39997558519241921"/>
      <name val="Arial"/>
      <family val="2"/>
    </font>
    <font>
      <b/>
      <sz val="24"/>
      <name val="Arial"/>
      <family val="2"/>
    </font>
    <font>
      <sz val="10"/>
      <color theme="9"/>
      <name val="Calibri"/>
      <family val="2"/>
    </font>
    <font>
      <b/>
      <sz val="24"/>
      <color theme="1"/>
      <name val="Arial"/>
      <family val="2"/>
    </font>
    <font>
      <b/>
      <sz val="16"/>
      <color theme="3" tint="-0.499984740745262"/>
      <name val="Arial"/>
      <family val="2"/>
    </font>
    <font>
      <b/>
      <sz val="10"/>
      <color theme="3" tint="-0.499984740745262"/>
      <name val="Arial"/>
      <family val="2"/>
    </font>
    <font>
      <sz val="10"/>
      <color theme="3" tint="-0.499984740745262"/>
      <name val="Arial"/>
      <family val="2"/>
    </font>
    <font>
      <i/>
      <sz val="10"/>
      <color theme="3" tint="-0.499984740745262"/>
      <name val="Arial"/>
      <family val="2"/>
    </font>
    <font>
      <b/>
      <u/>
      <sz val="16"/>
      <color theme="8"/>
      <name val="Arial"/>
      <family val="2"/>
    </font>
    <font>
      <b/>
      <sz val="16"/>
      <color theme="4" tint="-0.499984740745262"/>
      <name val="Arial"/>
      <family val="2"/>
    </font>
    <font>
      <b/>
      <sz val="10"/>
      <color theme="4" tint="-0.499984740745262"/>
      <name val="Arial"/>
      <family val="2"/>
    </font>
    <font>
      <sz val="10"/>
      <color theme="4" tint="-0.499984740745262"/>
      <name val="Arial"/>
      <family val="2"/>
    </font>
    <font>
      <i/>
      <sz val="10"/>
      <color theme="4" tint="-0.499984740745262"/>
      <name val="Arial"/>
      <family val="2"/>
    </font>
    <font>
      <b/>
      <i/>
      <sz val="10"/>
      <color theme="3" tint="-0.499984740745262"/>
      <name val="Arial"/>
      <family val="2"/>
    </font>
    <font>
      <b/>
      <sz val="16"/>
      <color theme="5" tint="0.39997558519241921"/>
      <name val="Arial"/>
      <family val="2"/>
    </font>
    <font>
      <b/>
      <u/>
      <sz val="10"/>
      <color theme="7" tint="0.39997558519241921"/>
      <name val="Arial"/>
      <family val="2"/>
    </font>
    <font>
      <sz val="10"/>
      <color theme="4" tint="-0.499984740745262"/>
      <name val="Calibri"/>
      <family val="2"/>
      <scheme val="minor"/>
    </font>
    <font>
      <sz val="7"/>
      <color indexed="81"/>
      <name val="Tahoma"/>
      <family val="2"/>
    </font>
    <font>
      <sz val="9"/>
      <color indexed="81"/>
      <name val="Tahoma"/>
      <charset val="1"/>
    </font>
    <font>
      <sz val="24"/>
      <color theme="4"/>
      <name val="Arial"/>
      <family val="2"/>
    </font>
    <font>
      <sz val="10"/>
      <color theme="1" tint="0.499984740745262"/>
      <name val="Arial"/>
      <family val="2"/>
    </font>
    <font>
      <i/>
      <sz val="10"/>
      <color rgb="FFFF0000"/>
      <name val="Arial"/>
      <family val="2"/>
    </font>
    <font>
      <i/>
      <sz val="10"/>
      <color theme="3" tint="0.59999389629810485"/>
      <name val="Arial"/>
      <family val="2"/>
    </font>
    <font>
      <u/>
      <sz val="10"/>
      <color theme="9"/>
      <name val="Arial"/>
      <family val="2"/>
    </font>
    <font>
      <sz val="10"/>
      <color rgb="FFFF0000"/>
      <name val="Calibri"/>
      <family val="2"/>
      <scheme val="minor"/>
    </font>
  </fonts>
  <fills count="29">
    <fill>
      <patternFill patternType="none"/>
    </fill>
    <fill>
      <patternFill patternType="gray125"/>
    </fill>
    <fill>
      <patternFill patternType="solid">
        <fgColor theme="9"/>
        <bgColor indexed="64"/>
      </patternFill>
    </fill>
    <fill>
      <patternFill patternType="solid">
        <fgColor theme="5"/>
        <bgColor indexed="64"/>
      </patternFill>
    </fill>
    <fill>
      <patternFill patternType="solid">
        <fgColor theme="3" tint="0.79998168889431442"/>
        <bgColor indexed="64"/>
      </patternFill>
    </fill>
    <fill>
      <patternFill patternType="solid">
        <fgColor theme="7"/>
        <bgColor indexed="64"/>
      </patternFill>
    </fill>
    <fill>
      <patternFill patternType="solid">
        <fgColor theme="6"/>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9" tint="-0.249977111117893"/>
        <bgColor indexed="64"/>
      </patternFill>
    </fill>
    <fill>
      <patternFill patternType="solid">
        <fgColor rgb="FF00B050"/>
        <bgColor indexed="64"/>
      </patternFill>
    </fill>
    <fill>
      <patternFill patternType="solid">
        <fgColor theme="5" tint="-0.249977111117893"/>
        <bgColor indexed="64"/>
      </patternFill>
    </fill>
    <fill>
      <patternFill patternType="solid">
        <fgColor theme="0"/>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5" tint="-0.499984740745262"/>
        <bgColor indexed="64"/>
      </patternFill>
    </fill>
    <fill>
      <patternFill patternType="solid">
        <fgColor theme="5" tint="0.59999389629810485"/>
        <bgColor indexed="64"/>
      </patternFill>
    </fill>
    <fill>
      <patternFill patternType="solid">
        <fgColor theme="3"/>
        <bgColor indexed="64"/>
      </patternFill>
    </fill>
    <fill>
      <patternFill patternType="solid">
        <fgColor theme="0" tint="-0.249977111117893"/>
        <bgColor indexed="64"/>
      </patternFill>
    </fill>
    <fill>
      <patternFill patternType="solid">
        <fgColor rgb="FFFF0000"/>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theme="7" tint="-0.249977111117893"/>
        <bgColor indexed="64"/>
      </patternFill>
    </fill>
    <fill>
      <patternFill patternType="solid">
        <fgColor theme="6" tint="-0.249977111117893"/>
        <bgColor indexed="64"/>
      </patternFill>
    </fill>
    <fill>
      <patternFill patternType="solid">
        <fgColor theme="4"/>
        <bgColor indexed="64"/>
      </patternFill>
    </fill>
    <fill>
      <patternFill patternType="solid">
        <fgColor theme="9" tint="0.59999389629810485"/>
        <bgColor indexed="64"/>
      </patternFill>
    </fill>
    <fill>
      <patternFill patternType="solid">
        <fgColor theme="8"/>
        <bgColor indexed="64"/>
      </patternFill>
    </fill>
    <fill>
      <patternFill patternType="solid">
        <fgColor theme="8" tint="-0.249977111117893"/>
        <bgColor indexed="64"/>
      </patternFill>
    </fill>
    <fill>
      <patternFill patternType="solid">
        <fgColor rgb="FFFFFFFF"/>
        <bgColor indexed="64"/>
      </patternFill>
    </fill>
  </fills>
  <borders count="66">
    <border>
      <left/>
      <right/>
      <top/>
      <bottom/>
      <diagonal/>
    </border>
    <border>
      <left style="medium">
        <color theme="0" tint="-4.9989318521683403E-2"/>
      </left>
      <right style="medium">
        <color theme="0" tint="-4.9989318521683403E-2"/>
      </right>
      <top style="medium">
        <color theme="0" tint="-4.9989318521683403E-2"/>
      </top>
      <bottom style="medium">
        <color theme="0" tint="-4.9989318521683403E-2"/>
      </bottom>
      <diagonal/>
    </border>
    <border>
      <left style="medium">
        <color theme="0" tint="-4.9989318521683403E-2"/>
      </left>
      <right/>
      <top style="medium">
        <color theme="0" tint="-4.9989318521683403E-2"/>
      </top>
      <bottom style="medium">
        <color theme="0" tint="-4.9989318521683403E-2"/>
      </bottom>
      <diagonal/>
    </border>
    <border>
      <left/>
      <right style="medium">
        <color theme="0" tint="-4.9989318521683403E-2"/>
      </right>
      <top style="medium">
        <color theme="0" tint="-4.9989318521683403E-2"/>
      </top>
      <bottom style="medium">
        <color theme="0" tint="-4.9989318521683403E-2"/>
      </bottom>
      <diagonal/>
    </border>
    <border>
      <left/>
      <right/>
      <top style="medium">
        <color theme="0" tint="-4.9989318521683403E-2"/>
      </top>
      <bottom style="medium">
        <color theme="0" tint="-4.9989318521683403E-2"/>
      </bottom>
      <diagonal/>
    </border>
    <border>
      <left style="medium">
        <color theme="0" tint="-4.9989318521683403E-2"/>
      </left>
      <right style="medium">
        <color theme="0" tint="-4.9989318521683403E-2"/>
      </right>
      <top style="medium">
        <color theme="0" tint="-4.9989318521683403E-2"/>
      </top>
      <bottom/>
      <diagonal/>
    </border>
    <border>
      <left style="medium">
        <color theme="0" tint="-4.9989318521683403E-2"/>
      </left>
      <right style="medium">
        <color theme="0" tint="-4.9989318521683403E-2"/>
      </right>
      <top/>
      <bottom style="medium">
        <color theme="0" tint="-4.9989318521683403E-2"/>
      </bottom>
      <diagonal/>
    </border>
    <border>
      <left style="thick">
        <color theme="0" tint="-4.9989318521683403E-2"/>
      </left>
      <right style="thick">
        <color theme="0" tint="-4.9989318521683403E-2"/>
      </right>
      <top style="thick">
        <color theme="0" tint="-4.9989318521683403E-2"/>
      </top>
      <bottom style="thick">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medium">
        <color theme="0" tint="-4.9989318521683403E-2"/>
      </left>
      <right style="medium">
        <color theme="0" tint="-4.9989318521683403E-2"/>
      </right>
      <top style="medium">
        <color theme="0" tint="-4.9989318521683403E-2"/>
      </top>
      <bottom style="thin">
        <color theme="3"/>
      </bottom>
      <diagonal/>
    </border>
    <border>
      <left style="medium">
        <color theme="0" tint="-4.9989318521683403E-2"/>
      </left>
      <right/>
      <top/>
      <bottom style="medium">
        <color theme="0" tint="-4.9989318521683403E-2"/>
      </bottom>
      <diagonal/>
    </border>
    <border>
      <left/>
      <right style="medium">
        <color theme="0" tint="-4.9989318521683403E-2"/>
      </right>
      <top/>
      <bottom style="medium">
        <color theme="0" tint="-4.9989318521683403E-2"/>
      </bottom>
      <diagonal/>
    </border>
    <border>
      <left style="medium">
        <color theme="0" tint="-4.9989318521683403E-2"/>
      </left>
      <right style="medium">
        <color theme="0" tint="-4.9989318521683403E-2"/>
      </right>
      <top/>
      <bottom/>
      <diagonal/>
    </border>
    <border>
      <left/>
      <right style="medium">
        <color theme="0"/>
      </right>
      <top style="medium">
        <color theme="0"/>
      </top>
      <bottom style="medium">
        <color theme="0"/>
      </bottom>
      <diagonal/>
    </border>
    <border>
      <left/>
      <right style="medium">
        <color theme="0"/>
      </right>
      <top/>
      <bottom style="medium">
        <color theme="0"/>
      </bottom>
      <diagonal/>
    </border>
    <border>
      <left/>
      <right style="medium">
        <color theme="0" tint="-4.9989318521683403E-2"/>
      </right>
      <top/>
      <bottom/>
      <diagonal/>
    </border>
    <border>
      <left style="medium">
        <color theme="0" tint="-0.14996795556505021"/>
      </left>
      <right style="medium">
        <color theme="0" tint="-0.14996795556505021"/>
      </right>
      <top style="medium">
        <color theme="0" tint="-0.14996795556505021"/>
      </top>
      <bottom style="medium">
        <color theme="0" tint="-0.14996795556505021"/>
      </bottom>
      <diagonal/>
    </border>
    <border>
      <left style="medium">
        <color theme="0" tint="-0.14993743705557422"/>
      </left>
      <right style="medium">
        <color theme="0" tint="-0.14993743705557422"/>
      </right>
      <top style="medium">
        <color theme="0" tint="-0.14993743705557422"/>
      </top>
      <bottom style="medium">
        <color theme="0" tint="-0.14993743705557422"/>
      </bottom>
      <diagonal/>
    </border>
    <border>
      <left/>
      <right/>
      <top/>
      <bottom style="medium">
        <color theme="0" tint="-0.14996795556505021"/>
      </bottom>
      <diagonal/>
    </border>
    <border>
      <left style="medium">
        <color theme="0" tint="-0.14996795556505021"/>
      </left>
      <right style="medium">
        <color theme="0" tint="-0.14996795556505021"/>
      </right>
      <top style="medium">
        <color theme="0" tint="-0.14993743705557422"/>
      </top>
      <bottom style="medium">
        <color theme="0" tint="-0.14996795556505021"/>
      </bottom>
      <diagonal/>
    </border>
    <border>
      <left style="medium">
        <color theme="0" tint="-4.9989318521683403E-2"/>
      </left>
      <right style="medium">
        <color theme="0" tint="-4.9989318521683403E-2"/>
      </right>
      <top style="medium">
        <color theme="0" tint="-4.9989318521683403E-2"/>
      </top>
      <bottom style="dashed">
        <color theme="0" tint="-0.24994659260841701"/>
      </bottom>
      <diagonal/>
    </border>
    <border>
      <left style="medium">
        <color theme="0" tint="-4.9989318521683403E-2"/>
      </left>
      <right style="medium">
        <color theme="0" tint="-4.9989318521683403E-2"/>
      </right>
      <top style="medium">
        <color theme="0" tint="-4.9989318521683403E-2"/>
      </top>
      <bottom style="dashed">
        <color theme="0" tint="-0.249977111117893"/>
      </bottom>
      <diagonal/>
    </border>
    <border>
      <left/>
      <right/>
      <top style="medium">
        <color theme="0" tint="-0.14996795556505021"/>
      </top>
      <bottom style="dashed">
        <color theme="0" tint="-0.249977111117893"/>
      </bottom>
      <diagonal/>
    </border>
    <border>
      <left/>
      <right style="medium">
        <color theme="0" tint="-4.9989318521683403E-2"/>
      </right>
      <top style="medium">
        <color theme="0" tint="-4.9989318521683403E-2"/>
      </top>
      <bottom style="dashed">
        <color theme="0" tint="-0.249977111117893"/>
      </bottom>
      <diagonal/>
    </border>
    <border>
      <left/>
      <right/>
      <top/>
      <bottom style="dashed">
        <color theme="0" tint="-0.249977111117893"/>
      </bottom>
      <diagonal/>
    </border>
    <border>
      <left style="medium">
        <color theme="0" tint="-4.9989318521683403E-2"/>
      </left>
      <right/>
      <top style="medium">
        <color theme="0" tint="-4.9989318521683403E-2"/>
      </top>
      <bottom style="dashed">
        <color theme="0" tint="-0.249977111117893"/>
      </bottom>
      <diagonal/>
    </border>
    <border>
      <left style="medium">
        <color theme="0" tint="-4.9989318521683403E-2"/>
      </left>
      <right/>
      <top/>
      <bottom/>
      <diagonal/>
    </border>
    <border>
      <left style="medium">
        <color theme="0" tint="-4.9989318521683403E-2"/>
      </left>
      <right style="medium">
        <color theme="0" tint="-0.14996795556505021"/>
      </right>
      <top style="dashed">
        <color theme="0" tint="-0.249977111117893"/>
      </top>
      <bottom style="medium">
        <color theme="0" tint="-0.14996795556505021"/>
      </bottom>
      <diagonal/>
    </border>
    <border>
      <left style="medium">
        <color theme="0" tint="-0.14996795556505021"/>
      </left>
      <right style="medium">
        <color theme="0" tint="-0.14996795556505021"/>
      </right>
      <top style="dashed">
        <color theme="0" tint="-0.249977111117893"/>
      </top>
      <bottom style="medium">
        <color theme="0" tint="-0.14996795556505021"/>
      </bottom>
      <diagonal/>
    </border>
    <border>
      <left style="medium">
        <color theme="0" tint="-0.14996795556505021"/>
      </left>
      <right style="medium">
        <color theme="0" tint="-4.9989318521683403E-2"/>
      </right>
      <top style="dashed">
        <color theme="0" tint="-0.249977111117893"/>
      </top>
      <bottom style="medium">
        <color theme="0" tint="-0.14996795556505021"/>
      </bottom>
      <diagonal/>
    </border>
    <border>
      <left style="medium">
        <color theme="0" tint="-4.9989318521683403E-2"/>
      </left>
      <right style="medium">
        <color theme="0" tint="-0.14996795556505021"/>
      </right>
      <top style="medium">
        <color theme="0" tint="-0.14996795556505021"/>
      </top>
      <bottom style="medium">
        <color theme="0" tint="-0.14996795556505021"/>
      </bottom>
      <diagonal/>
    </border>
    <border>
      <left style="medium">
        <color theme="0" tint="-0.14996795556505021"/>
      </left>
      <right style="medium">
        <color theme="0" tint="-4.9989318521683403E-2"/>
      </right>
      <top style="medium">
        <color theme="0" tint="-0.14996795556505021"/>
      </top>
      <bottom style="medium">
        <color theme="0" tint="-0.14996795556505021"/>
      </bottom>
      <diagonal/>
    </border>
    <border>
      <left style="medium">
        <color theme="0" tint="-4.9989318521683403E-2"/>
      </left>
      <right style="medium">
        <color theme="0" tint="-0.14996795556505021"/>
      </right>
      <top style="medium">
        <color theme="0" tint="-0.14996795556505021"/>
      </top>
      <bottom style="dashed">
        <color theme="0" tint="-0.249977111117893"/>
      </bottom>
      <diagonal/>
    </border>
    <border>
      <left style="medium">
        <color theme="0" tint="-0.14996795556505021"/>
      </left>
      <right style="medium">
        <color theme="0" tint="-0.14996795556505021"/>
      </right>
      <top style="medium">
        <color theme="0" tint="-0.14996795556505021"/>
      </top>
      <bottom style="dashed">
        <color theme="0" tint="-0.249977111117893"/>
      </bottom>
      <diagonal/>
    </border>
    <border>
      <left style="medium">
        <color theme="0" tint="-0.14996795556505021"/>
      </left>
      <right style="medium">
        <color theme="0" tint="-4.9989318521683403E-2"/>
      </right>
      <top style="medium">
        <color theme="0" tint="-0.14996795556505021"/>
      </top>
      <bottom style="dashed">
        <color theme="0" tint="-0.249977111117893"/>
      </bottom>
      <diagonal/>
    </border>
    <border>
      <left style="medium">
        <color theme="0" tint="-0.14996795556505021"/>
      </left>
      <right style="medium">
        <color theme="0" tint="-0.14996795556505021"/>
      </right>
      <top style="medium">
        <color theme="0" tint="-0.14996795556505021"/>
      </top>
      <bottom style="medium">
        <color theme="0" tint="-0.14993743705557422"/>
      </bottom>
      <diagonal/>
    </border>
    <border>
      <left style="medium">
        <color theme="0" tint="-0.14996795556505021"/>
      </left>
      <right style="medium">
        <color theme="0" tint="-0.14996795556505021"/>
      </right>
      <top style="medium">
        <color theme="0" tint="-0.14993743705557422"/>
      </top>
      <bottom style="medium">
        <color theme="0" tint="-0.14993743705557422"/>
      </bottom>
      <diagonal/>
    </border>
    <border>
      <left style="medium">
        <color theme="0" tint="-4.9989318521683403E-2"/>
      </left>
      <right style="medium">
        <color theme="0" tint="-4.9989318521683403E-2"/>
      </right>
      <top/>
      <bottom style="dashed">
        <color theme="0" tint="-0.249977111117893"/>
      </bottom>
      <diagonal/>
    </border>
    <border>
      <left style="thin">
        <color theme="0" tint="-0.14996795556505021"/>
      </left>
      <right style="thin">
        <color theme="0" tint="-0.14996795556505021"/>
      </right>
      <top/>
      <bottom/>
      <diagonal/>
    </border>
    <border>
      <left style="medium">
        <color theme="0" tint="-4.9989318521683403E-2"/>
      </left>
      <right style="medium">
        <color theme="0" tint="-4.9989318521683403E-2"/>
      </right>
      <top/>
      <bottom style="dashed">
        <color theme="0" tint="-0.14996795556505021"/>
      </bottom>
      <diagonal/>
    </border>
    <border>
      <left style="medium">
        <color theme="0" tint="-4.9989318521683403E-2"/>
      </left>
      <right style="medium">
        <color theme="0" tint="-4.9989318521683403E-2"/>
      </right>
      <top style="medium">
        <color theme="0" tint="-4.9989318521683403E-2"/>
      </top>
      <bottom style="dashed">
        <color theme="0" tint="-0.14996795556505021"/>
      </bottom>
      <diagonal/>
    </border>
    <border>
      <left/>
      <right style="medium">
        <color theme="0" tint="-4.9989318521683403E-2"/>
      </right>
      <top/>
      <bottom style="dashed">
        <color theme="0" tint="-0.14996795556505021"/>
      </bottom>
      <diagonal/>
    </border>
    <border>
      <left style="medium">
        <color theme="0" tint="-0.14996795556505021"/>
      </left>
      <right/>
      <top style="medium">
        <color theme="0" tint="-0.14996795556505021"/>
      </top>
      <bottom style="medium">
        <color theme="0" tint="-0.14996795556505021"/>
      </bottom>
      <diagonal/>
    </border>
    <border>
      <left/>
      <right style="medium">
        <color theme="0" tint="-0.14996795556505021"/>
      </right>
      <top style="medium">
        <color theme="0" tint="-0.14996795556505021"/>
      </top>
      <bottom style="medium">
        <color theme="0" tint="-0.14996795556505021"/>
      </bottom>
      <diagonal/>
    </border>
    <border>
      <left/>
      <right/>
      <top/>
      <bottom style="thin">
        <color theme="0" tint="-0.14996795556505021"/>
      </bottom>
      <diagonal/>
    </border>
    <border>
      <left style="medium">
        <color theme="0" tint="-4.9989318521683403E-2"/>
      </left>
      <right style="medium">
        <color theme="0" tint="-4.9989318521683403E-2"/>
      </right>
      <top/>
      <bottom style="dashed">
        <color theme="0" tint="-0.24994659260841701"/>
      </bottom>
      <diagonal/>
    </border>
    <border>
      <left/>
      <right style="thin">
        <color theme="0" tint="-0.14999847407452621"/>
      </right>
      <top/>
      <bottom/>
      <diagonal/>
    </border>
    <border>
      <left style="thin">
        <color theme="0" tint="-0.14999847407452621"/>
      </left>
      <right style="thin">
        <color theme="0" tint="-0.14999847407452621"/>
      </right>
      <top/>
      <bottom/>
      <diagonal/>
    </border>
    <border>
      <left style="thin">
        <color theme="0" tint="-0.14999847407452621"/>
      </left>
      <right/>
      <top/>
      <bottom/>
      <diagonal/>
    </border>
    <border>
      <left style="thin">
        <color theme="0" tint="-0.14996795556505021"/>
      </left>
      <right style="thin">
        <color theme="0" tint="-0.14996795556505021"/>
      </right>
      <top style="medium">
        <color theme="0" tint="-4.9989318521683403E-2"/>
      </top>
      <bottom style="medium">
        <color theme="0" tint="-4.9989318521683403E-2"/>
      </bottom>
      <diagonal/>
    </border>
    <border>
      <left style="medium">
        <color theme="0" tint="-4.9989318521683403E-2"/>
      </left>
      <right style="medium">
        <color theme="0" tint="-4.9989318521683403E-2"/>
      </right>
      <top style="dashed">
        <color theme="0" tint="-0.249977111117893"/>
      </top>
      <bottom style="medium">
        <color theme="0" tint="-4.9989318521683403E-2"/>
      </bottom>
      <diagonal/>
    </border>
    <border>
      <left style="medium">
        <color theme="0" tint="-0.14996795556505021"/>
      </left>
      <right style="medium">
        <color theme="0" tint="-0.14993743705557422"/>
      </right>
      <top style="medium">
        <color theme="0" tint="-0.14996795556505021"/>
      </top>
      <bottom style="medium">
        <color theme="0" tint="-0.14993743705557422"/>
      </bottom>
      <diagonal/>
    </border>
    <border>
      <left style="medium">
        <color theme="0" tint="-4.9989318521683403E-2"/>
      </left>
      <right/>
      <top style="medium">
        <color theme="0" tint="-4.9989318521683403E-2"/>
      </top>
      <bottom/>
      <diagonal/>
    </border>
    <border>
      <left/>
      <right style="thin">
        <color theme="3"/>
      </right>
      <top/>
      <bottom style="thin">
        <color theme="3"/>
      </bottom>
      <diagonal/>
    </border>
    <border>
      <left style="thin">
        <color theme="3"/>
      </left>
      <right/>
      <top style="thin">
        <color theme="3"/>
      </top>
      <bottom/>
      <diagonal/>
    </border>
    <border>
      <left/>
      <right style="medium">
        <color theme="0" tint="-0.14996795556505021"/>
      </right>
      <top/>
      <bottom/>
      <diagonal/>
    </border>
    <border>
      <left/>
      <right style="medium">
        <color theme="0" tint="-0.14996795556505021"/>
      </right>
      <top style="medium">
        <color theme="0" tint="-0.14993743705557422"/>
      </top>
      <bottom style="medium">
        <color theme="0" tint="-0.14996795556505021"/>
      </bottom>
      <diagonal/>
    </border>
    <border>
      <left style="medium">
        <color theme="0" tint="-0.14996795556505021"/>
      </left>
      <right style="medium">
        <color theme="0" tint="-0.14996795556505021"/>
      </right>
      <top style="medium">
        <color theme="0" tint="-0.14996795556505021"/>
      </top>
      <bottom/>
      <diagonal/>
    </border>
    <border>
      <left style="medium">
        <color theme="0" tint="-0.14996795556505021"/>
      </left>
      <right style="medium">
        <color theme="0" tint="-0.14996795556505021"/>
      </right>
      <top/>
      <bottom style="medium">
        <color theme="0" tint="-0.14996795556505021"/>
      </bottom>
      <diagonal/>
    </border>
    <border>
      <left style="medium">
        <color theme="0" tint="-0.14993743705557422"/>
      </left>
      <right style="medium">
        <color theme="0" tint="-0.14996795556505021"/>
      </right>
      <top style="medium">
        <color theme="0" tint="-0.14993743705557422"/>
      </top>
      <bottom style="medium">
        <color theme="0" tint="-0.14990691854609822"/>
      </bottom>
      <diagonal/>
    </border>
    <border>
      <left style="medium">
        <color theme="0" tint="-0.14993743705557422"/>
      </left>
      <right/>
      <top style="medium">
        <color theme="0" tint="-0.14996795556505021"/>
      </top>
      <bottom style="medium">
        <color theme="0" tint="-0.14996795556505021"/>
      </bottom>
      <diagonal/>
    </border>
    <border>
      <left style="thin">
        <color theme="0" tint="-4.9989318521683403E-2"/>
      </left>
      <right/>
      <top/>
      <bottom/>
      <diagonal/>
    </border>
    <border>
      <left/>
      <right style="thin">
        <color theme="0" tint="-4.9989318521683403E-2"/>
      </right>
      <top/>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right style="thin">
        <color theme="0" tint="-4.9989318521683403E-2"/>
      </right>
      <top/>
      <bottom style="thin">
        <color theme="0" tint="-4.9989318521683403E-2"/>
      </bottom>
      <diagonal/>
    </border>
  </borders>
  <cellStyleXfs count="9">
    <xf numFmtId="0" fontId="0" fillId="0" borderId="0"/>
    <xf numFmtId="0" fontId="1" fillId="0" borderId="0"/>
    <xf numFmtId="0" fontId="1" fillId="0" borderId="0"/>
    <xf numFmtId="43" fontId="2" fillId="0" borderId="0" applyFont="0" applyFill="0" applyBorder="0" applyAlignment="0" applyProtection="0"/>
    <xf numFmtId="9" fontId="2"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6" fillId="0" borderId="0" applyNumberFormat="0" applyFill="0" applyBorder="0" applyAlignment="0" applyProtection="0"/>
    <xf numFmtId="43" fontId="2" fillId="0" borderId="0" applyFont="0" applyFill="0" applyBorder="0" applyAlignment="0" applyProtection="0"/>
  </cellStyleXfs>
  <cellXfs count="1102">
    <xf numFmtId="0" fontId="0" fillId="0" borderId="0" xfId="0"/>
    <xf numFmtId="0" fontId="3" fillId="0" borderId="0" xfId="0" applyFont="1"/>
    <xf numFmtId="0" fontId="6" fillId="0" borderId="0" xfId="0" applyFont="1"/>
    <xf numFmtId="0" fontId="5" fillId="0" borderId="0" xfId="0" applyFont="1"/>
    <xf numFmtId="0" fontId="8" fillId="0" borderId="0" xfId="0" applyFont="1"/>
    <xf numFmtId="0" fontId="9" fillId="0" borderId="0" xfId="0" applyFont="1"/>
    <xf numFmtId="0" fontId="10" fillId="0" borderId="0" xfId="0" applyFont="1"/>
    <xf numFmtId="0" fontId="11" fillId="0" borderId="0" xfId="0" applyFont="1" applyAlignment="1">
      <alignment vertical="center"/>
    </xf>
    <xf numFmtId="0" fontId="3" fillId="0" borderId="0" xfId="0" applyFont="1" applyAlignment="1">
      <alignment vertical="center"/>
    </xf>
    <xf numFmtId="0" fontId="9" fillId="0" borderId="0" xfId="0" applyFont="1" applyAlignment="1">
      <alignment vertical="center"/>
    </xf>
    <xf numFmtId="0" fontId="7" fillId="0" borderId="0" xfId="0" applyFont="1" applyAlignment="1">
      <alignment vertical="center"/>
    </xf>
    <xf numFmtId="3" fontId="3" fillId="0" borderId="0" xfId="0" applyNumberFormat="1" applyFont="1" applyAlignment="1">
      <alignment horizontal="center" vertical="center"/>
    </xf>
    <xf numFmtId="3" fontId="3" fillId="0" borderId="0" xfId="0" applyNumberFormat="1" applyFont="1" applyAlignment="1">
      <alignment vertical="center"/>
    </xf>
    <xf numFmtId="0" fontId="3" fillId="7" borderId="0" xfId="0" applyFont="1" applyFill="1" applyAlignment="1">
      <alignment vertical="center"/>
    </xf>
    <xf numFmtId="0" fontId="7" fillId="7" borderId="0" xfId="0" applyFont="1" applyFill="1" applyAlignment="1">
      <alignment vertical="center"/>
    </xf>
    <xf numFmtId="0" fontId="13" fillId="7" borderId="0" xfId="0" applyFont="1" applyFill="1" applyAlignment="1">
      <alignment vertical="center"/>
    </xf>
    <xf numFmtId="0" fontId="15" fillId="7" borderId="0" xfId="0" applyFont="1" applyFill="1" applyAlignment="1">
      <alignment vertical="center"/>
    </xf>
    <xf numFmtId="0" fontId="14" fillId="7" borderId="0" xfId="0" applyFont="1" applyFill="1" applyAlignment="1">
      <alignment vertical="center"/>
    </xf>
    <xf numFmtId="0" fontId="16" fillId="7" borderId="0" xfId="0" applyFont="1" applyFill="1" applyAlignment="1">
      <alignment vertical="center"/>
    </xf>
    <xf numFmtId="0" fontId="6" fillId="0" borderId="0" xfId="0" applyFont="1" applyAlignment="1">
      <alignment vertical="center"/>
    </xf>
    <xf numFmtId="0" fontId="5" fillId="0" borderId="0" xfId="0" applyFont="1" applyAlignment="1">
      <alignment vertical="center"/>
    </xf>
    <xf numFmtId="0" fontId="8" fillId="0" borderId="0" xfId="0" applyFont="1" applyAlignment="1">
      <alignment vertical="center"/>
    </xf>
    <xf numFmtId="0" fontId="10" fillId="0" borderId="0" xfId="0" applyFont="1" applyAlignment="1">
      <alignment vertical="center"/>
    </xf>
    <xf numFmtId="0" fontId="3" fillId="0" borderId="0" xfId="0" applyFont="1" applyAlignment="1">
      <alignment vertical="center" wrapText="1"/>
    </xf>
    <xf numFmtId="0" fontId="12" fillId="0" borderId="0" xfId="0" applyFont="1" applyAlignment="1">
      <alignment vertical="center" wrapText="1"/>
    </xf>
    <xf numFmtId="0" fontId="12" fillId="0" borderId="0" xfId="0" applyFont="1" applyAlignment="1">
      <alignment vertical="center"/>
    </xf>
    <xf numFmtId="164" fontId="3" fillId="0" borderId="0" xfId="3" applyNumberFormat="1" applyFont="1" applyFill="1" applyAlignment="1">
      <alignment vertical="center"/>
    </xf>
    <xf numFmtId="3" fontId="11" fillId="0" borderId="0" xfId="0" applyNumberFormat="1" applyFont="1" applyAlignment="1">
      <alignment vertical="center"/>
    </xf>
    <xf numFmtId="0" fontId="9" fillId="7" borderId="0" xfId="0" applyFont="1" applyFill="1" applyAlignment="1">
      <alignment vertical="center"/>
    </xf>
    <xf numFmtId="2" fontId="17" fillId="0" borderId="0" xfId="0" applyNumberFormat="1" applyFont="1" applyAlignment="1">
      <alignment vertical="center"/>
    </xf>
    <xf numFmtId="0" fontId="11" fillId="7" borderId="0" xfId="0" applyFont="1" applyFill="1" applyAlignment="1">
      <alignment vertical="center"/>
    </xf>
    <xf numFmtId="3" fontId="7" fillId="7" borderId="0" xfId="0" applyNumberFormat="1" applyFont="1" applyFill="1" applyAlignment="1">
      <alignment vertical="center"/>
    </xf>
    <xf numFmtId="3" fontId="3" fillId="7" borderId="0" xfId="0" applyNumberFormat="1" applyFont="1" applyFill="1" applyAlignment="1">
      <alignment vertical="center"/>
    </xf>
    <xf numFmtId="0" fontId="8" fillId="7" borderId="0" xfId="0" applyFont="1" applyFill="1" applyAlignment="1">
      <alignment vertical="center"/>
    </xf>
    <xf numFmtId="3" fontId="11" fillId="7" borderId="0" xfId="0" applyNumberFormat="1" applyFont="1" applyFill="1" applyAlignment="1">
      <alignment vertical="center"/>
    </xf>
    <xf numFmtId="3" fontId="14" fillId="7" borderId="0" xfId="0" applyNumberFormat="1" applyFont="1" applyFill="1" applyAlignment="1">
      <alignment vertical="center"/>
    </xf>
    <xf numFmtId="3" fontId="13" fillId="7" borderId="0" xfId="0" applyNumberFormat="1" applyFont="1" applyFill="1" applyAlignment="1">
      <alignment vertical="center"/>
    </xf>
    <xf numFmtId="3" fontId="16" fillId="7" borderId="0" xfId="0" applyNumberFormat="1" applyFont="1" applyFill="1" applyAlignment="1">
      <alignment vertical="center"/>
    </xf>
    <xf numFmtId="3" fontId="15" fillId="7" borderId="0" xfId="0" applyNumberFormat="1" applyFont="1" applyFill="1" applyAlignment="1">
      <alignment vertical="center"/>
    </xf>
    <xf numFmtId="2" fontId="17" fillId="7" borderId="0" xfId="0" applyNumberFormat="1" applyFont="1" applyFill="1" applyAlignment="1">
      <alignment vertical="center"/>
    </xf>
    <xf numFmtId="0" fontId="11" fillId="7" borderId="0" xfId="0" applyFont="1" applyFill="1" applyAlignment="1">
      <alignment horizontal="right" vertical="center"/>
    </xf>
    <xf numFmtId="0" fontId="7" fillId="7" borderId="0" xfId="0" applyFont="1" applyFill="1" applyAlignment="1">
      <alignment horizontal="right" vertical="center"/>
    </xf>
    <xf numFmtId="3" fontId="7" fillId="8" borderId="0" xfId="0" applyNumberFormat="1" applyFont="1" applyFill="1" applyAlignment="1">
      <alignment vertical="center"/>
    </xf>
    <xf numFmtId="3" fontId="14" fillId="8" borderId="0" xfId="0" applyNumberFormat="1" applyFont="1" applyFill="1" applyAlignment="1">
      <alignment vertical="center"/>
    </xf>
    <xf numFmtId="3" fontId="16" fillId="8" borderId="0" xfId="0" applyNumberFormat="1" applyFont="1" applyFill="1" applyAlignment="1">
      <alignment vertical="center"/>
    </xf>
    <xf numFmtId="2" fontId="3" fillId="0" borderId="0" xfId="0" applyNumberFormat="1" applyFont="1" applyAlignment="1">
      <alignment vertical="center"/>
    </xf>
    <xf numFmtId="0" fontId="18" fillId="0" borderId="0" xfId="0" applyFont="1" applyAlignment="1">
      <alignment vertical="center"/>
    </xf>
    <xf numFmtId="0" fontId="3" fillId="2" borderId="0" xfId="0" applyFont="1" applyFill="1"/>
    <xf numFmtId="0" fontId="20" fillId="2" borderId="0" xfId="0" applyFont="1" applyFill="1"/>
    <xf numFmtId="0" fontId="19" fillId="2" borderId="0" xfId="0" applyFont="1" applyFill="1" applyAlignment="1">
      <alignment horizontal="right"/>
    </xf>
    <xf numFmtId="0" fontId="6" fillId="0" borderId="0" xfId="0" applyFont="1" applyAlignment="1">
      <alignment horizontal="center"/>
    </xf>
    <xf numFmtId="0" fontId="5" fillId="0" borderId="0" xfId="0" applyFont="1" applyAlignment="1">
      <alignment horizontal="center"/>
    </xf>
    <xf numFmtId="0" fontId="7" fillId="0" borderId="0" xfId="0" applyFont="1" applyAlignment="1">
      <alignment horizontal="center"/>
    </xf>
    <xf numFmtId="0" fontId="22" fillId="0" borderId="0" xfId="0" applyFont="1"/>
    <xf numFmtId="0" fontId="14" fillId="0" borderId="0" xfId="0" applyFont="1" applyAlignment="1">
      <alignment horizontal="left"/>
    </xf>
    <xf numFmtId="0" fontId="9" fillId="2" borderId="0" xfId="0" applyFont="1" applyFill="1" applyAlignment="1">
      <alignment vertical="center"/>
    </xf>
    <xf numFmtId="0" fontId="23" fillId="0" borderId="0" xfId="0" applyFont="1"/>
    <xf numFmtId="0" fontId="11" fillId="0" borderId="0" xfId="0" applyFont="1" applyAlignment="1">
      <alignment horizontal="right" vertical="center"/>
    </xf>
    <xf numFmtId="0" fontId="7" fillId="0" borderId="0" xfId="0" applyFont="1" applyAlignment="1">
      <alignment horizontal="right" vertical="center"/>
    </xf>
    <xf numFmtId="0" fontId="15" fillId="0" borderId="0" xfId="0" applyFont="1" applyAlignment="1">
      <alignment vertical="center"/>
    </xf>
    <xf numFmtId="0" fontId="3" fillId="7" borderId="0" xfId="0" applyFont="1" applyFill="1"/>
    <xf numFmtId="0" fontId="9" fillId="7" borderId="0" xfId="0" applyFont="1" applyFill="1"/>
    <xf numFmtId="0" fontId="21" fillId="2" borderId="0" xfId="0" applyFont="1" applyFill="1" applyAlignment="1">
      <alignment horizontal="left" vertical="center"/>
    </xf>
    <xf numFmtId="0" fontId="6" fillId="0" borderId="0" xfId="0" applyFont="1" applyAlignment="1">
      <alignment horizontal="center" vertical="center"/>
    </xf>
    <xf numFmtId="0" fontId="16" fillId="0" borderId="0" xfId="0" applyFont="1" applyAlignment="1">
      <alignment vertical="center"/>
    </xf>
    <xf numFmtId="0" fontId="26" fillId="0" borderId="0" xfId="0" applyFont="1" applyAlignment="1">
      <alignment horizontal="left" vertical="center" indent="3"/>
    </xf>
    <xf numFmtId="0" fontId="14" fillId="0" borderId="0" xfId="0" applyFont="1" applyAlignment="1">
      <alignment vertical="center"/>
    </xf>
    <xf numFmtId="3" fontId="7" fillId="0" borderId="0" xfId="0" applyNumberFormat="1" applyFont="1" applyAlignment="1">
      <alignment vertical="center"/>
    </xf>
    <xf numFmtId="0" fontId="3" fillId="0" borderId="0" xfId="0" applyFont="1" applyAlignment="1">
      <alignment vertical="center" shrinkToFit="1"/>
    </xf>
    <xf numFmtId="0" fontId="7" fillId="7" borderId="0" xfId="0" applyFont="1" applyFill="1"/>
    <xf numFmtId="0" fontId="7" fillId="0" borderId="0" xfId="0" applyFont="1"/>
    <xf numFmtId="0" fontId="32" fillId="0" borderId="0" xfId="0" applyFont="1" applyAlignment="1">
      <alignment vertical="center"/>
    </xf>
    <xf numFmtId="0" fontId="3" fillId="0" borderId="0" xfId="0" applyFont="1" applyAlignment="1">
      <alignment horizontal="center"/>
    </xf>
    <xf numFmtId="0" fontId="3" fillId="0" borderId="0" xfId="0" applyFont="1" applyAlignment="1">
      <alignment horizontal="right" vertical="center"/>
    </xf>
    <xf numFmtId="0" fontId="3" fillId="7" borderId="0" xfId="0" applyFont="1" applyFill="1" applyAlignment="1">
      <alignment horizontal="right" vertical="center"/>
    </xf>
    <xf numFmtId="3" fontId="7" fillId="7" borderId="0" xfId="0" applyNumberFormat="1" applyFont="1" applyFill="1" applyAlignment="1">
      <alignment horizontal="right" vertical="center"/>
    </xf>
    <xf numFmtId="3" fontId="7" fillId="8" borderId="0" xfId="0" applyNumberFormat="1" applyFont="1" applyFill="1" applyAlignment="1">
      <alignment horizontal="right" vertical="center"/>
    </xf>
    <xf numFmtId="3" fontId="3" fillId="7" borderId="0" xfId="0" applyNumberFormat="1" applyFont="1" applyFill="1" applyAlignment="1">
      <alignment horizontal="right" vertical="center"/>
    </xf>
    <xf numFmtId="3" fontId="11" fillId="7" borderId="0" xfId="0" applyNumberFormat="1" applyFont="1" applyFill="1" applyAlignment="1">
      <alignment horizontal="right" vertical="center"/>
    </xf>
    <xf numFmtId="3" fontId="3" fillId="0" borderId="0" xfId="0" applyNumberFormat="1" applyFont="1" applyAlignment="1">
      <alignment horizontal="right" vertical="center"/>
    </xf>
    <xf numFmtId="3" fontId="14" fillId="7" borderId="0" xfId="0" applyNumberFormat="1" applyFont="1" applyFill="1" applyAlignment="1">
      <alignment horizontal="right" vertical="center"/>
    </xf>
    <xf numFmtId="3" fontId="14" fillId="8" borderId="0" xfId="0" applyNumberFormat="1" applyFont="1" applyFill="1" applyAlignment="1">
      <alignment horizontal="right" vertical="center"/>
    </xf>
    <xf numFmtId="0" fontId="14" fillId="7" borderId="0" xfId="0" applyFont="1" applyFill="1" applyAlignment="1">
      <alignment horizontal="right" vertical="center"/>
    </xf>
    <xf numFmtId="3" fontId="13" fillId="7" borderId="0" xfId="0" applyNumberFormat="1" applyFont="1" applyFill="1" applyAlignment="1">
      <alignment horizontal="right" vertical="center"/>
    </xf>
    <xf numFmtId="3" fontId="16" fillId="7" borderId="0" xfId="0" applyNumberFormat="1" applyFont="1" applyFill="1" applyAlignment="1">
      <alignment horizontal="right" vertical="center"/>
    </xf>
    <xf numFmtId="3" fontId="7" fillId="0" borderId="0" xfId="0" applyNumberFormat="1" applyFont="1" applyAlignment="1">
      <alignment horizontal="center" vertical="center"/>
    </xf>
    <xf numFmtId="0" fontId="7" fillId="12" borderId="0" xfId="0" applyFont="1" applyFill="1" applyAlignment="1">
      <alignment vertical="center"/>
    </xf>
    <xf numFmtId="0" fontId="21" fillId="0" borderId="0" xfId="0" applyFont="1" applyAlignment="1">
      <alignment vertical="center"/>
    </xf>
    <xf numFmtId="0" fontId="29" fillId="0" borderId="0" xfId="0" applyFont="1" applyAlignment="1">
      <alignment horizontal="left" vertical="center"/>
    </xf>
    <xf numFmtId="0" fontId="19" fillId="2" borderId="0" xfId="0" applyFont="1" applyFill="1" applyAlignment="1">
      <alignment vertical="center"/>
    </xf>
    <xf numFmtId="3" fontId="7" fillId="12" borderId="0" xfId="0" applyNumberFormat="1" applyFont="1" applyFill="1" applyAlignment="1">
      <alignment horizontal="center" vertical="center"/>
    </xf>
    <xf numFmtId="0" fontId="3" fillId="12" borderId="0" xfId="0" applyFont="1" applyFill="1" applyAlignment="1">
      <alignment vertical="center"/>
    </xf>
    <xf numFmtId="3" fontId="3" fillId="12" borderId="0" xfId="3" applyNumberFormat="1" applyFont="1" applyFill="1" applyBorder="1" applyAlignment="1">
      <alignment horizontal="right" vertical="center"/>
    </xf>
    <xf numFmtId="9" fontId="7" fillId="0" borderId="0" xfId="4" applyFont="1" applyFill="1" applyBorder="1" applyAlignment="1">
      <alignment vertical="center"/>
    </xf>
    <xf numFmtId="3" fontId="7" fillId="0" borderId="0" xfId="3" applyNumberFormat="1" applyFont="1" applyFill="1" applyBorder="1" applyAlignment="1">
      <alignment horizontal="right" vertical="center"/>
    </xf>
    <xf numFmtId="0" fontId="3" fillId="0" borderId="0" xfId="0" applyFont="1" applyAlignment="1">
      <alignment horizontal="center" vertical="center"/>
    </xf>
    <xf numFmtId="0" fontId="27" fillId="0" borderId="0" xfId="0" applyFont="1" applyAlignment="1">
      <alignment vertical="center"/>
    </xf>
    <xf numFmtId="9" fontId="9" fillId="0" borderId="0" xfId="4" applyFont="1" applyFill="1" applyBorder="1" applyAlignment="1">
      <alignment vertical="center"/>
    </xf>
    <xf numFmtId="3" fontId="9" fillId="0" borderId="0" xfId="0" applyNumberFormat="1" applyFont="1" applyAlignment="1">
      <alignment vertical="center"/>
    </xf>
    <xf numFmtId="3" fontId="16" fillId="0" borderId="0" xfId="0" applyNumberFormat="1" applyFont="1" applyAlignment="1">
      <alignment vertical="center"/>
    </xf>
    <xf numFmtId="3" fontId="16" fillId="0" borderId="0" xfId="0" applyNumberFormat="1" applyFont="1" applyAlignment="1">
      <alignment horizontal="right" vertical="center"/>
    </xf>
    <xf numFmtId="2" fontId="44" fillId="7" borderId="0" xfId="0" applyNumberFormat="1" applyFont="1" applyFill="1" applyAlignment="1">
      <alignment vertical="center"/>
    </xf>
    <xf numFmtId="2" fontId="45" fillId="7" borderId="0" xfId="0" applyNumberFormat="1" applyFont="1" applyFill="1" applyAlignment="1">
      <alignment vertical="center"/>
    </xf>
    <xf numFmtId="2" fontId="7" fillId="7" borderId="0" xfId="0" applyNumberFormat="1" applyFont="1" applyFill="1" applyAlignment="1">
      <alignment vertical="center"/>
    </xf>
    <xf numFmtId="2" fontId="14" fillId="7" borderId="0" xfId="0" applyNumberFormat="1" applyFont="1" applyFill="1" applyAlignment="1">
      <alignment vertical="center"/>
    </xf>
    <xf numFmtId="0" fontId="10" fillId="7" borderId="0" xfId="0" applyFont="1" applyFill="1"/>
    <xf numFmtId="0" fontId="22" fillId="7" borderId="0" xfId="0" applyFont="1" applyFill="1"/>
    <xf numFmtId="0" fontId="23" fillId="7" borderId="0" xfId="0" applyFont="1" applyFill="1"/>
    <xf numFmtId="0" fontId="5" fillId="7" borderId="0" xfId="0" applyFont="1" applyFill="1"/>
    <xf numFmtId="0" fontId="14" fillId="7" borderId="0" xfId="0" applyFont="1" applyFill="1" applyAlignment="1">
      <alignment horizontal="left"/>
    </xf>
    <xf numFmtId="0" fontId="3" fillId="3" borderId="0" xfId="0" applyFont="1" applyFill="1"/>
    <xf numFmtId="2" fontId="17" fillId="8" borderId="0" xfId="0" applyNumberFormat="1" applyFont="1" applyFill="1" applyAlignment="1">
      <alignment vertical="center"/>
    </xf>
    <xf numFmtId="3" fontId="14" fillId="0" borderId="0" xfId="0" applyNumberFormat="1" applyFont="1" applyAlignment="1">
      <alignment vertical="center"/>
    </xf>
    <xf numFmtId="9" fontId="14" fillId="7" borderId="0" xfId="4" applyFont="1" applyFill="1" applyBorder="1" applyAlignment="1">
      <alignment vertical="center"/>
    </xf>
    <xf numFmtId="0" fontId="39" fillId="2" borderId="0" xfId="0" applyFont="1" applyFill="1" applyAlignment="1">
      <alignment horizontal="center" vertical="center"/>
    </xf>
    <xf numFmtId="0" fontId="21" fillId="0" borderId="0" xfId="0" applyFont="1" applyAlignment="1">
      <alignment vertical="center" shrinkToFit="1"/>
    </xf>
    <xf numFmtId="2" fontId="5" fillId="0" borderId="0" xfId="0" applyNumberFormat="1" applyFont="1" applyAlignment="1">
      <alignment horizontal="center" vertical="center"/>
    </xf>
    <xf numFmtId="2" fontId="3" fillId="7" borderId="0" xfId="0" applyNumberFormat="1" applyFont="1" applyFill="1" applyAlignment="1">
      <alignment vertical="center"/>
    </xf>
    <xf numFmtId="1" fontId="3" fillId="7" borderId="0" xfId="0" applyNumberFormat="1" applyFont="1" applyFill="1" applyAlignment="1">
      <alignment vertical="center"/>
    </xf>
    <xf numFmtId="0" fontId="50" fillId="2" borderId="0" xfId="0" applyFont="1" applyFill="1" applyAlignment="1">
      <alignment vertical="center"/>
    </xf>
    <xf numFmtId="0" fontId="50" fillId="2" borderId="0" xfId="0" applyFont="1" applyFill="1" applyAlignment="1">
      <alignment horizontal="left" vertical="center"/>
    </xf>
    <xf numFmtId="0" fontId="20" fillId="0" borderId="0" xfId="0" applyFont="1" applyAlignment="1">
      <alignment vertical="center"/>
    </xf>
    <xf numFmtId="0" fontId="20" fillId="12" borderId="0" xfId="0" applyFont="1" applyFill="1" applyAlignment="1">
      <alignment vertical="center"/>
    </xf>
    <xf numFmtId="3" fontId="20" fillId="12" borderId="0" xfId="0" applyNumberFormat="1" applyFont="1" applyFill="1" applyAlignment="1">
      <alignment horizontal="center" vertical="center"/>
    </xf>
    <xf numFmtId="0" fontId="20" fillId="12" borderId="0" xfId="0" applyFont="1" applyFill="1" applyAlignment="1">
      <alignment horizontal="center" vertical="center"/>
    </xf>
    <xf numFmtId="2" fontId="44" fillId="8" borderId="0" xfId="0" applyNumberFormat="1" applyFont="1" applyFill="1" applyAlignment="1">
      <alignment vertical="center"/>
    </xf>
    <xf numFmtId="2" fontId="45" fillId="8" borderId="0" xfId="0" applyNumberFormat="1" applyFont="1" applyFill="1" applyAlignment="1">
      <alignment vertical="center"/>
    </xf>
    <xf numFmtId="0" fontId="3" fillId="17" borderId="0" xfId="0" applyFont="1" applyFill="1"/>
    <xf numFmtId="0" fontId="19" fillId="17" borderId="0" xfId="0" applyFont="1" applyFill="1" applyAlignment="1">
      <alignment vertical="center"/>
    </xf>
    <xf numFmtId="0" fontId="20" fillId="17" borderId="0" xfId="0" applyFont="1" applyFill="1"/>
    <xf numFmtId="0" fontId="19" fillId="17" borderId="0" xfId="0" applyFont="1" applyFill="1" applyAlignment="1">
      <alignment horizontal="right"/>
    </xf>
    <xf numFmtId="0" fontId="50" fillId="17" borderId="0" xfId="0" applyFont="1" applyFill="1" applyAlignment="1">
      <alignment vertical="center"/>
    </xf>
    <xf numFmtId="0" fontId="39" fillId="17" borderId="0" xfId="0" applyFont="1" applyFill="1" applyAlignment="1">
      <alignment horizontal="center" vertical="center"/>
    </xf>
    <xf numFmtId="0" fontId="50" fillId="17" borderId="0" xfId="0" applyFont="1" applyFill="1" applyAlignment="1">
      <alignment horizontal="left" vertical="center"/>
    </xf>
    <xf numFmtId="0" fontId="21" fillId="17" borderId="0" xfId="0" applyFont="1" applyFill="1" applyAlignment="1">
      <alignment horizontal="left" vertical="center"/>
    </xf>
    <xf numFmtId="0" fontId="9" fillId="17" borderId="0" xfId="0" applyFont="1" applyFill="1" applyAlignment="1">
      <alignment vertical="center"/>
    </xf>
    <xf numFmtId="0" fontId="19" fillId="3" borderId="0" xfId="0" applyFont="1" applyFill="1" applyAlignment="1">
      <alignment vertical="center"/>
    </xf>
    <xf numFmtId="0" fontId="20" fillId="3" borderId="0" xfId="0" applyFont="1" applyFill="1"/>
    <xf numFmtId="0" fontId="19" fillId="3" borderId="0" xfId="0" applyFont="1" applyFill="1" applyAlignment="1">
      <alignment horizontal="right"/>
    </xf>
    <xf numFmtId="0" fontId="50" fillId="3" borderId="0" xfId="0" applyFont="1" applyFill="1" applyAlignment="1">
      <alignment vertical="center"/>
    </xf>
    <xf numFmtId="0" fontId="39" fillId="3" borderId="0" xfId="0" applyFont="1" applyFill="1" applyAlignment="1">
      <alignment horizontal="center" vertical="center"/>
    </xf>
    <xf numFmtId="0" fontId="50" fillId="3" borderId="0" xfId="0" applyFont="1" applyFill="1" applyAlignment="1">
      <alignment horizontal="left" vertical="center"/>
    </xf>
    <xf numFmtId="0" fontId="21" fillId="3" borderId="0" xfId="0" applyFont="1" applyFill="1" applyAlignment="1">
      <alignment horizontal="left" vertical="center"/>
    </xf>
    <xf numFmtId="0" fontId="9" fillId="3" borderId="0" xfId="0" applyFont="1" applyFill="1" applyAlignment="1">
      <alignment vertical="center"/>
    </xf>
    <xf numFmtId="0" fontId="3" fillId="5" borderId="0" xfId="0" applyFont="1" applyFill="1"/>
    <xf numFmtId="0" fontId="19" fillId="5" borderId="0" xfId="0" applyFont="1" applyFill="1" applyAlignment="1">
      <alignment vertical="center"/>
    </xf>
    <xf numFmtId="0" fontId="20" fillId="5" borderId="0" xfId="0" applyFont="1" applyFill="1"/>
    <xf numFmtId="0" fontId="19" fillId="5" borderId="0" xfId="0" applyFont="1" applyFill="1" applyAlignment="1">
      <alignment horizontal="right"/>
    </xf>
    <xf numFmtId="0" fontId="50" fillId="5" borderId="0" xfId="0" applyFont="1" applyFill="1" applyAlignment="1">
      <alignment vertical="center"/>
    </xf>
    <xf numFmtId="0" fontId="39" fillId="5" borderId="0" xfId="0" applyFont="1" applyFill="1" applyAlignment="1">
      <alignment horizontal="center" vertical="center"/>
    </xf>
    <xf numFmtId="0" fontId="50" fillId="5" borderId="0" xfId="0" applyFont="1" applyFill="1" applyAlignment="1">
      <alignment horizontal="left" vertical="center"/>
    </xf>
    <xf numFmtId="0" fontId="21" fillId="5" borderId="0" xfId="0" applyFont="1" applyFill="1" applyAlignment="1">
      <alignment horizontal="left" vertical="center"/>
    </xf>
    <xf numFmtId="0" fontId="9" fillId="5" borderId="0" xfId="0" applyFont="1" applyFill="1" applyAlignment="1">
      <alignment vertical="center"/>
    </xf>
    <xf numFmtId="0" fontId="3" fillId="6" borderId="0" xfId="0" applyFont="1" applyFill="1"/>
    <xf numFmtId="0" fontId="19" fillId="6" borderId="0" xfId="0" applyFont="1" applyFill="1" applyAlignment="1">
      <alignment vertical="center"/>
    </xf>
    <xf numFmtId="0" fontId="20" fillId="6" borderId="0" xfId="0" applyFont="1" applyFill="1"/>
    <xf numFmtId="0" fontId="19" fillId="6" borderId="0" xfId="0" applyFont="1" applyFill="1" applyAlignment="1">
      <alignment horizontal="right"/>
    </xf>
    <xf numFmtId="0" fontId="50" fillId="6" borderId="0" xfId="0" applyFont="1" applyFill="1" applyAlignment="1">
      <alignment vertical="center"/>
    </xf>
    <xf numFmtId="0" fontId="39" fillId="6" borderId="0" xfId="0" applyFont="1" applyFill="1" applyAlignment="1">
      <alignment horizontal="center" vertical="center"/>
    </xf>
    <xf numFmtId="0" fontId="50" fillId="6" borderId="0" xfId="0" applyFont="1" applyFill="1" applyAlignment="1">
      <alignment horizontal="left" vertical="center"/>
    </xf>
    <xf numFmtId="0" fontId="21" fillId="6" borderId="0" xfId="0" applyFont="1" applyFill="1" applyAlignment="1">
      <alignment horizontal="left" vertical="center"/>
    </xf>
    <xf numFmtId="0" fontId="9" fillId="6" borderId="0" xfId="0" applyFont="1" applyFill="1" applyAlignment="1">
      <alignment vertical="center"/>
    </xf>
    <xf numFmtId="0" fontId="13" fillId="0" borderId="0" xfId="0" applyFont="1" applyAlignment="1">
      <alignment vertical="center"/>
    </xf>
    <xf numFmtId="0" fontId="47" fillId="0" borderId="0" xfId="0" applyFont="1" applyAlignment="1">
      <alignment vertical="center"/>
    </xf>
    <xf numFmtId="0" fontId="4" fillId="0" borderId="0" xfId="0" applyFont="1" applyAlignment="1">
      <alignment vertical="center"/>
    </xf>
    <xf numFmtId="3" fontId="4" fillId="0" borderId="0" xfId="0" applyNumberFormat="1" applyFont="1" applyAlignment="1">
      <alignment vertical="center"/>
    </xf>
    <xf numFmtId="3" fontId="3" fillId="7" borderId="1" xfId="0" applyNumberFormat="1" applyFont="1" applyFill="1" applyBorder="1" applyAlignment="1">
      <alignment horizontal="center" vertical="center"/>
    </xf>
    <xf numFmtId="0" fontId="13" fillId="7" borderId="1" xfId="0" applyFont="1" applyFill="1" applyBorder="1" applyAlignment="1">
      <alignment vertical="center"/>
    </xf>
    <xf numFmtId="0" fontId="20" fillId="7" borderId="1" xfId="0" applyFont="1" applyFill="1" applyBorder="1" applyAlignment="1">
      <alignment vertical="center"/>
    </xf>
    <xf numFmtId="3" fontId="7" fillId="7" borderId="1" xfId="0" applyNumberFormat="1" applyFont="1" applyFill="1" applyBorder="1" applyAlignment="1">
      <alignment vertical="center"/>
    </xf>
    <xf numFmtId="0" fontId="14" fillId="7" borderId="1" xfId="0" applyFont="1" applyFill="1" applyBorder="1" applyAlignment="1">
      <alignment vertical="center"/>
    </xf>
    <xf numFmtId="0" fontId="3" fillId="7" borderId="1" xfId="0" applyFont="1" applyFill="1" applyBorder="1" applyAlignment="1">
      <alignment vertical="center"/>
    </xf>
    <xf numFmtId="0" fontId="21" fillId="2" borderId="1" xfId="0" applyFont="1" applyFill="1" applyBorder="1" applyAlignment="1">
      <alignment vertical="center" shrinkToFit="1"/>
    </xf>
    <xf numFmtId="0" fontId="9" fillId="7" borderId="1" xfId="0" applyFont="1" applyFill="1" applyBorder="1" applyAlignment="1">
      <alignment vertical="center"/>
    </xf>
    <xf numFmtId="0" fontId="21" fillId="2" borderId="1" xfId="0" applyFont="1" applyFill="1" applyBorder="1" applyAlignment="1">
      <alignment vertical="center"/>
    </xf>
    <xf numFmtId="164" fontId="3" fillId="7" borderId="1" xfId="3" applyNumberFormat="1" applyFont="1" applyFill="1" applyBorder="1" applyAlignment="1">
      <alignment vertical="center"/>
    </xf>
    <xf numFmtId="0" fontId="7" fillId="7" borderId="1" xfId="0" applyFont="1" applyFill="1" applyBorder="1" applyAlignment="1">
      <alignment vertical="center"/>
    </xf>
    <xf numFmtId="164" fontId="8" fillId="7" borderId="1" xfId="0" applyNumberFormat="1" applyFont="1" applyFill="1" applyBorder="1" applyAlignment="1">
      <alignment vertical="center"/>
    </xf>
    <xf numFmtId="0" fontId="11" fillId="7" borderId="1" xfId="0" applyFont="1" applyFill="1" applyBorder="1" applyAlignment="1">
      <alignment vertical="center"/>
    </xf>
    <xf numFmtId="3" fontId="7" fillId="7" borderId="1" xfId="0" applyNumberFormat="1" applyFont="1" applyFill="1" applyBorder="1" applyAlignment="1">
      <alignment horizontal="center" vertical="center"/>
    </xf>
    <xf numFmtId="0" fontId="15" fillId="7" borderId="1" xfId="0" applyFont="1" applyFill="1" applyBorder="1" applyAlignment="1">
      <alignment vertical="center"/>
    </xf>
    <xf numFmtId="0" fontId="16" fillId="7" borderId="1" xfId="0" applyFont="1" applyFill="1" applyBorder="1" applyAlignment="1">
      <alignment vertical="center"/>
    </xf>
    <xf numFmtId="1" fontId="21" fillId="2" borderId="1" xfId="0" applyNumberFormat="1" applyFont="1" applyFill="1" applyBorder="1" applyAlignment="1">
      <alignment horizontal="right" vertical="center"/>
    </xf>
    <xf numFmtId="3" fontId="7" fillId="7" borderId="1" xfId="0" applyNumberFormat="1" applyFont="1" applyFill="1" applyBorder="1" applyAlignment="1">
      <alignment horizontal="right" vertical="center"/>
    </xf>
    <xf numFmtId="3" fontId="21" fillId="2" borderId="1" xfId="0" applyNumberFormat="1" applyFont="1" applyFill="1" applyBorder="1" applyAlignment="1">
      <alignment vertical="center"/>
    </xf>
    <xf numFmtId="3" fontId="7" fillId="7" borderId="1" xfId="3" applyNumberFormat="1" applyFont="1" applyFill="1" applyBorder="1" applyAlignment="1">
      <alignment horizontal="right" vertical="center"/>
    </xf>
    <xf numFmtId="3" fontId="21" fillId="2" borderId="1" xfId="0" applyNumberFormat="1" applyFont="1" applyFill="1" applyBorder="1" applyAlignment="1">
      <alignment horizontal="right" vertical="center"/>
    </xf>
    <xf numFmtId="167" fontId="21" fillId="2" borderId="1" xfId="0" applyNumberFormat="1" applyFont="1" applyFill="1" applyBorder="1" applyAlignment="1">
      <alignment horizontal="right" vertical="center"/>
    </xf>
    <xf numFmtId="0" fontId="3" fillId="7" borderId="1" xfId="0" applyFont="1" applyFill="1" applyBorder="1"/>
    <xf numFmtId="0" fontId="7" fillId="7" borderId="1" xfId="0" applyFont="1" applyFill="1" applyBorder="1"/>
    <xf numFmtId="3" fontId="7" fillId="4" borderId="1" xfId="0" applyNumberFormat="1" applyFont="1" applyFill="1" applyBorder="1" applyAlignment="1">
      <alignment horizontal="right"/>
    </xf>
    <xf numFmtId="3" fontId="7" fillId="4" borderId="1" xfId="0" applyNumberFormat="1" applyFont="1" applyFill="1" applyBorder="1"/>
    <xf numFmtId="0" fontId="7" fillId="4" borderId="1" xfId="0" applyFont="1" applyFill="1" applyBorder="1"/>
    <xf numFmtId="0" fontId="9" fillId="7" borderId="1" xfId="0" applyFont="1" applyFill="1" applyBorder="1"/>
    <xf numFmtId="0" fontId="21" fillId="7" borderId="1" xfId="0" applyFont="1" applyFill="1" applyBorder="1" applyAlignment="1">
      <alignment horizontal="left" vertical="center"/>
    </xf>
    <xf numFmtId="0" fontId="54" fillId="2" borderId="0" xfId="0" applyFont="1" applyFill="1" applyAlignment="1">
      <alignment vertical="center"/>
    </xf>
    <xf numFmtId="0" fontId="11" fillId="7" borderId="0" xfId="0" applyFont="1" applyFill="1"/>
    <xf numFmtId="0" fontId="13" fillId="2" borderId="0" xfId="0" applyFont="1" applyFill="1" applyAlignment="1">
      <alignment horizontal="right" vertical="center"/>
    </xf>
    <xf numFmtId="0" fontId="3" fillId="7" borderId="5" xfId="0" applyFont="1" applyFill="1" applyBorder="1" applyAlignment="1">
      <alignment vertical="center"/>
    </xf>
    <xf numFmtId="0" fontId="56" fillId="2" borderId="0" xfId="5" applyFont="1" applyFill="1" applyBorder="1" applyAlignment="1">
      <alignment vertical="center"/>
    </xf>
    <xf numFmtId="0" fontId="57" fillId="2" borderId="0" xfId="5" applyFont="1" applyFill="1" applyBorder="1" applyAlignment="1">
      <alignment vertical="center"/>
    </xf>
    <xf numFmtId="0" fontId="58" fillId="2" borderId="0" xfId="5" applyFont="1" applyFill="1" applyBorder="1" applyAlignment="1">
      <alignment vertical="center"/>
    </xf>
    <xf numFmtId="0" fontId="59" fillId="2" borderId="0" xfId="5" applyFont="1" applyFill="1" applyBorder="1" applyAlignment="1">
      <alignment vertical="center"/>
    </xf>
    <xf numFmtId="0" fontId="60" fillId="2" borderId="0" xfId="5" applyFont="1" applyFill="1" applyBorder="1" applyAlignment="1">
      <alignment vertical="center"/>
    </xf>
    <xf numFmtId="0" fontId="52" fillId="2" borderId="0" xfId="5" applyFont="1" applyFill="1" applyBorder="1" applyAlignment="1">
      <alignment vertical="center"/>
    </xf>
    <xf numFmtId="0" fontId="21" fillId="2" borderId="2" xfId="0" applyFont="1" applyFill="1" applyBorder="1" applyAlignment="1">
      <alignment horizontal="left" vertical="center"/>
    </xf>
    <xf numFmtId="0" fontId="3" fillId="2" borderId="7" xfId="0" applyFont="1" applyFill="1" applyBorder="1" applyAlignment="1">
      <alignment horizontal="center"/>
    </xf>
    <xf numFmtId="0" fontId="3" fillId="18" borderId="7" xfId="0" applyFont="1" applyFill="1" applyBorder="1" applyAlignment="1">
      <alignment horizontal="center"/>
    </xf>
    <xf numFmtId="0" fontId="3" fillId="19" borderId="7" xfId="0" applyFont="1" applyFill="1" applyBorder="1" applyAlignment="1">
      <alignment horizontal="center"/>
    </xf>
    <xf numFmtId="0" fontId="63" fillId="7" borderId="1" xfId="0" applyFont="1" applyFill="1" applyBorder="1" applyAlignment="1">
      <alignment vertical="center"/>
    </xf>
    <xf numFmtId="0" fontId="63" fillId="7" borderId="1" xfId="0" applyFont="1" applyFill="1" applyBorder="1" applyAlignment="1">
      <alignment horizontal="center" vertical="center"/>
    </xf>
    <xf numFmtId="0" fontId="63" fillId="7" borderId="5" xfId="0" applyFont="1" applyFill="1" applyBorder="1" applyAlignment="1">
      <alignment vertical="center"/>
    </xf>
    <xf numFmtId="0" fontId="63" fillId="7" borderId="5" xfId="0" applyFont="1" applyFill="1" applyBorder="1" applyAlignment="1">
      <alignment horizontal="center" vertical="center"/>
    </xf>
    <xf numFmtId="0" fontId="9" fillId="12" borderId="0" xfId="0" applyFont="1" applyFill="1" applyAlignment="1">
      <alignment vertical="center"/>
    </xf>
    <xf numFmtId="3" fontId="9" fillId="12" borderId="0" xfId="0" applyNumberFormat="1" applyFont="1" applyFill="1" applyAlignment="1">
      <alignment vertical="center"/>
    </xf>
    <xf numFmtId="165" fontId="7" fillId="4" borderId="8" xfId="0" applyNumberFormat="1" applyFont="1" applyFill="1" applyBorder="1" applyAlignment="1">
      <alignment vertical="center"/>
    </xf>
    <xf numFmtId="2" fontId="21" fillId="2" borderId="8" xfId="0" applyNumberFormat="1" applyFont="1" applyFill="1" applyBorder="1" applyAlignment="1">
      <alignment vertical="center"/>
    </xf>
    <xf numFmtId="2" fontId="21" fillId="7" borderId="8" xfId="0" applyNumberFormat="1" applyFont="1" applyFill="1" applyBorder="1" applyAlignment="1">
      <alignment vertical="center"/>
    </xf>
    <xf numFmtId="0" fontId="21" fillId="2" borderId="2" xfId="0" applyFont="1" applyFill="1" applyBorder="1" applyAlignment="1">
      <alignment vertical="center"/>
    </xf>
    <xf numFmtId="3" fontId="11" fillId="7" borderId="6" xfId="0" applyNumberFormat="1" applyFont="1" applyFill="1" applyBorder="1" applyAlignment="1">
      <alignment horizontal="left" vertical="center"/>
    </xf>
    <xf numFmtId="0" fontId="3" fillId="7" borderId="6" xfId="0" applyFont="1" applyFill="1" applyBorder="1" applyAlignment="1">
      <alignment vertical="center"/>
    </xf>
    <xf numFmtId="164" fontId="3" fillId="7" borderId="6" xfId="3" applyNumberFormat="1" applyFont="1" applyFill="1" applyBorder="1" applyAlignment="1">
      <alignment vertical="center"/>
    </xf>
    <xf numFmtId="0" fontId="3" fillId="7" borderId="9" xfId="0" applyFont="1" applyFill="1" applyBorder="1" applyAlignment="1">
      <alignment vertical="center"/>
    </xf>
    <xf numFmtId="0" fontId="7" fillId="7" borderId="6" xfId="0" applyFont="1" applyFill="1" applyBorder="1" applyAlignment="1">
      <alignment vertical="center"/>
    </xf>
    <xf numFmtId="0" fontId="8" fillId="7" borderId="6" xfId="0" applyFont="1" applyFill="1" applyBorder="1" applyAlignment="1">
      <alignment vertical="center"/>
    </xf>
    <xf numFmtId="3" fontId="13" fillId="7" borderId="6" xfId="0" applyNumberFormat="1" applyFont="1" applyFill="1" applyBorder="1" applyAlignment="1">
      <alignment horizontal="left" vertical="center"/>
    </xf>
    <xf numFmtId="0" fontId="14" fillId="7" borderId="6" xfId="0" applyFont="1" applyFill="1" applyBorder="1" applyAlignment="1">
      <alignment vertical="center"/>
    </xf>
    <xf numFmtId="0" fontId="15" fillId="7" borderId="6" xfId="0" applyFont="1" applyFill="1" applyBorder="1" applyAlignment="1">
      <alignment vertical="center"/>
    </xf>
    <xf numFmtId="3" fontId="15" fillId="7" borderId="6" xfId="0" applyNumberFormat="1" applyFont="1" applyFill="1" applyBorder="1" applyAlignment="1">
      <alignment horizontal="left" vertical="center"/>
    </xf>
    <xf numFmtId="0" fontId="16" fillId="7" borderId="6" xfId="0" applyFont="1" applyFill="1" applyBorder="1" applyAlignment="1">
      <alignment vertical="center"/>
    </xf>
    <xf numFmtId="0" fontId="11" fillId="7" borderId="6" xfId="0" applyFont="1" applyFill="1" applyBorder="1" applyAlignment="1">
      <alignment vertical="center"/>
    </xf>
    <xf numFmtId="3" fontId="7" fillId="7" borderId="6" xfId="0" applyNumberFormat="1" applyFont="1" applyFill="1" applyBorder="1" applyAlignment="1">
      <alignment vertical="center"/>
    </xf>
    <xf numFmtId="0" fontId="13" fillId="7" borderId="6" xfId="0" applyFont="1" applyFill="1" applyBorder="1" applyAlignment="1">
      <alignment vertical="center"/>
    </xf>
    <xf numFmtId="3" fontId="3" fillId="7" borderId="6" xfId="0" applyNumberFormat="1" applyFont="1" applyFill="1" applyBorder="1" applyAlignment="1">
      <alignment vertical="center"/>
    </xf>
    <xf numFmtId="0" fontId="9" fillId="7" borderId="6" xfId="0" applyFont="1" applyFill="1" applyBorder="1" applyAlignment="1">
      <alignment vertical="center"/>
    </xf>
    <xf numFmtId="0" fontId="20" fillId="7" borderId="6" xfId="0" applyFont="1" applyFill="1" applyBorder="1" applyAlignment="1">
      <alignment vertical="center"/>
    </xf>
    <xf numFmtId="1" fontId="21" fillId="2" borderId="6" xfId="0" applyNumberFormat="1" applyFont="1" applyFill="1" applyBorder="1" applyAlignment="1">
      <alignment horizontal="right" vertical="center"/>
    </xf>
    <xf numFmtId="0" fontId="20" fillId="7" borderId="9" xfId="0" applyFont="1" applyFill="1" applyBorder="1" applyAlignment="1">
      <alignment vertical="center"/>
    </xf>
    <xf numFmtId="0" fontId="21" fillId="2" borderId="2" xfId="0" applyFont="1" applyFill="1" applyBorder="1" applyAlignment="1">
      <alignment vertical="center" shrinkToFit="1"/>
    </xf>
    <xf numFmtId="0" fontId="14" fillId="7" borderId="1" xfId="0" applyFont="1" applyFill="1" applyBorder="1" applyAlignment="1">
      <alignment horizontal="left" vertical="center"/>
    </xf>
    <xf numFmtId="2" fontId="7" fillId="0" borderId="0" xfId="0" applyNumberFormat="1" applyFont="1" applyAlignment="1">
      <alignment vertical="center"/>
    </xf>
    <xf numFmtId="0" fontId="7" fillId="7" borderId="0" xfId="0" applyFont="1" applyFill="1" applyAlignment="1">
      <alignment horizontal="center" vertical="center"/>
    </xf>
    <xf numFmtId="0" fontId="21" fillId="2" borderId="6" xfId="0" applyFont="1" applyFill="1" applyBorder="1" applyAlignment="1">
      <alignment vertical="center"/>
    </xf>
    <xf numFmtId="0" fontId="67" fillId="7" borderId="1" xfId="0" applyFont="1" applyFill="1" applyBorder="1" applyAlignment="1">
      <alignment vertical="center"/>
    </xf>
    <xf numFmtId="3" fontId="67" fillId="7" borderId="6" xfId="0" applyNumberFormat="1" applyFont="1" applyFill="1" applyBorder="1" applyAlignment="1">
      <alignment vertical="center"/>
    </xf>
    <xf numFmtId="0" fontId="67" fillId="7" borderId="6" xfId="0" applyFont="1" applyFill="1" applyBorder="1" applyAlignment="1">
      <alignment vertical="center"/>
    </xf>
    <xf numFmtId="3" fontId="67" fillId="7" borderId="1" xfId="0" applyNumberFormat="1" applyFont="1" applyFill="1" applyBorder="1" applyAlignment="1">
      <alignment horizontal="right" vertical="center"/>
    </xf>
    <xf numFmtId="3" fontId="67" fillId="7" borderId="1" xfId="0" applyNumberFormat="1" applyFont="1" applyFill="1" applyBorder="1" applyAlignment="1">
      <alignment vertical="center"/>
    </xf>
    <xf numFmtId="167" fontId="67" fillId="7" borderId="1" xfId="0" applyNumberFormat="1" applyFont="1" applyFill="1" applyBorder="1" applyAlignment="1">
      <alignment vertical="center"/>
    </xf>
    <xf numFmtId="2" fontId="67" fillId="7" borderId="1" xfId="0" applyNumberFormat="1" applyFont="1" applyFill="1" applyBorder="1" applyAlignment="1">
      <alignment horizontal="right" vertical="center"/>
    </xf>
    <xf numFmtId="0" fontId="67" fillId="0" borderId="0" xfId="0" applyFont="1" applyAlignment="1">
      <alignment vertical="center"/>
    </xf>
    <xf numFmtId="3" fontId="67" fillId="7" borderId="1" xfId="0" applyNumberFormat="1" applyFont="1" applyFill="1" applyBorder="1" applyAlignment="1">
      <alignment horizontal="center" vertical="center"/>
    </xf>
    <xf numFmtId="0" fontId="67" fillId="7" borderId="0" xfId="0" applyFont="1" applyFill="1" applyAlignment="1">
      <alignment vertical="center"/>
    </xf>
    <xf numFmtId="165" fontId="67" fillId="7" borderId="1" xfId="0" applyNumberFormat="1" applyFont="1" applyFill="1" applyBorder="1" applyAlignment="1">
      <alignment vertical="center"/>
    </xf>
    <xf numFmtId="165" fontId="67" fillId="7" borderId="1" xfId="0" applyNumberFormat="1" applyFont="1" applyFill="1" applyBorder="1" applyAlignment="1">
      <alignment horizontal="right" vertical="center"/>
    </xf>
    <xf numFmtId="3" fontId="67" fillId="7" borderId="5" xfId="0" applyNumberFormat="1" applyFont="1" applyFill="1" applyBorder="1" applyAlignment="1">
      <alignment horizontal="right" vertical="center"/>
    </xf>
    <xf numFmtId="0" fontId="67" fillId="7" borderId="1" xfId="0" applyFont="1" applyFill="1" applyBorder="1" applyAlignment="1">
      <alignment horizontal="right" vertical="center"/>
    </xf>
    <xf numFmtId="9" fontId="67" fillId="7" borderId="1" xfId="4" applyFont="1" applyFill="1" applyBorder="1" applyAlignment="1">
      <alignment vertical="center"/>
    </xf>
    <xf numFmtId="2" fontId="67" fillId="7" borderId="6" xfId="0" applyNumberFormat="1" applyFont="1" applyFill="1" applyBorder="1" applyAlignment="1">
      <alignment horizontal="right" vertical="center"/>
    </xf>
    <xf numFmtId="165" fontId="21" fillId="2" borderId="8" xfId="0" applyNumberFormat="1" applyFont="1" applyFill="1" applyBorder="1" applyAlignment="1">
      <alignment horizontal="right" vertical="center"/>
    </xf>
    <xf numFmtId="3" fontId="7" fillId="4" borderId="8" xfId="0" applyNumberFormat="1" applyFont="1" applyFill="1" applyBorder="1" applyAlignment="1">
      <alignment vertical="center"/>
    </xf>
    <xf numFmtId="4" fontId="7" fillId="4" borderId="8" xfId="0" applyNumberFormat="1" applyFont="1" applyFill="1" applyBorder="1" applyAlignment="1">
      <alignment vertical="center"/>
    </xf>
    <xf numFmtId="3" fontId="14" fillId="7" borderId="1" xfId="0" applyNumberFormat="1" applyFont="1" applyFill="1" applyBorder="1" applyAlignment="1">
      <alignment vertical="center"/>
    </xf>
    <xf numFmtId="9" fontId="14" fillId="7" borderId="1" xfId="4" applyFont="1" applyFill="1" applyBorder="1" applyAlignment="1">
      <alignment vertical="center"/>
    </xf>
    <xf numFmtId="0" fontId="67" fillId="7" borderId="6" xfId="0" applyFont="1" applyFill="1" applyBorder="1" applyAlignment="1">
      <alignment horizontal="right" vertical="center"/>
    </xf>
    <xf numFmtId="9" fontId="14" fillId="7" borderId="1" xfId="0" applyNumberFormat="1" applyFont="1" applyFill="1" applyBorder="1" applyAlignment="1">
      <alignment vertical="center"/>
    </xf>
    <xf numFmtId="167" fontId="14" fillId="7" borderId="1" xfId="0" applyNumberFormat="1" applyFont="1" applyFill="1" applyBorder="1" applyAlignment="1">
      <alignment vertical="center"/>
    </xf>
    <xf numFmtId="9" fontId="16" fillId="7" borderId="0" xfId="4" applyFont="1" applyFill="1" applyBorder="1" applyAlignment="1">
      <alignment vertical="center"/>
    </xf>
    <xf numFmtId="0" fontId="20" fillId="7" borderId="12" xfId="0" applyFont="1" applyFill="1" applyBorder="1" applyAlignment="1">
      <alignment vertical="center"/>
    </xf>
    <xf numFmtId="165" fontId="67" fillId="7" borderId="10" xfId="0" applyNumberFormat="1" applyFont="1" applyFill="1" applyBorder="1" applyAlignment="1">
      <alignment vertical="center"/>
    </xf>
    <xf numFmtId="0" fontId="16" fillId="7" borderId="11" xfId="0" applyFont="1" applyFill="1" applyBorder="1" applyAlignment="1">
      <alignment vertical="center"/>
    </xf>
    <xf numFmtId="3" fontId="67" fillId="7" borderId="6" xfId="0" applyNumberFormat="1" applyFont="1" applyFill="1" applyBorder="1"/>
    <xf numFmtId="0" fontId="20" fillId="7" borderId="1" xfId="0" applyFont="1" applyFill="1" applyBorder="1"/>
    <xf numFmtId="0" fontId="20" fillId="7" borderId="1" xfId="0" applyFont="1" applyFill="1" applyBorder="1" applyAlignment="1">
      <alignment horizontal="center"/>
    </xf>
    <xf numFmtId="0" fontId="19" fillId="7" borderId="1" xfId="0" applyFont="1" applyFill="1" applyBorder="1" applyAlignment="1">
      <alignment horizontal="left" vertical="center"/>
    </xf>
    <xf numFmtId="3" fontId="67" fillId="0" borderId="0" xfId="0" applyNumberFormat="1" applyFont="1" applyAlignment="1">
      <alignment vertical="center"/>
    </xf>
    <xf numFmtId="3" fontId="14" fillId="7" borderId="0" xfId="0" applyNumberFormat="1" applyFont="1" applyFill="1"/>
    <xf numFmtId="3" fontId="16" fillId="7" borderId="0" xfId="0" applyNumberFormat="1" applyFont="1" applyFill="1"/>
    <xf numFmtId="9" fontId="14" fillId="7" borderId="0" xfId="4" applyFont="1" applyFill="1" applyBorder="1" applyAlignment="1">
      <alignment horizontal="right" vertical="center"/>
    </xf>
    <xf numFmtId="0" fontId="21" fillId="2" borderId="1" xfId="0" applyFont="1" applyFill="1" applyBorder="1" applyAlignment="1">
      <alignment horizontal="right" vertical="center"/>
    </xf>
    <xf numFmtId="0" fontId="22" fillId="12" borderId="0" xfId="0" applyFont="1" applyFill="1" applyAlignment="1">
      <alignment vertical="center"/>
    </xf>
    <xf numFmtId="3" fontId="22" fillId="12" borderId="0" xfId="0" applyNumberFormat="1" applyFont="1" applyFill="1" applyAlignment="1">
      <alignment vertical="center"/>
    </xf>
    <xf numFmtId="0" fontId="64" fillId="7" borderId="0" xfId="0" applyFont="1" applyFill="1" applyAlignment="1">
      <alignment vertical="center"/>
    </xf>
    <xf numFmtId="0" fontId="69" fillId="7" borderId="0" xfId="0" applyFont="1" applyFill="1" applyAlignment="1">
      <alignment vertical="center"/>
    </xf>
    <xf numFmtId="3" fontId="64" fillId="7" borderId="0" xfId="0" applyNumberFormat="1" applyFont="1" applyFill="1" applyAlignment="1">
      <alignment vertical="center"/>
    </xf>
    <xf numFmtId="0" fontId="64" fillId="0" borderId="0" xfId="0" applyFont="1" applyAlignment="1">
      <alignment vertical="center"/>
    </xf>
    <xf numFmtId="0" fontId="65" fillId="7" borderId="0" xfId="0" applyFont="1" applyFill="1" applyAlignment="1">
      <alignment vertical="center"/>
    </xf>
    <xf numFmtId="0" fontId="70" fillId="0" borderId="0" xfId="0" applyFont="1" applyAlignment="1">
      <alignment vertical="center"/>
    </xf>
    <xf numFmtId="0" fontId="69" fillId="0" borderId="0" xfId="0" applyFont="1" applyAlignment="1">
      <alignment vertical="center"/>
    </xf>
    <xf numFmtId="0" fontId="22" fillId="7" borderId="0" xfId="0" applyFont="1" applyFill="1" applyAlignment="1">
      <alignment vertical="center"/>
    </xf>
    <xf numFmtId="0" fontId="64" fillId="7" borderId="1" xfId="0" applyFont="1" applyFill="1" applyBorder="1" applyAlignment="1">
      <alignment vertical="center"/>
    </xf>
    <xf numFmtId="3" fontId="65" fillId="7" borderId="0" xfId="0" applyNumberFormat="1" applyFont="1" applyFill="1" applyAlignment="1">
      <alignment vertical="center"/>
    </xf>
    <xf numFmtId="3" fontId="16" fillId="7" borderId="1" xfId="0" applyNumberFormat="1" applyFont="1" applyFill="1" applyBorder="1" applyAlignment="1">
      <alignment vertical="center"/>
    </xf>
    <xf numFmtId="3" fontId="22" fillId="7" borderId="0" xfId="0" applyNumberFormat="1" applyFont="1" applyFill="1" applyAlignment="1">
      <alignment vertical="center"/>
    </xf>
    <xf numFmtId="3" fontId="67" fillId="7" borderId="6" xfId="0" applyNumberFormat="1" applyFont="1" applyFill="1" applyBorder="1" applyAlignment="1">
      <alignment horizontal="right" vertical="center"/>
    </xf>
    <xf numFmtId="0" fontId="14" fillId="7" borderId="6" xfId="0" applyFont="1" applyFill="1" applyBorder="1" applyAlignment="1">
      <alignment horizontal="left" vertical="center"/>
    </xf>
    <xf numFmtId="3" fontId="67" fillId="7" borderId="6" xfId="0" applyNumberFormat="1" applyFont="1" applyFill="1" applyBorder="1" applyAlignment="1">
      <alignment horizontal="center" vertical="center"/>
    </xf>
    <xf numFmtId="0" fontId="3" fillId="20" borderId="0" xfId="0" applyFont="1" applyFill="1" applyAlignment="1">
      <alignment vertical="center"/>
    </xf>
    <xf numFmtId="0" fontId="67" fillId="20" borderId="0" xfId="0" applyFont="1" applyFill="1" applyAlignment="1">
      <alignment vertical="center"/>
    </xf>
    <xf numFmtId="3" fontId="3" fillId="20" borderId="0" xfId="0" applyNumberFormat="1" applyFont="1" applyFill="1" applyAlignment="1">
      <alignment horizontal="center" vertical="center"/>
    </xf>
    <xf numFmtId="3" fontId="67" fillId="20" borderId="0" xfId="0" applyNumberFormat="1" applyFont="1" applyFill="1" applyAlignment="1">
      <alignment horizontal="center" vertical="center"/>
    </xf>
    <xf numFmtId="0" fontId="16" fillId="20" borderId="0" xfId="0" applyFont="1" applyFill="1" applyAlignment="1">
      <alignment vertical="center"/>
    </xf>
    <xf numFmtId="3" fontId="7" fillId="7" borderId="6" xfId="0" applyNumberFormat="1" applyFont="1" applyFill="1" applyBorder="1" applyAlignment="1">
      <alignment horizontal="center" vertical="center"/>
    </xf>
    <xf numFmtId="0" fontId="7" fillId="20" borderId="0" xfId="0" applyFont="1" applyFill="1" applyAlignment="1">
      <alignment vertical="center"/>
    </xf>
    <xf numFmtId="3" fontId="21" fillId="2" borderId="6" xfId="3" applyNumberFormat="1" applyFont="1" applyFill="1" applyBorder="1" applyAlignment="1">
      <alignment horizontal="right" vertical="center"/>
    </xf>
    <xf numFmtId="3" fontId="21" fillId="2" borderId="6" xfId="0" applyNumberFormat="1" applyFont="1" applyFill="1" applyBorder="1" applyAlignment="1">
      <alignment vertical="center"/>
    </xf>
    <xf numFmtId="3" fontId="7" fillId="20" borderId="0" xfId="0" applyNumberFormat="1" applyFont="1" applyFill="1" applyAlignment="1">
      <alignment horizontal="center" vertical="center"/>
    </xf>
    <xf numFmtId="0" fontId="10" fillId="20" borderId="0" xfId="0" applyFont="1" applyFill="1"/>
    <xf numFmtId="0" fontId="3" fillId="20" borderId="0" xfId="0" applyFont="1" applyFill="1"/>
    <xf numFmtId="0" fontId="9" fillId="20" borderId="0" xfId="0" applyFont="1" applyFill="1"/>
    <xf numFmtId="0" fontId="3" fillId="7" borderId="6" xfId="0" applyFont="1" applyFill="1" applyBorder="1"/>
    <xf numFmtId="0" fontId="9" fillId="7" borderId="6" xfId="0" applyFont="1" applyFill="1" applyBorder="1"/>
    <xf numFmtId="0" fontId="18" fillId="20" borderId="0" xfId="0" applyFont="1" applyFill="1"/>
    <xf numFmtId="0" fontId="7" fillId="20" borderId="0" xfId="0" applyFont="1" applyFill="1"/>
    <xf numFmtId="0" fontId="3" fillId="15" borderId="13" xfId="0" applyFont="1" applyFill="1" applyBorder="1"/>
    <xf numFmtId="0" fontId="21" fillId="11" borderId="13" xfId="0" applyFont="1" applyFill="1" applyBorder="1" applyAlignment="1">
      <alignment horizontal="center" vertical="center"/>
    </xf>
    <xf numFmtId="0" fontId="21" fillId="14" borderId="13" xfId="0" applyFont="1" applyFill="1" applyBorder="1" applyAlignment="1">
      <alignment horizontal="center" vertical="center"/>
    </xf>
    <xf numFmtId="0" fontId="21" fillId="16" borderId="13" xfId="0" applyFont="1" applyFill="1" applyBorder="1" applyAlignment="1">
      <alignment horizontal="center" vertical="center"/>
    </xf>
    <xf numFmtId="0" fontId="21" fillId="13" borderId="13" xfId="0" applyFont="1" applyFill="1" applyBorder="1" applyAlignment="1">
      <alignment horizontal="center" vertical="center"/>
    </xf>
    <xf numFmtId="0" fontId="21" fillId="5" borderId="13" xfId="0" applyFont="1" applyFill="1" applyBorder="1" applyAlignment="1">
      <alignment horizontal="center" vertical="center"/>
    </xf>
    <xf numFmtId="0" fontId="21" fillId="6" borderId="13" xfId="0" applyFont="1" applyFill="1" applyBorder="1" applyAlignment="1">
      <alignment horizontal="center" vertical="center"/>
    </xf>
    <xf numFmtId="0" fontId="3" fillId="10" borderId="13" xfId="0" applyFont="1" applyFill="1" applyBorder="1"/>
    <xf numFmtId="0" fontId="3" fillId="3" borderId="14" xfId="0" applyFont="1" applyFill="1" applyBorder="1"/>
    <xf numFmtId="0" fontId="20" fillId="7" borderId="15" xfId="0" applyFont="1" applyFill="1" applyBorder="1" applyAlignment="1">
      <alignment vertical="center"/>
    </xf>
    <xf numFmtId="0" fontId="20" fillId="7" borderId="5" xfId="0" applyFont="1" applyFill="1" applyBorder="1" applyAlignment="1">
      <alignment vertical="center"/>
    </xf>
    <xf numFmtId="0" fontId="20" fillId="7" borderId="0" xfId="0" applyFont="1" applyFill="1" applyAlignment="1">
      <alignment vertical="center"/>
    </xf>
    <xf numFmtId="0" fontId="3" fillId="20" borderId="16" xfId="0" applyFont="1" applyFill="1" applyBorder="1" applyAlignment="1">
      <alignment vertical="center"/>
    </xf>
    <xf numFmtId="0" fontId="67" fillId="20" borderId="16" xfId="0" applyFont="1" applyFill="1" applyBorder="1" applyAlignment="1">
      <alignment vertical="center"/>
    </xf>
    <xf numFmtId="0" fontId="7" fillId="20" borderId="16" xfId="0" applyFont="1" applyFill="1" applyBorder="1" applyAlignment="1">
      <alignment vertical="center"/>
    </xf>
    <xf numFmtId="165" fontId="67" fillId="20" borderId="16" xfId="0" applyNumberFormat="1" applyFont="1" applyFill="1" applyBorder="1" applyAlignment="1">
      <alignment horizontal="right" vertical="center"/>
    </xf>
    <xf numFmtId="4" fontId="67" fillId="20" borderId="16" xfId="0" applyNumberFormat="1" applyFont="1" applyFill="1" applyBorder="1" applyAlignment="1">
      <alignment vertical="center"/>
    </xf>
    <xf numFmtId="3" fontId="67" fillId="20" borderId="16" xfId="0" applyNumberFormat="1" applyFont="1" applyFill="1" applyBorder="1" applyAlignment="1">
      <alignment vertical="center"/>
    </xf>
    <xf numFmtId="0" fontId="21" fillId="2" borderId="16" xfId="0" applyFont="1" applyFill="1" applyBorder="1" applyAlignment="1">
      <alignment vertical="center" shrinkToFit="1"/>
    </xf>
    <xf numFmtId="0" fontId="21" fillId="2" borderId="16" xfId="0" applyFont="1" applyFill="1" applyBorder="1" applyAlignment="1">
      <alignment vertical="center"/>
    </xf>
    <xf numFmtId="0" fontId="3" fillId="20" borderId="17" xfId="0" applyFont="1" applyFill="1" applyBorder="1" applyAlignment="1">
      <alignment vertical="center"/>
    </xf>
    <xf numFmtId="0" fontId="14" fillId="20" borderId="17" xfId="0" applyFont="1" applyFill="1" applyBorder="1" applyAlignment="1">
      <alignment vertical="center"/>
    </xf>
    <xf numFmtId="0" fontId="3" fillId="20" borderId="18" xfId="0" applyFont="1" applyFill="1" applyBorder="1" applyAlignment="1">
      <alignment vertical="center"/>
    </xf>
    <xf numFmtId="3" fontId="67" fillId="20" borderId="16" xfId="0" applyNumberFormat="1" applyFont="1" applyFill="1" applyBorder="1" applyAlignment="1">
      <alignment horizontal="center" vertical="center"/>
    </xf>
    <xf numFmtId="0" fontId="30" fillId="20" borderId="0" xfId="0" applyFont="1" applyFill="1" applyAlignment="1">
      <alignment horizontal="left" vertical="center"/>
    </xf>
    <xf numFmtId="0" fontId="29" fillId="20" borderId="0" xfId="0" applyFont="1" applyFill="1" applyAlignment="1">
      <alignment horizontal="left" vertical="center"/>
    </xf>
    <xf numFmtId="0" fontId="3" fillId="7" borderId="2" xfId="0" applyFont="1" applyFill="1" applyBorder="1" applyAlignment="1">
      <alignment vertical="center"/>
    </xf>
    <xf numFmtId="3" fontId="67" fillId="7" borderId="3" xfId="0" applyNumberFormat="1" applyFont="1" applyFill="1" applyBorder="1" applyAlignment="1">
      <alignment vertical="center"/>
    </xf>
    <xf numFmtId="0" fontId="3" fillId="7" borderId="21" xfId="0" applyFont="1" applyFill="1" applyBorder="1" applyAlignment="1">
      <alignment vertical="center"/>
    </xf>
    <xf numFmtId="0" fontId="3" fillId="20" borderId="22" xfId="0" applyFont="1" applyFill="1" applyBorder="1" applyAlignment="1">
      <alignment vertical="center"/>
    </xf>
    <xf numFmtId="164" fontId="3" fillId="20" borderId="22" xfId="3" applyNumberFormat="1" applyFont="1" applyFill="1" applyBorder="1" applyAlignment="1">
      <alignment vertical="center"/>
    </xf>
    <xf numFmtId="3" fontId="67" fillId="20" borderId="22" xfId="3" applyNumberFormat="1" applyFont="1" applyFill="1" applyBorder="1" applyAlignment="1">
      <alignment vertical="center"/>
    </xf>
    <xf numFmtId="3" fontId="67" fillId="7" borderId="21" xfId="0" applyNumberFormat="1" applyFont="1" applyFill="1" applyBorder="1" applyAlignment="1">
      <alignment vertical="center"/>
    </xf>
    <xf numFmtId="3" fontId="7" fillId="7" borderId="6" xfId="0" applyNumberFormat="1" applyFont="1" applyFill="1" applyBorder="1" applyAlignment="1">
      <alignment horizontal="left" vertical="center"/>
    </xf>
    <xf numFmtId="0" fontId="7" fillId="4" borderId="10" xfId="0" applyFont="1" applyFill="1" applyBorder="1" applyAlignment="1">
      <alignment vertical="center"/>
    </xf>
    <xf numFmtId="3" fontId="7" fillId="7" borderId="21" xfId="0" applyNumberFormat="1" applyFont="1" applyFill="1" applyBorder="1" applyAlignment="1">
      <alignment horizontal="center" vertical="center"/>
    </xf>
    <xf numFmtId="0" fontId="14" fillId="7" borderId="21" xfId="0" applyFont="1" applyFill="1" applyBorder="1" applyAlignment="1">
      <alignment vertical="center"/>
    </xf>
    <xf numFmtId="3" fontId="16" fillId="7" borderId="21" xfId="0" applyNumberFormat="1" applyFont="1" applyFill="1" applyBorder="1" applyAlignment="1">
      <alignment horizontal="center" vertical="center"/>
    </xf>
    <xf numFmtId="0" fontId="67" fillId="7" borderId="21" xfId="0" applyFont="1" applyFill="1" applyBorder="1" applyAlignment="1">
      <alignment vertical="center"/>
    </xf>
    <xf numFmtId="0" fontId="16" fillId="7" borderId="21" xfId="0" applyFont="1" applyFill="1" applyBorder="1" applyAlignment="1">
      <alignment vertical="center"/>
    </xf>
    <xf numFmtId="0" fontId="7" fillId="7" borderId="21" xfId="0" applyFont="1" applyFill="1" applyBorder="1" applyAlignment="1">
      <alignment vertical="center"/>
    </xf>
    <xf numFmtId="3" fontId="16" fillId="7" borderId="23" xfId="0" applyNumberFormat="1" applyFont="1" applyFill="1" applyBorder="1" applyAlignment="1">
      <alignment horizontal="center" vertical="center"/>
    </xf>
    <xf numFmtId="0" fontId="3" fillId="7" borderId="10" xfId="0" applyFont="1" applyFill="1" applyBorder="1" applyAlignment="1">
      <alignment vertical="center"/>
    </xf>
    <xf numFmtId="0" fontId="21" fillId="2" borderId="6" xfId="0" applyFont="1" applyFill="1" applyBorder="1" applyAlignment="1">
      <alignment vertical="center" shrinkToFit="1"/>
    </xf>
    <xf numFmtId="0" fontId="9" fillId="7" borderId="21" xfId="0" applyFont="1" applyFill="1" applyBorder="1" applyAlignment="1">
      <alignment vertical="center"/>
    </xf>
    <xf numFmtId="0" fontId="67" fillId="7" borderId="21" xfId="0" applyFont="1" applyFill="1" applyBorder="1" applyAlignment="1">
      <alignment horizontal="right" vertical="center"/>
    </xf>
    <xf numFmtId="0" fontId="67" fillId="7" borderId="21" xfId="0" applyFont="1" applyFill="1" applyBorder="1" applyAlignment="1">
      <alignment horizontal="center" vertical="center"/>
    </xf>
    <xf numFmtId="0" fontId="55" fillId="7" borderId="21" xfId="0" applyFont="1" applyFill="1" applyBorder="1" applyAlignment="1">
      <alignment vertical="center"/>
    </xf>
    <xf numFmtId="3" fontId="67" fillId="7" borderId="21" xfId="0" applyNumberFormat="1" applyFont="1" applyFill="1" applyBorder="1" applyAlignment="1">
      <alignment horizontal="center" vertical="center"/>
    </xf>
    <xf numFmtId="0" fontId="55" fillId="7" borderId="23" xfId="0" applyFont="1" applyFill="1" applyBorder="1" applyAlignment="1">
      <alignment vertical="center"/>
    </xf>
    <xf numFmtId="0" fontId="20" fillId="7" borderId="21" xfId="0" applyFont="1" applyFill="1" applyBorder="1" applyAlignment="1">
      <alignment vertical="center"/>
    </xf>
    <xf numFmtId="3" fontId="7" fillId="7" borderId="21" xfId="0" applyNumberFormat="1" applyFont="1" applyFill="1" applyBorder="1" applyAlignment="1">
      <alignment vertical="center"/>
    </xf>
    <xf numFmtId="0" fontId="16" fillId="7" borderId="23" xfId="0" applyFont="1" applyFill="1" applyBorder="1" applyAlignment="1">
      <alignment vertical="center"/>
    </xf>
    <xf numFmtId="3" fontId="3" fillId="7" borderId="21" xfId="0" applyNumberFormat="1" applyFont="1" applyFill="1" applyBorder="1" applyAlignment="1">
      <alignment vertical="center"/>
    </xf>
    <xf numFmtId="3" fontId="67" fillId="7" borderId="21" xfId="0" applyNumberFormat="1" applyFont="1" applyFill="1" applyBorder="1" applyAlignment="1">
      <alignment horizontal="right" vertical="center"/>
    </xf>
    <xf numFmtId="0" fontId="21" fillId="2" borderId="10" xfId="0" applyFont="1" applyFill="1" applyBorder="1" applyAlignment="1">
      <alignment vertical="center"/>
    </xf>
    <xf numFmtId="3" fontId="13" fillId="20" borderId="27" xfId="0" applyNumberFormat="1" applyFont="1" applyFill="1" applyBorder="1" applyAlignment="1">
      <alignment horizontal="left" vertical="center"/>
    </xf>
    <xf numFmtId="0" fontId="3" fillId="20" borderId="28" xfId="0" applyFont="1" applyFill="1" applyBorder="1" applyAlignment="1">
      <alignment vertical="center"/>
    </xf>
    <xf numFmtId="0" fontId="67" fillId="20" borderId="29" xfId="0" applyFont="1" applyFill="1" applyBorder="1" applyAlignment="1">
      <alignment vertical="center"/>
    </xf>
    <xf numFmtId="0" fontId="14" fillId="20" borderId="30" xfId="0" applyFont="1" applyFill="1" applyBorder="1" applyAlignment="1">
      <alignment vertical="center"/>
    </xf>
    <xf numFmtId="165" fontId="67" fillId="20" borderId="31" xfId="0" applyNumberFormat="1" applyFont="1" applyFill="1" applyBorder="1" applyAlignment="1">
      <alignment vertical="center"/>
    </xf>
    <xf numFmtId="0" fontId="3" fillId="20" borderId="16" xfId="0" applyFont="1" applyFill="1" applyBorder="1" applyAlignment="1">
      <alignment horizontal="center" vertical="center"/>
    </xf>
    <xf numFmtId="165" fontId="14" fillId="20" borderId="16" xfId="0" applyNumberFormat="1" applyFont="1" applyFill="1" applyBorder="1" applyAlignment="1">
      <alignment horizontal="right" vertical="center"/>
    </xf>
    <xf numFmtId="165" fontId="67" fillId="20" borderId="31" xfId="0" applyNumberFormat="1" applyFont="1" applyFill="1" applyBorder="1" applyAlignment="1">
      <alignment horizontal="right" vertical="center"/>
    </xf>
    <xf numFmtId="0" fontId="14" fillId="20" borderId="32" xfId="0" applyFont="1" applyFill="1" applyBorder="1" applyAlignment="1">
      <alignment vertical="center"/>
    </xf>
    <xf numFmtId="0" fontId="7" fillId="20" borderId="33" xfId="0" applyFont="1" applyFill="1" applyBorder="1" applyAlignment="1">
      <alignment vertical="center"/>
    </xf>
    <xf numFmtId="0" fontId="3" fillId="20" borderId="33" xfId="0" applyFont="1" applyFill="1" applyBorder="1" applyAlignment="1">
      <alignment vertical="center"/>
    </xf>
    <xf numFmtId="0" fontId="3" fillId="20" borderId="34" xfId="0" applyFont="1" applyFill="1" applyBorder="1" applyAlignment="1">
      <alignment vertical="center"/>
    </xf>
    <xf numFmtId="0" fontId="21" fillId="2" borderId="35" xfId="0" applyFont="1" applyFill="1" applyBorder="1" applyAlignment="1">
      <alignment vertical="center"/>
    </xf>
    <xf numFmtId="0" fontId="21" fillId="2" borderId="36" xfId="0" applyFont="1" applyFill="1" applyBorder="1" applyAlignment="1">
      <alignment vertical="center"/>
    </xf>
    <xf numFmtId="0" fontId="21" fillId="2" borderId="19" xfId="0" applyFont="1" applyFill="1" applyBorder="1" applyAlignment="1">
      <alignment vertical="center"/>
    </xf>
    <xf numFmtId="3" fontId="11" fillId="20" borderId="27" xfId="0" applyNumberFormat="1" applyFont="1" applyFill="1" applyBorder="1" applyAlignment="1">
      <alignment horizontal="left" vertical="center"/>
    </xf>
    <xf numFmtId="0" fontId="7" fillId="20" borderId="30" xfId="0" applyFont="1" applyFill="1" applyBorder="1" applyAlignment="1">
      <alignment vertical="center"/>
    </xf>
    <xf numFmtId="3" fontId="15" fillId="20" borderId="27" xfId="0" applyNumberFormat="1" applyFont="1" applyFill="1" applyBorder="1" applyAlignment="1">
      <alignment horizontal="left" vertical="center"/>
    </xf>
    <xf numFmtId="0" fontId="16" fillId="20" borderId="30" xfId="0" applyFont="1" applyFill="1" applyBorder="1" applyAlignment="1">
      <alignment vertical="center"/>
    </xf>
    <xf numFmtId="0" fontId="16" fillId="20" borderId="32" xfId="0" applyFont="1" applyFill="1" applyBorder="1" applyAlignment="1">
      <alignment vertical="center"/>
    </xf>
    <xf numFmtId="0" fontId="16" fillId="7" borderId="10" xfId="0" applyFont="1" applyFill="1" applyBorder="1" applyAlignment="1">
      <alignment vertical="center"/>
    </xf>
    <xf numFmtId="165" fontId="7" fillId="20" borderId="17" xfId="0" applyNumberFormat="1" applyFont="1" applyFill="1" applyBorder="1" applyAlignment="1">
      <alignment vertical="center"/>
    </xf>
    <xf numFmtId="4" fontId="7" fillId="7" borderId="0" xfId="0" applyNumberFormat="1" applyFont="1" applyFill="1"/>
    <xf numFmtId="165" fontId="21" fillId="2" borderId="8" xfId="0" applyNumberFormat="1" applyFont="1" applyFill="1" applyBorder="1" applyAlignment="1">
      <alignment vertical="center"/>
    </xf>
    <xf numFmtId="2" fontId="7" fillId="7" borderId="0" xfId="0" applyNumberFormat="1" applyFont="1" applyFill="1"/>
    <xf numFmtId="0" fontId="14" fillId="0" borderId="0" xfId="0" applyFont="1" applyAlignment="1">
      <alignment horizontal="right" vertical="center"/>
    </xf>
    <xf numFmtId="0" fontId="4" fillId="0" borderId="0" xfId="0" applyFont="1" applyAlignment="1">
      <alignment horizontal="right" vertical="center"/>
    </xf>
    <xf numFmtId="0" fontId="14" fillId="7" borderId="0" xfId="0" applyFont="1" applyFill="1"/>
    <xf numFmtId="0" fontId="53" fillId="2" borderId="0" xfId="0" applyFont="1" applyFill="1" applyAlignment="1">
      <alignment horizontal="right"/>
    </xf>
    <xf numFmtId="3" fontId="73" fillId="7" borderId="0" xfId="0" applyNumberFormat="1" applyFont="1" applyFill="1" applyAlignment="1">
      <alignment vertical="center"/>
    </xf>
    <xf numFmtId="0" fontId="11" fillId="20" borderId="0" xfId="0" applyFont="1" applyFill="1" applyAlignment="1">
      <alignment horizontal="left" vertical="center"/>
    </xf>
    <xf numFmtId="0" fontId="16" fillId="7" borderId="40" xfId="0" applyFont="1" applyFill="1" applyBorder="1" applyAlignment="1">
      <alignment vertical="center"/>
    </xf>
    <xf numFmtId="0" fontId="3" fillId="7" borderId="40" xfId="0" applyFont="1" applyFill="1" applyBorder="1" applyAlignment="1">
      <alignment vertical="center"/>
    </xf>
    <xf numFmtId="0" fontId="16" fillId="7" borderId="1" xfId="0" applyFont="1" applyFill="1" applyBorder="1" applyAlignment="1">
      <alignment horizontal="fill" vertical="center"/>
    </xf>
    <xf numFmtId="0" fontId="20" fillId="7" borderId="41" xfId="0" applyFont="1" applyFill="1" applyBorder="1" applyAlignment="1">
      <alignment vertical="center"/>
    </xf>
    <xf numFmtId="3" fontId="3" fillId="20" borderId="42" xfId="0" applyNumberFormat="1" applyFont="1" applyFill="1" applyBorder="1" applyAlignment="1">
      <alignment horizontal="center" vertical="center"/>
    </xf>
    <xf numFmtId="3" fontId="3" fillId="20" borderId="43" xfId="0" applyNumberFormat="1" applyFont="1" applyFill="1" applyBorder="1" applyAlignment="1">
      <alignment horizontal="center" vertical="center"/>
    </xf>
    <xf numFmtId="0" fontId="3" fillId="7" borderId="21" xfId="0" applyFont="1" applyFill="1" applyBorder="1" applyAlignment="1">
      <alignment horizontal="fill" vertical="center"/>
    </xf>
    <xf numFmtId="0" fontId="16" fillId="7" borderId="39" xfId="0" applyFont="1" applyFill="1" applyBorder="1" applyAlignment="1">
      <alignment vertical="center"/>
    </xf>
    <xf numFmtId="3" fontId="75" fillId="7" borderId="0" xfId="0" applyNumberFormat="1" applyFont="1" applyFill="1" applyAlignment="1">
      <alignment horizontal="right" vertical="center"/>
    </xf>
    <xf numFmtId="3" fontId="76" fillId="7" borderId="0" xfId="0" applyNumberFormat="1" applyFont="1" applyFill="1" applyAlignment="1">
      <alignment horizontal="right" vertical="center"/>
    </xf>
    <xf numFmtId="0" fontId="76" fillId="7" borderId="0" xfId="0" applyFont="1" applyFill="1" applyAlignment="1">
      <alignment horizontal="right" vertical="center"/>
    </xf>
    <xf numFmtId="3" fontId="76" fillId="7" borderId="0" xfId="0" applyNumberFormat="1" applyFont="1" applyFill="1" applyAlignment="1">
      <alignment vertical="center"/>
    </xf>
    <xf numFmtId="3" fontId="72" fillId="7" borderId="47" xfId="0" applyNumberFormat="1" applyFont="1" applyFill="1" applyBorder="1" applyAlignment="1">
      <alignment horizontal="right" vertical="center"/>
    </xf>
    <xf numFmtId="3" fontId="73" fillId="7" borderId="47" xfId="0" applyNumberFormat="1" applyFont="1" applyFill="1" applyBorder="1" applyAlignment="1">
      <alignment horizontal="right" vertical="center"/>
    </xf>
    <xf numFmtId="0" fontId="74" fillId="7" borderId="47" xfId="0" applyFont="1" applyFill="1" applyBorder="1"/>
    <xf numFmtId="4" fontId="7" fillId="4" borderId="1" xfId="0" applyNumberFormat="1" applyFont="1" applyFill="1" applyBorder="1"/>
    <xf numFmtId="0" fontId="74" fillId="7" borderId="0" xfId="0" applyFont="1" applyFill="1"/>
    <xf numFmtId="0" fontId="7" fillId="7" borderId="6" xfId="0" applyFont="1" applyFill="1" applyBorder="1"/>
    <xf numFmtId="0" fontId="20" fillId="7" borderId="6" xfId="0" applyFont="1" applyFill="1" applyBorder="1"/>
    <xf numFmtId="0" fontId="20" fillId="20" borderId="0" xfId="0" applyFont="1" applyFill="1"/>
    <xf numFmtId="0" fontId="7" fillId="0" borderId="0" xfId="0" applyFont="1" applyAlignment="1">
      <alignment horizontal="left" vertical="center"/>
    </xf>
    <xf numFmtId="0" fontId="11" fillId="0" borderId="0" xfId="0" applyFont="1" applyAlignment="1">
      <alignment horizontal="left" vertical="center"/>
    </xf>
    <xf numFmtId="0" fontId="30" fillId="20" borderId="0" xfId="0" applyFont="1" applyFill="1" applyAlignment="1">
      <alignment vertical="center"/>
    </xf>
    <xf numFmtId="0" fontId="3" fillId="0" borderId="0" xfId="0" applyFont="1" applyAlignment="1">
      <alignment horizontal="left"/>
    </xf>
    <xf numFmtId="0" fontId="7" fillId="12" borderId="0" xfId="0" applyFont="1" applyFill="1"/>
    <xf numFmtId="0" fontId="3" fillId="12" borderId="0" xfId="0" applyFont="1" applyFill="1"/>
    <xf numFmtId="0" fontId="9" fillId="12" borderId="0" xfId="0" applyFont="1" applyFill="1"/>
    <xf numFmtId="0" fontId="3" fillId="7" borderId="0" xfId="0" applyFont="1" applyFill="1" applyAlignment="1">
      <alignment horizontal="left"/>
    </xf>
    <xf numFmtId="0" fontId="76" fillId="7" borderId="0" xfId="0" applyFont="1" applyFill="1"/>
    <xf numFmtId="3" fontId="75" fillId="7" borderId="0" xfId="0" applyNumberFormat="1" applyFont="1" applyFill="1" applyAlignment="1">
      <alignment horizontal="center" vertical="center"/>
    </xf>
    <xf numFmtId="3" fontId="72" fillId="20" borderId="1" xfId="0" applyNumberFormat="1" applyFont="1" applyFill="1" applyBorder="1" applyAlignment="1">
      <alignment horizontal="right" vertical="center"/>
    </xf>
    <xf numFmtId="3" fontId="75" fillId="20" borderId="1" xfId="0" applyNumberFormat="1" applyFont="1" applyFill="1" applyBorder="1" applyAlignment="1">
      <alignment horizontal="right" vertical="center"/>
    </xf>
    <xf numFmtId="3" fontId="3" fillId="0" borderId="0" xfId="0" applyNumberFormat="1" applyFont="1" applyAlignment="1">
      <alignment horizontal="right"/>
    </xf>
    <xf numFmtId="0" fontId="3" fillId="4" borderId="0" xfId="0" applyFont="1" applyFill="1" applyAlignment="1">
      <alignment horizontal="center" vertical="center"/>
    </xf>
    <xf numFmtId="3" fontId="3" fillId="4" borderId="0" xfId="0" applyNumberFormat="1" applyFont="1" applyFill="1"/>
    <xf numFmtId="3" fontId="3" fillId="0" borderId="0" xfId="0" applyNumberFormat="1" applyFont="1"/>
    <xf numFmtId="3" fontId="3" fillId="20" borderId="0" xfId="0" applyNumberFormat="1" applyFont="1" applyFill="1" applyAlignment="1">
      <alignment horizontal="right"/>
    </xf>
    <xf numFmtId="0" fontId="3" fillId="20" borderId="0" xfId="0" applyFont="1" applyFill="1" applyAlignment="1">
      <alignment horizontal="center" vertical="center"/>
    </xf>
    <xf numFmtId="3" fontId="3" fillId="20" borderId="0" xfId="0" applyNumberFormat="1" applyFont="1" applyFill="1"/>
    <xf numFmtId="0" fontId="3" fillId="7" borderId="0" xfId="0" applyFont="1" applyFill="1" applyAlignment="1">
      <alignment horizontal="center" textRotation="90"/>
    </xf>
    <xf numFmtId="0" fontId="7" fillId="7" borderId="0" xfId="0" applyFont="1" applyFill="1" applyAlignment="1">
      <alignment horizontal="right" textRotation="90"/>
    </xf>
    <xf numFmtId="4" fontId="3" fillId="7" borderId="0" xfId="0" applyNumberFormat="1" applyFont="1" applyFill="1" applyAlignment="1">
      <alignment horizontal="right" vertical="center"/>
    </xf>
    <xf numFmtId="3" fontId="84" fillId="7" borderId="0" xfId="0" applyNumberFormat="1" applyFont="1" applyFill="1" applyAlignment="1">
      <alignment horizontal="right" vertical="center"/>
    </xf>
    <xf numFmtId="1" fontId="84" fillId="7" borderId="0" xfId="0" applyNumberFormat="1" applyFont="1" applyFill="1" applyAlignment="1">
      <alignment horizontal="right" vertical="center"/>
    </xf>
    <xf numFmtId="0" fontId="7" fillId="7" borderId="0" xfId="0" applyFont="1" applyFill="1" applyAlignment="1">
      <alignment horizontal="left" vertical="center"/>
    </xf>
    <xf numFmtId="3" fontId="3" fillId="7" borderId="0" xfId="0" applyNumberFormat="1" applyFont="1" applyFill="1"/>
    <xf numFmtId="2" fontId="3" fillId="7" borderId="0" xfId="0" applyNumberFormat="1" applyFont="1" applyFill="1"/>
    <xf numFmtId="2" fontId="3" fillId="0" borderId="0" xfId="0" applyNumberFormat="1" applyFont="1" applyAlignment="1">
      <alignment horizontal="right" vertical="center"/>
    </xf>
    <xf numFmtId="4" fontId="3" fillId="0" borderId="0" xfId="0" applyNumberFormat="1" applyFont="1" applyAlignment="1">
      <alignment horizontal="right" vertical="center"/>
    </xf>
    <xf numFmtId="2" fontId="3" fillId="20" borderId="0" xfId="0" applyNumberFormat="1" applyFont="1" applyFill="1" applyAlignment="1">
      <alignment horizontal="right" vertical="center"/>
    </xf>
    <xf numFmtId="4" fontId="3" fillId="20" borderId="0" xfId="0" applyNumberFormat="1" applyFont="1" applyFill="1" applyAlignment="1">
      <alignment horizontal="right" vertical="center"/>
    </xf>
    <xf numFmtId="0" fontId="3" fillId="0" borderId="0" xfId="0" applyFont="1" applyAlignment="1">
      <alignment horizontal="center" textRotation="90"/>
    </xf>
    <xf numFmtId="0" fontId="84" fillId="7" borderId="0" xfId="0" applyFont="1" applyFill="1" applyAlignment="1">
      <alignment horizontal="right" vertical="center"/>
    </xf>
    <xf numFmtId="1" fontId="84" fillId="0" borderId="0" xfId="0" applyNumberFormat="1" applyFont="1" applyAlignment="1">
      <alignment horizontal="right" vertical="center"/>
    </xf>
    <xf numFmtId="1" fontId="84" fillId="20" borderId="0" xfId="0" applyNumberFormat="1" applyFont="1" applyFill="1" applyAlignment="1">
      <alignment horizontal="right" vertical="center"/>
    </xf>
    <xf numFmtId="0" fontId="7" fillId="7" borderId="0" xfId="0" applyFont="1" applyFill="1" applyAlignment="1">
      <alignment horizontal="center" textRotation="90"/>
    </xf>
    <xf numFmtId="2" fontId="3" fillId="7" borderId="0" xfId="0" applyNumberFormat="1" applyFont="1" applyFill="1" applyAlignment="1">
      <alignment horizontal="right" vertical="center"/>
    </xf>
    <xf numFmtId="2" fontId="84" fillId="7" borderId="0" xfId="0" applyNumberFormat="1" applyFont="1" applyFill="1" applyAlignment="1">
      <alignment horizontal="right" vertical="center"/>
    </xf>
    <xf numFmtId="2" fontId="9" fillId="2" borderId="0" xfId="0" applyNumberFormat="1" applyFont="1" applyFill="1" applyAlignment="1">
      <alignment horizontal="right" vertical="center"/>
    </xf>
    <xf numFmtId="2" fontId="7" fillId="7" borderId="0" xfId="0" applyNumberFormat="1" applyFont="1" applyFill="1" applyAlignment="1">
      <alignment horizontal="right" vertical="center"/>
    </xf>
    <xf numFmtId="2" fontId="9" fillId="7" borderId="0" xfId="0" applyNumberFormat="1" applyFont="1" applyFill="1" applyAlignment="1">
      <alignment horizontal="right" vertical="center"/>
    </xf>
    <xf numFmtId="0" fontId="84" fillId="0" borderId="0" xfId="0" applyFont="1" applyAlignment="1">
      <alignment horizontal="right" vertical="center"/>
    </xf>
    <xf numFmtId="2" fontId="3" fillId="0" borderId="0" xfId="0" applyNumberFormat="1" applyFont="1"/>
    <xf numFmtId="1" fontId="84" fillId="17" borderId="0" xfId="0" applyNumberFormat="1" applyFont="1" applyFill="1" applyAlignment="1">
      <alignment horizontal="right" vertical="center"/>
    </xf>
    <xf numFmtId="0" fontId="84" fillId="17" borderId="0" xfId="0" applyFont="1" applyFill="1" applyAlignment="1">
      <alignment horizontal="right" vertical="center"/>
    </xf>
    <xf numFmtId="0" fontId="85" fillId="0" borderId="0" xfId="0" applyFont="1" applyAlignment="1">
      <alignment horizontal="left" vertical="center" wrapText="1"/>
    </xf>
    <xf numFmtId="0" fontId="88" fillId="0" borderId="0" xfId="0" applyFont="1" applyAlignment="1">
      <alignment horizontal="left" vertical="center"/>
    </xf>
    <xf numFmtId="0" fontId="18" fillId="0" borderId="0" xfId="0" applyFont="1" applyAlignment="1">
      <alignment horizontal="right" vertical="center"/>
    </xf>
    <xf numFmtId="2" fontId="18" fillId="0" borderId="0" xfId="0" applyNumberFormat="1" applyFont="1" applyAlignment="1">
      <alignment horizontal="right"/>
    </xf>
    <xf numFmtId="0" fontId="18" fillId="0" borderId="0" xfId="0" applyFont="1" applyAlignment="1">
      <alignment horizontal="right"/>
    </xf>
    <xf numFmtId="2" fontId="18" fillId="0" borderId="0" xfId="0" applyNumberFormat="1" applyFont="1" applyAlignment="1">
      <alignment horizontal="right" vertical="center"/>
    </xf>
    <xf numFmtId="14" fontId="89" fillId="0" borderId="0" xfId="0" applyNumberFormat="1" applyFont="1" applyAlignment="1">
      <alignment horizontal="right" vertical="center"/>
    </xf>
    <xf numFmtId="0" fontId="18" fillId="0" borderId="0" xfId="0" applyFont="1" applyAlignment="1">
      <alignment horizontal="left" vertical="center"/>
    </xf>
    <xf numFmtId="0" fontId="18" fillId="0" borderId="0" xfId="0" applyFont="1" applyAlignment="1">
      <alignment horizontal="left" vertical="top"/>
    </xf>
    <xf numFmtId="0" fontId="18" fillId="0" borderId="0" xfId="0" applyFont="1" applyAlignment="1">
      <alignment horizontal="right" vertical="top"/>
    </xf>
    <xf numFmtId="0" fontId="7" fillId="0" borderId="0" xfId="0" applyFont="1" applyAlignment="1">
      <alignment horizontal="center" vertical="center"/>
    </xf>
    <xf numFmtId="0" fontId="5" fillId="0" borderId="0" xfId="0" applyFont="1" applyAlignment="1">
      <alignment horizontal="center" vertical="center"/>
    </xf>
    <xf numFmtId="0" fontId="21" fillId="0" borderId="0" xfId="0" applyFont="1" applyAlignment="1">
      <alignment horizontal="center" vertical="center"/>
    </xf>
    <xf numFmtId="0" fontId="62" fillId="0" borderId="0" xfId="5" applyFont="1" applyFill="1" applyAlignment="1">
      <alignment vertical="center"/>
    </xf>
    <xf numFmtId="0" fontId="90" fillId="2" borderId="0" xfId="5" applyFont="1" applyFill="1" applyBorder="1" applyAlignment="1">
      <alignment vertical="center"/>
    </xf>
    <xf numFmtId="0" fontId="91" fillId="2" borderId="0" xfId="0" applyFont="1" applyFill="1"/>
    <xf numFmtId="0" fontId="3" fillId="7" borderId="8" xfId="0" applyFont="1" applyFill="1" applyBorder="1"/>
    <xf numFmtId="0" fontId="92" fillId="2" borderId="0" xfId="0" applyFont="1" applyFill="1" applyAlignment="1">
      <alignment horizontal="center" vertical="center"/>
    </xf>
    <xf numFmtId="0" fontId="27" fillId="2" borderId="0" xfId="5" applyFont="1" applyFill="1" applyBorder="1" applyAlignment="1">
      <alignment vertical="center"/>
    </xf>
    <xf numFmtId="0" fontId="21" fillId="7" borderId="8" xfId="0" applyFont="1" applyFill="1" applyBorder="1" applyAlignment="1">
      <alignment vertical="center"/>
    </xf>
    <xf numFmtId="3" fontId="21" fillId="2" borderId="0" xfId="0" applyNumberFormat="1" applyFont="1" applyFill="1" applyAlignment="1">
      <alignment horizontal="right" vertical="center"/>
    </xf>
    <xf numFmtId="0" fontId="21" fillId="2" borderId="0" xfId="0" applyFont="1" applyFill="1" applyAlignment="1">
      <alignment horizontal="right" vertical="center"/>
    </xf>
    <xf numFmtId="0" fontId="14" fillId="7" borderId="0" xfId="0" applyFont="1" applyFill="1" applyAlignment="1">
      <alignment horizontal="left" vertical="center"/>
    </xf>
    <xf numFmtId="0" fontId="11" fillId="7" borderId="0" xfId="0" applyFont="1" applyFill="1" applyAlignment="1">
      <alignment horizontal="left" vertical="center"/>
    </xf>
    <xf numFmtId="0" fontId="10" fillId="7" borderId="0" xfId="0" applyFont="1" applyFill="1" applyAlignment="1">
      <alignment vertical="center"/>
    </xf>
    <xf numFmtId="0" fontId="93" fillId="7" borderId="0" xfId="0" applyFont="1" applyFill="1" applyAlignment="1">
      <alignment vertical="center"/>
    </xf>
    <xf numFmtId="0" fontId="14" fillId="7" borderId="0" xfId="0" applyFont="1" applyFill="1" applyAlignment="1">
      <alignment horizontal="center" vertical="center"/>
    </xf>
    <xf numFmtId="0" fontId="5" fillId="7" borderId="0" xfId="0" applyFont="1" applyFill="1" applyAlignment="1">
      <alignment vertical="center"/>
    </xf>
    <xf numFmtId="0" fontId="14" fillId="0" borderId="0" xfId="0" applyFont="1" applyAlignment="1">
      <alignment horizontal="center" vertical="center"/>
    </xf>
    <xf numFmtId="0" fontId="94" fillId="7" borderId="0" xfId="0" applyFont="1" applyFill="1" applyAlignment="1">
      <alignment vertical="center"/>
    </xf>
    <xf numFmtId="0" fontId="3" fillId="7" borderId="8" xfId="0" applyFont="1" applyFill="1" applyBorder="1" applyAlignment="1">
      <alignment vertical="center"/>
    </xf>
    <xf numFmtId="0" fontId="95" fillId="7" borderId="0" xfId="0" applyFont="1" applyFill="1" applyAlignment="1">
      <alignment vertical="center"/>
    </xf>
    <xf numFmtId="0" fontId="21" fillId="0" borderId="0" xfId="5" applyFont="1" applyFill="1" applyAlignment="1">
      <alignment horizontal="center" vertical="center"/>
    </xf>
    <xf numFmtId="0" fontId="11" fillId="0" borderId="0" xfId="0" applyFont="1"/>
    <xf numFmtId="0" fontId="11" fillId="0" borderId="0" xfId="0" applyFont="1" applyAlignment="1">
      <alignment horizontal="left"/>
    </xf>
    <xf numFmtId="0" fontId="14" fillId="0" borderId="0" xfId="0" applyFont="1" applyAlignment="1">
      <alignment horizontal="center"/>
    </xf>
    <xf numFmtId="0" fontId="16" fillId="0" borderId="0" xfId="0" applyFont="1"/>
    <xf numFmtId="0" fontId="11" fillId="0" borderId="0" xfId="0" applyFont="1" applyAlignment="1">
      <alignment vertical="top"/>
    </xf>
    <xf numFmtId="0" fontId="96" fillId="0" borderId="0" xfId="0" applyFont="1"/>
    <xf numFmtId="0" fontId="16" fillId="0" borderId="0" xfId="0" applyFont="1" applyAlignment="1">
      <alignment horizontal="center"/>
    </xf>
    <xf numFmtId="0" fontId="16" fillId="0" borderId="0" xfId="0" quotePrefix="1" applyFont="1" applyAlignment="1">
      <alignment horizontal="center"/>
    </xf>
    <xf numFmtId="0" fontId="11" fillId="20" borderId="0" xfId="0" applyFont="1" applyFill="1" applyAlignment="1">
      <alignment horizontal="fill" vertical="center"/>
    </xf>
    <xf numFmtId="0" fontId="16" fillId="7" borderId="0" xfId="0" applyFont="1" applyFill="1"/>
    <xf numFmtId="0" fontId="16" fillId="7" borderId="38" xfId="0" applyFont="1" applyFill="1" applyBorder="1"/>
    <xf numFmtId="3" fontId="7" fillId="17" borderId="0" xfId="0" applyNumberFormat="1" applyFont="1" applyFill="1" applyAlignment="1">
      <alignment vertical="center"/>
    </xf>
    <xf numFmtId="0" fontId="13" fillId="7" borderId="0" xfId="0" applyFont="1" applyFill="1"/>
    <xf numFmtId="0" fontId="93" fillId="7" borderId="0" xfId="0" applyFont="1" applyFill="1" applyAlignment="1">
      <alignment horizontal="left" vertical="top"/>
    </xf>
    <xf numFmtId="9" fontId="21" fillId="7" borderId="0" xfId="0" applyNumberFormat="1" applyFont="1" applyFill="1"/>
    <xf numFmtId="0" fontId="97" fillId="7" borderId="0" xfId="0" applyFont="1" applyFill="1" applyAlignment="1">
      <alignment horizontal="left" vertical="top"/>
    </xf>
    <xf numFmtId="0" fontId="98" fillId="7" borderId="0" xfId="0" applyFont="1" applyFill="1" applyAlignment="1">
      <alignment horizontal="left" vertical="top"/>
    </xf>
    <xf numFmtId="0" fontId="99" fillId="7" borderId="0" xfId="0" applyFont="1" applyFill="1" applyAlignment="1">
      <alignment horizontal="left" vertical="top"/>
    </xf>
    <xf numFmtId="0" fontId="21" fillId="7" borderId="0" xfId="0" applyFont="1" applyFill="1" applyAlignment="1">
      <alignment horizontal="center" vertical="center"/>
    </xf>
    <xf numFmtId="0" fontId="100" fillId="7" borderId="0" xfId="0" applyFont="1" applyFill="1" applyAlignment="1">
      <alignment horizontal="left" vertical="top"/>
    </xf>
    <xf numFmtId="0" fontId="15" fillId="7" borderId="0" xfId="0" applyFont="1" applyFill="1" applyAlignment="1">
      <alignment horizontal="left" vertical="top"/>
    </xf>
    <xf numFmtId="0" fontId="18" fillId="7" borderId="0" xfId="0" applyFont="1" applyFill="1"/>
    <xf numFmtId="0" fontId="16" fillId="0" borderId="0" xfId="0" applyFont="1" applyAlignment="1">
      <alignment horizontal="left" vertical="center"/>
    </xf>
    <xf numFmtId="0" fontId="67" fillId="7" borderId="1" xfId="0" applyFont="1" applyFill="1" applyBorder="1"/>
    <xf numFmtId="0" fontId="3" fillId="7" borderId="21" xfId="0" applyFont="1" applyFill="1" applyBorder="1"/>
    <xf numFmtId="0" fontId="67" fillId="7" borderId="21" xfId="0" applyFont="1" applyFill="1" applyBorder="1"/>
    <xf numFmtId="0" fontId="67" fillId="7" borderId="0" xfId="0" applyFont="1" applyFill="1"/>
    <xf numFmtId="0" fontId="3" fillId="7" borderId="24" xfId="0" applyFont="1" applyFill="1" applyBorder="1"/>
    <xf numFmtId="0" fontId="67" fillId="7" borderId="24" xfId="0" applyFont="1" applyFill="1" applyBorder="1"/>
    <xf numFmtId="0" fontId="67" fillId="7" borderId="6" xfId="0" applyFont="1" applyFill="1" applyBorder="1"/>
    <xf numFmtId="0" fontId="67" fillId="0" borderId="0" xfId="0" applyFont="1"/>
    <xf numFmtId="0" fontId="3" fillId="0" borderId="0" xfId="0" applyFont="1" applyAlignment="1">
      <alignment horizontal="fill" vertical="center"/>
    </xf>
    <xf numFmtId="0" fontId="14" fillId="0" borderId="0" xfId="0" applyFont="1" applyAlignment="1">
      <alignment horizontal="left" vertical="center"/>
    </xf>
    <xf numFmtId="0" fontId="13" fillId="7" borderId="0" xfId="0" applyFont="1" applyFill="1" applyAlignment="1">
      <alignment horizontal="left" vertical="center"/>
    </xf>
    <xf numFmtId="0" fontId="92" fillId="2" borderId="0" xfId="0" applyFont="1" applyFill="1" applyAlignment="1">
      <alignment vertical="center"/>
    </xf>
    <xf numFmtId="3" fontId="20" fillId="0" borderId="0" xfId="0" applyNumberFormat="1" applyFont="1" applyAlignment="1">
      <alignment horizontal="right" vertical="center"/>
    </xf>
    <xf numFmtId="3" fontId="11" fillId="0" borderId="0" xfId="0" applyNumberFormat="1" applyFont="1" applyAlignment="1">
      <alignment horizontal="right" vertical="center"/>
    </xf>
    <xf numFmtId="3" fontId="16" fillId="0" borderId="0" xfId="0" applyNumberFormat="1" applyFont="1"/>
    <xf numFmtId="0" fontId="27" fillId="6" borderId="0" xfId="5" applyFont="1" applyFill="1" applyBorder="1" applyAlignment="1">
      <alignment vertical="center"/>
    </xf>
    <xf numFmtId="0" fontId="20" fillId="12" borderId="0" xfId="0" applyFont="1" applyFill="1"/>
    <xf numFmtId="0" fontId="102" fillId="6" borderId="0" xfId="5" applyFont="1" applyFill="1" applyBorder="1" applyAlignment="1">
      <alignment vertical="center"/>
    </xf>
    <xf numFmtId="0" fontId="91" fillId="6" borderId="0" xfId="0" applyFont="1" applyFill="1"/>
    <xf numFmtId="3" fontId="21" fillId="6" borderId="0" xfId="0" applyNumberFormat="1" applyFont="1" applyFill="1" applyAlignment="1">
      <alignment horizontal="right" vertical="center"/>
    </xf>
    <xf numFmtId="0" fontId="21" fillId="6" borderId="0" xfId="0" applyFont="1" applyFill="1" applyAlignment="1">
      <alignment horizontal="right" vertical="center"/>
    </xf>
    <xf numFmtId="0" fontId="15" fillId="7" borderId="0" xfId="0" applyFont="1" applyFill="1" applyAlignment="1">
      <alignment horizontal="left" vertical="center"/>
    </xf>
    <xf numFmtId="0" fontId="27" fillId="5" borderId="0" xfId="5" applyFont="1" applyFill="1" applyBorder="1" applyAlignment="1">
      <alignment vertical="center"/>
    </xf>
    <xf numFmtId="0" fontId="102" fillId="5" borderId="0" xfId="5" applyFont="1" applyFill="1" applyBorder="1" applyAlignment="1">
      <alignment vertical="center"/>
    </xf>
    <xf numFmtId="0" fontId="91" fillId="5" borderId="0" xfId="0" applyFont="1" applyFill="1"/>
    <xf numFmtId="0" fontId="16" fillId="7" borderId="1" xfId="0" applyFont="1" applyFill="1" applyBorder="1"/>
    <xf numFmtId="0" fontId="16" fillId="7" borderId="21" xfId="0" applyFont="1" applyFill="1" applyBorder="1"/>
    <xf numFmtId="0" fontId="3" fillId="0" borderId="26" xfId="0" applyFont="1" applyBorder="1"/>
    <xf numFmtId="0" fontId="16" fillId="7" borderId="6" xfId="0" applyFont="1" applyFill="1" applyBorder="1"/>
    <xf numFmtId="0" fontId="16" fillId="7" borderId="37" xfId="0" applyFont="1" applyFill="1" applyBorder="1"/>
    <xf numFmtId="0" fontId="15" fillId="7" borderId="0" xfId="0" applyFont="1" applyFill="1"/>
    <xf numFmtId="3" fontId="21" fillId="5" borderId="0" xfId="0" applyNumberFormat="1" applyFont="1" applyFill="1" applyAlignment="1">
      <alignment horizontal="right" vertical="center"/>
    </xf>
    <xf numFmtId="0" fontId="21" fillId="5" borderId="0" xfId="0" applyFont="1" applyFill="1" applyAlignment="1">
      <alignment horizontal="right" vertical="center"/>
    </xf>
    <xf numFmtId="3" fontId="7" fillId="0" borderId="0" xfId="0" applyNumberFormat="1" applyFont="1"/>
    <xf numFmtId="0" fontId="27" fillId="3" borderId="0" xfId="5" applyFont="1" applyFill="1" applyBorder="1" applyAlignment="1">
      <alignment vertical="center"/>
    </xf>
    <xf numFmtId="0" fontId="102" fillId="3" borderId="0" xfId="5" applyFont="1" applyFill="1" applyBorder="1" applyAlignment="1">
      <alignment vertical="center"/>
    </xf>
    <xf numFmtId="0" fontId="91" fillId="3" borderId="0" xfId="0" applyFont="1" applyFill="1"/>
    <xf numFmtId="0" fontId="16" fillId="7" borderId="39" xfId="0" applyFont="1" applyFill="1" applyBorder="1"/>
    <xf numFmtId="0" fontId="67" fillId="7" borderId="25" xfId="0" applyFont="1" applyFill="1" applyBorder="1"/>
    <xf numFmtId="3" fontId="21" fillId="3" borderId="0" xfId="0" applyNumberFormat="1" applyFont="1" applyFill="1" applyAlignment="1">
      <alignment horizontal="right" vertical="center"/>
    </xf>
    <xf numFmtId="0" fontId="21" fillId="3" borderId="0" xfId="0" applyFont="1" applyFill="1" applyAlignment="1">
      <alignment horizontal="right" vertical="center"/>
    </xf>
    <xf numFmtId="0" fontId="3" fillId="7" borderId="20" xfId="0" applyFont="1" applyFill="1" applyBorder="1"/>
    <xf numFmtId="0" fontId="67" fillId="7" borderId="20" xfId="0" applyFont="1" applyFill="1" applyBorder="1"/>
    <xf numFmtId="0" fontId="3" fillId="20" borderId="16" xfId="0" applyFont="1" applyFill="1" applyBorder="1"/>
    <xf numFmtId="0" fontId="4" fillId="0" borderId="0" xfId="0" applyFont="1"/>
    <xf numFmtId="0" fontId="27" fillId="17" borderId="0" xfId="5" applyFont="1" applyFill="1" applyBorder="1" applyAlignment="1">
      <alignment vertical="center"/>
    </xf>
    <xf numFmtId="3" fontId="7" fillId="7" borderId="6" xfId="0" applyNumberFormat="1" applyFont="1" applyFill="1" applyBorder="1" applyAlignment="1">
      <alignment horizontal="right" vertical="center"/>
    </xf>
    <xf numFmtId="0" fontId="102" fillId="17" borderId="0" xfId="5" applyFont="1" applyFill="1" applyBorder="1" applyAlignment="1">
      <alignment vertical="center"/>
    </xf>
    <xf numFmtId="0" fontId="91" fillId="17" borderId="0" xfId="0" applyFont="1" applyFill="1"/>
    <xf numFmtId="0" fontId="3" fillId="7" borderId="45" xfId="0" applyFont="1" applyFill="1" applyBorder="1"/>
    <xf numFmtId="3" fontId="21" fillId="17" borderId="0" xfId="0" applyNumberFormat="1" applyFont="1" applyFill="1" applyAlignment="1">
      <alignment horizontal="right" vertical="center"/>
    </xf>
    <xf numFmtId="0" fontId="21" fillId="17" borderId="0" xfId="0" applyFont="1" applyFill="1" applyAlignment="1">
      <alignment horizontal="right" vertical="center"/>
    </xf>
    <xf numFmtId="0" fontId="67" fillId="0" borderId="44" xfId="0" applyFont="1" applyBorder="1"/>
    <xf numFmtId="0" fontId="21" fillId="20" borderId="0" xfId="5" applyFont="1" applyFill="1" applyAlignment="1">
      <alignment horizontal="center" vertical="center"/>
    </xf>
    <xf numFmtId="0" fontId="7" fillId="20" borderId="0" xfId="0" applyFont="1" applyFill="1" applyAlignment="1">
      <alignment horizontal="left" vertical="center"/>
    </xf>
    <xf numFmtId="0" fontId="21" fillId="20" borderId="0" xfId="0" applyFont="1" applyFill="1" applyAlignment="1">
      <alignment horizontal="center" vertical="center"/>
    </xf>
    <xf numFmtId="0" fontId="21" fillId="7" borderId="0" xfId="5" applyFont="1" applyFill="1" applyAlignment="1">
      <alignment horizontal="center" vertical="center"/>
    </xf>
    <xf numFmtId="0" fontId="103" fillId="7" borderId="0" xfId="0" applyFont="1" applyFill="1" applyAlignment="1">
      <alignment vertical="top"/>
    </xf>
    <xf numFmtId="0" fontId="103" fillId="0" borderId="0" xfId="0" applyFont="1" applyAlignment="1">
      <alignment vertical="top"/>
    </xf>
    <xf numFmtId="0" fontId="21" fillId="0" borderId="0" xfId="5" applyFont="1" applyFill="1" applyBorder="1"/>
    <xf numFmtId="0" fontId="13" fillId="0" borderId="0" xfId="0" applyFont="1" applyAlignment="1">
      <alignment horizontal="left" vertical="center"/>
    </xf>
    <xf numFmtId="0" fontId="11" fillId="7" borderId="0" xfId="0" applyFont="1" applyFill="1" applyAlignment="1">
      <alignment vertical="top"/>
    </xf>
    <xf numFmtId="0" fontId="11" fillId="7" borderId="0" xfId="0" applyFont="1" applyFill="1" applyAlignment="1">
      <alignment horizontal="left"/>
    </xf>
    <xf numFmtId="0" fontId="14" fillId="7" borderId="0" xfId="0" applyFont="1" applyFill="1" applyAlignment="1">
      <alignment horizontal="center"/>
    </xf>
    <xf numFmtId="0" fontId="21" fillId="0" borderId="0" xfId="0" applyFont="1" applyAlignment="1">
      <alignment horizontal="center"/>
    </xf>
    <xf numFmtId="0" fontId="104" fillId="2" borderId="0" xfId="0" applyFont="1" applyFill="1" applyAlignment="1">
      <alignment vertical="center"/>
    </xf>
    <xf numFmtId="0" fontId="105" fillId="2" borderId="0" xfId="0" applyFont="1" applyFill="1" applyAlignment="1">
      <alignment vertical="center"/>
    </xf>
    <xf numFmtId="0" fontId="106" fillId="2" borderId="0" xfId="0" applyFont="1" applyFill="1" applyAlignment="1">
      <alignment horizontal="left" vertical="center"/>
    </xf>
    <xf numFmtId="0" fontId="106" fillId="2" borderId="0" xfId="0" applyFont="1" applyFill="1" applyAlignment="1">
      <alignment vertical="center"/>
    </xf>
    <xf numFmtId="0" fontId="80" fillId="2" borderId="0" xfId="0" applyFont="1" applyFill="1" applyAlignment="1">
      <alignment horizontal="left" vertical="center"/>
    </xf>
    <xf numFmtId="0" fontId="31" fillId="2" borderId="0" xfId="0" applyFont="1" applyFill="1" applyAlignment="1">
      <alignment horizontal="left" vertical="center"/>
    </xf>
    <xf numFmtId="0" fontId="68" fillId="2" borderId="0" xfId="0" applyFont="1" applyFill="1"/>
    <xf numFmtId="0" fontId="104" fillId="2" borderId="0" xfId="0" applyFont="1" applyFill="1" applyAlignment="1">
      <alignment horizontal="right"/>
    </xf>
    <xf numFmtId="0" fontId="107" fillId="2" borderId="0" xfId="0" applyFont="1" applyFill="1"/>
    <xf numFmtId="0" fontId="108" fillId="2" borderId="0" xfId="0" applyFont="1" applyFill="1" applyAlignment="1">
      <alignment vertical="center"/>
    </xf>
    <xf numFmtId="0" fontId="80" fillId="2" borderId="0" xfId="0" applyFont="1" applyFill="1" applyAlignment="1">
      <alignment horizontal="center" vertical="center"/>
    </xf>
    <xf numFmtId="0" fontId="109" fillId="2" borderId="0" xfId="0" applyFont="1" applyFill="1" applyAlignment="1">
      <alignment horizontal="left" vertical="center"/>
    </xf>
    <xf numFmtId="0" fontId="108" fillId="2" borderId="0" xfId="0" applyFont="1" applyFill="1" applyAlignment="1">
      <alignment horizontal="left" vertical="center"/>
    </xf>
    <xf numFmtId="3" fontId="31" fillId="2" borderId="0" xfId="0" applyNumberFormat="1" applyFont="1" applyFill="1" applyAlignment="1">
      <alignment horizontal="right" vertical="center"/>
    </xf>
    <xf numFmtId="0" fontId="75" fillId="7" borderId="0" xfId="0" applyFont="1" applyFill="1" applyAlignment="1">
      <alignment horizontal="center" vertical="center"/>
    </xf>
    <xf numFmtId="3" fontId="75" fillId="7" borderId="46" xfId="0" applyNumberFormat="1" applyFont="1" applyFill="1" applyBorder="1" applyAlignment="1">
      <alignment horizontal="center" vertical="center"/>
    </xf>
    <xf numFmtId="0" fontId="72" fillId="7" borderId="0" xfId="0" applyFont="1" applyFill="1"/>
    <xf numFmtId="4" fontId="73" fillId="7" borderId="0" xfId="0" applyNumberFormat="1" applyFont="1" applyFill="1"/>
    <xf numFmtId="2" fontId="73" fillId="7" borderId="0" xfId="0" applyNumberFormat="1" applyFont="1" applyFill="1" applyAlignment="1">
      <alignment vertical="center"/>
    </xf>
    <xf numFmtId="0" fontId="72" fillId="7" borderId="0" xfId="0" applyFont="1" applyFill="1" applyAlignment="1">
      <alignment vertical="center"/>
    </xf>
    <xf numFmtId="3" fontId="72" fillId="7" borderId="0" xfId="0" applyNumberFormat="1" applyFont="1" applyFill="1" applyAlignment="1">
      <alignment vertical="center"/>
    </xf>
    <xf numFmtId="0" fontId="73" fillId="7" borderId="0" xfId="0" applyFont="1" applyFill="1" applyAlignment="1">
      <alignment vertical="center"/>
    </xf>
    <xf numFmtId="0" fontId="74" fillId="0" borderId="0" xfId="0" applyFont="1" applyAlignment="1">
      <alignment vertical="center"/>
    </xf>
    <xf numFmtId="3" fontId="73" fillId="0" borderId="0" xfId="0" applyNumberFormat="1" applyFont="1" applyAlignment="1">
      <alignment vertical="center"/>
    </xf>
    <xf numFmtId="0" fontId="74" fillId="7" borderId="0" xfId="0" applyFont="1" applyFill="1" applyAlignment="1">
      <alignment vertical="center"/>
    </xf>
    <xf numFmtId="3" fontId="82" fillId="7" borderId="0" xfId="0" applyNumberFormat="1" applyFont="1" applyFill="1" applyAlignment="1">
      <alignment vertical="center"/>
    </xf>
    <xf numFmtId="0" fontId="83" fillId="7" borderId="0" xfId="0" applyFont="1" applyFill="1" applyAlignment="1">
      <alignment vertical="center"/>
    </xf>
    <xf numFmtId="3" fontId="83" fillId="7" borderId="0" xfId="0" applyNumberFormat="1" applyFont="1" applyFill="1" applyAlignment="1">
      <alignment vertical="center"/>
    </xf>
    <xf numFmtId="0" fontId="82" fillId="7" borderId="0" xfId="0" applyFont="1" applyFill="1" applyAlignment="1">
      <alignment vertical="center"/>
    </xf>
    <xf numFmtId="0" fontId="71" fillId="2" borderId="0" xfId="0" applyFont="1" applyFill="1" applyAlignment="1">
      <alignment horizontal="left" vertical="center"/>
    </xf>
    <xf numFmtId="0" fontId="29" fillId="2" borderId="0" xfId="0" applyFont="1" applyFill="1" applyAlignment="1">
      <alignment horizontal="right" vertical="center"/>
    </xf>
    <xf numFmtId="0" fontId="51" fillId="2" borderId="0" xfId="5" applyFont="1" applyFill="1" applyAlignment="1">
      <alignment horizontal="center" vertical="center"/>
    </xf>
    <xf numFmtId="0" fontId="48" fillId="0" borderId="0" xfId="0" applyFont="1" applyAlignment="1">
      <alignment horizontal="left" vertical="center"/>
    </xf>
    <xf numFmtId="0" fontId="51" fillId="17" borderId="0" xfId="5" applyFont="1" applyFill="1" applyAlignment="1">
      <alignment horizontal="center" vertical="center"/>
    </xf>
    <xf numFmtId="0" fontId="51" fillId="3" borderId="0" xfId="5" applyFont="1" applyFill="1" applyAlignment="1">
      <alignment horizontal="center" vertical="center"/>
    </xf>
    <xf numFmtId="0" fontId="51" fillId="5" borderId="0" xfId="5" applyFont="1" applyFill="1" applyAlignment="1">
      <alignment horizontal="center" vertical="center"/>
    </xf>
    <xf numFmtId="0" fontId="51" fillId="6" borderId="0" xfId="5" applyFont="1" applyFill="1" applyAlignment="1">
      <alignment horizontal="center" vertical="center"/>
    </xf>
    <xf numFmtId="3" fontId="21" fillId="2" borderId="1" xfId="0" applyNumberFormat="1" applyFont="1" applyFill="1" applyBorder="1"/>
    <xf numFmtId="2" fontId="7" fillId="4" borderId="8" xfId="0" applyNumberFormat="1" applyFont="1" applyFill="1" applyBorder="1" applyAlignment="1">
      <alignment vertical="center"/>
    </xf>
    <xf numFmtId="168" fontId="7" fillId="4" borderId="8" xfId="0" applyNumberFormat="1" applyFont="1" applyFill="1" applyBorder="1" applyAlignment="1">
      <alignment vertical="center"/>
    </xf>
    <xf numFmtId="0" fontId="46" fillId="0" borderId="0" xfId="5" applyFont="1" applyFill="1" applyAlignment="1">
      <alignment vertical="center"/>
    </xf>
    <xf numFmtId="3" fontId="67" fillId="7" borderId="1" xfId="0" applyNumberFormat="1" applyFont="1" applyFill="1" applyBorder="1"/>
    <xf numFmtId="0" fontId="11" fillId="20" borderId="0" xfId="0" applyFont="1" applyFill="1" applyAlignment="1">
      <alignment vertical="top"/>
    </xf>
    <xf numFmtId="0" fontId="21" fillId="7" borderId="0" xfId="0" applyFont="1" applyFill="1" applyAlignment="1">
      <alignment vertical="center"/>
    </xf>
    <xf numFmtId="0" fontId="21" fillId="2" borderId="1" xfId="0" applyFont="1" applyFill="1" applyBorder="1" applyAlignment="1">
      <alignment horizontal="left" vertical="center"/>
    </xf>
    <xf numFmtId="4" fontId="7" fillId="4" borderId="10" xfId="0" applyNumberFormat="1" applyFont="1" applyFill="1" applyBorder="1" applyAlignment="1">
      <alignment vertical="center"/>
    </xf>
    <xf numFmtId="49" fontId="21" fillId="2" borderId="1" xfId="0" applyNumberFormat="1" applyFont="1" applyFill="1" applyBorder="1" applyAlignment="1">
      <alignment horizontal="left" vertical="center"/>
    </xf>
    <xf numFmtId="0" fontId="11" fillId="20" borderId="0" xfId="0" applyFont="1" applyFill="1" applyAlignment="1">
      <alignment horizontal="center" vertical="center"/>
    </xf>
    <xf numFmtId="0" fontId="11" fillId="20" borderId="0" xfId="0" applyFont="1" applyFill="1" applyAlignment="1">
      <alignment horizontal="right" vertical="center"/>
    </xf>
    <xf numFmtId="0" fontId="101" fillId="20" borderId="0" xfId="0" applyFont="1" applyFill="1" applyAlignment="1">
      <alignment vertical="center"/>
    </xf>
    <xf numFmtId="0" fontId="9" fillId="7" borderId="50" xfId="0" applyFont="1" applyFill="1" applyBorder="1"/>
    <xf numFmtId="0" fontId="21" fillId="2" borderId="50" xfId="0" applyFont="1" applyFill="1" applyBorder="1" applyAlignment="1">
      <alignment horizontal="right"/>
    </xf>
    <xf numFmtId="3" fontId="21" fillId="2" borderId="1" xfId="3" applyNumberFormat="1" applyFont="1" applyFill="1" applyBorder="1" applyAlignment="1">
      <alignment horizontal="right" vertical="center"/>
    </xf>
    <xf numFmtId="0" fontId="29" fillId="20" borderId="16" xfId="0" applyFont="1" applyFill="1" applyBorder="1" applyAlignment="1">
      <alignment horizontal="left" vertical="center"/>
    </xf>
    <xf numFmtId="0" fontId="3" fillId="7" borderId="5" xfId="0" applyFont="1" applyFill="1" applyBorder="1"/>
    <xf numFmtId="0" fontId="67" fillId="7" borderId="5" xfId="0" applyFont="1" applyFill="1" applyBorder="1"/>
    <xf numFmtId="0" fontId="3" fillId="7" borderId="52" xfId="0" applyFont="1" applyFill="1" applyBorder="1"/>
    <xf numFmtId="0" fontId="21" fillId="7" borderId="0" xfId="0" applyFont="1" applyFill="1" applyAlignment="1">
      <alignment vertical="top"/>
    </xf>
    <xf numFmtId="3" fontId="67" fillId="7" borderId="0" xfId="0" applyNumberFormat="1" applyFont="1" applyFill="1" applyAlignment="1">
      <alignment vertical="center"/>
    </xf>
    <xf numFmtId="4" fontId="67" fillId="7" borderId="0" xfId="0" applyNumberFormat="1" applyFont="1" applyFill="1" applyAlignment="1">
      <alignment vertical="center"/>
    </xf>
    <xf numFmtId="1" fontId="21" fillId="2" borderId="6" xfId="0" applyNumberFormat="1" applyFont="1" applyFill="1" applyBorder="1" applyAlignment="1">
      <alignment vertical="center"/>
    </xf>
    <xf numFmtId="0" fontId="67" fillId="7" borderId="0" xfId="0" applyFont="1" applyFill="1" applyAlignment="1">
      <alignment horizontal="right" vertical="center"/>
    </xf>
    <xf numFmtId="0" fontId="21" fillId="2" borderId="1" xfId="0" applyFont="1" applyFill="1" applyBorder="1"/>
    <xf numFmtId="0" fontId="21" fillId="2" borderId="1" xfId="0" applyFont="1" applyFill="1" applyBorder="1" applyAlignment="1">
      <alignment horizontal="right"/>
    </xf>
    <xf numFmtId="2" fontId="7" fillId="4" borderId="8" xfId="0" applyNumberFormat="1" applyFont="1" applyFill="1" applyBorder="1" applyAlignment="1">
      <alignment horizontal="right" vertical="center"/>
    </xf>
    <xf numFmtId="2" fontId="7" fillId="7" borderId="8" xfId="0" applyNumberFormat="1" applyFont="1" applyFill="1" applyBorder="1" applyAlignment="1">
      <alignment horizontal="right" vertical="center"/>
    </xf>
    <xf numFmtId="0" fontId="62" fillId="7" borderId="0" xfId="0" applyFont="1" applyFill="1" applyAlignment="1">
      <alignment vertical="center"/>
    </xf>
    <xf numFmtId="0" fontId="30" fillId="20" borderId="0" xfId="0" applyFont="1" applyFill="1" applyAlignment="1">
      <alignment vertical="top"/>
    </xf>
    <xf numFmtId="0" fontId="30" fillId="7" borderId="0" xfId="0" applyFont="1" applyFill="1" applyAlignment="1">
      <alignment vertical="top"/>
    </xf>
    <xf numFmtId="0" fontId="21" fillId="9" borderId="7" xfId="0" applyFont="1" applyFill="1" applyBorder="1" applyAlignment="1">
      <alignment horizontal="center"/>
    </xf>
    <xf numFmtId="0" fontId="7" fillId="7" borderId="0" xfId="0" applyFont="1" applyFill="1" applyAlignment="1">
      <alignment horizontal="center" vertical="top"/>
    </xf>
    <xf numFmtId="3" fontId="21" fillId="2" borderId="2" xfId="0" applyNumberFormat="1" applyFont="1" applyFill="1" applyBorder="1"/>
    <xf numFmtId="0" fontId="3" fillId="4" borderId="0" xfId="0" applyFont="1" applyFill="1"/>
    <xf numFmtId="0" fontId="78" fillId="4" borderId="0" xfId="0" applyFont="1" applyFill="1" applyAlignment="1">
      <alignment horizontal="left" vertical="center"/>
    </xf>
    <xf numFmtId="0" fontId="8" fillId="7" borderId="0" xfId="0" applyFont="1" applyFill="1" applyAlignment="1">
      <alignment horizontal="center" vertical="center"/>
    </xf>
    <xf numFmtId="0" fontId="8" fillId="7" borderId="0" xfId="0" applyFont="1" applyFill="1" applyAlignment="1">
      <alignment horizontal="right" vertical="center"/>
    </xf>
    <xf numFmtId="3" fontId="7" fillId="0" borderId="0" xfId="0" applyNumberFormat="1" applyFont="1" applyAlignment="1">
      <alignment horizontal="right" vertical="center"/>
    </xf>
    <xf numFmtId="0" fontId="14" fillId="4" borderId="0" xfId="0" applyFont="1" applyFill="1" applyAlignment="1">
      <alignment horizontal="left" vertical="center"/>
    </xf>
    <xf numFmtId="0" fontId="3" fillId="4" borderId="0" xfId="0" applyFont="1" applyFill="1" applyAlignment="1">
      <alignment vertical="center"/>
    </xf>
    <xf numFmtId="0" fontId="30" fillId="0" borderId="0" xfId="0" applyFont="1" applyAlignment="1">
      <alignment vertical="top"/>
    </xf>
    <xf numFmtId="0" fontId="30" fillId="0" borderId="0" xfId="0" applyFont="1" applyAlignment="1">
      <alignment horizontal="left" vertical="top"/>
    </xf>
    <xf numFmtId="0" fontId="21" fillId="17" borderId="0" xfId="0" applyFont="1" applyFill="1" applyAlignment="1">
      <alignment vertical="center"/>
    </xf>
    <xf numFmtId="0" fontId="21" fillId="2" borderId="0" xfId="0" applyFont="1" applyFill="1" applyAlignment="1">
      <alignment vertical="center"/>
    </xf>
    <xf numFmtId="0" fontId="21" fillId="3" borderId="0" xfId="0" applyFont="1" applyFill="1" applyAlignment="1">
      <alignment vertical="center"/>
    </xf>
    <xf numFmtId="0" fontId="21" fillId="5" borderId="0" xfId="0" applyFont="1" applyFill="1" applyAlignment="1">
      <alignment vertical="center"/>
    </xf>
    <xf numFmtId="0" fontId="21" fillId="6" borderId="0" xfId="0" applyFont="1" applyFill="1" applyAlignment="1">
      <alignment vertical="center"/>
    </xf>
    <xf numFmtId="0" fontId="110" fillId="7" borderId="0" xfId="0" applyFont="1" applyFill="1"/>
    <xf numFmtId="3" fontId="111" fillId="20" borderId="1" xfId="0" applyNumberFormat="1" applyFont="1" applyFill="1" applyBorder="1"/>
    <xf numFmtId="0" fontId="110" fillId="20" borderId="0" xfId="0" applyFont="1" applyFill="1"/>
    <xf numFmtId="3" fontId="112" fillId="20" borderId="1" xfId="0" applyNumberFormat="1" applyFont="1" applyFill="1" applyBorder="1"/>
    <xf numFmtId="3" fontId="113" fillId="20" borderId="1" xfId="0" applyNumberFormat="1" applyFont="1" applyFill="1" applyBorder="1"/>
    <xf numFmtId="3" fontId="114" fillId="20" borderId="1" xfId="0" applyNumberFormat="1" applyFont="1" applyFill="1" applyBorder="1"/>
    <xf numFmtId="3" fontId="82" fillId="20" borderId="1" xfId="0" applyNumberFormat="1" applyFont="1" applyFill="1" applyBorder="1" applyAlignment="1">
      <alignment horizontal="right"/>
    </xf>
    <xf numFmtId="3" fontId="77" fillId="2" borderId="49" xfId="0" applyNumberFormat="1" applyFont="1" applyFill="1" applyBorder="1" applyAlignment="1">
      <alignment horizontal="right" vertical="center"/>
    </xf>
    <xf numFmtId="3" fontId="114" fillId="7" borderId="38" xfId="0" applyNumberFormat="1" applyFont="1" applyFill="1" applyBorder="1"/>
    <xf numFmtId="0" fontId="82" fillId="7" borderId="38" xfId="0" applyFont="1" applyFill="1" applyBorder="1"/>
    <xf numFmtId="0" fontId="74" fillId="7" borderId="38" xfId="0" applyFont="1" applyFill="1" applyBorder="1"/>
    <xf numFmtId="0" fontId="74" fillId="20" borderId="0" xfId="0" applyFont="1" applyFill="1"/>
    <xf numFmtId="0" fontId="110" fillId="7" borderId="38" xfId="0" applyFont="1" applyFill="1" applyBorder="1"/>
    <xf numFmtId="0" fontId="30" fillId="0" borderId="0" xfId="0" applyFont="1" applyAlignment="1">
      <alignment vertical="center"/>
    </xf>
    <xf numFmtId="0" fontId="78" fillId="0" borderId="0" xfId="0" applyFont="1" applyAlignment="1">
      <alignment vertical="center"/>
    </xf>
    <xf numFmtId="0" fontId="78" fillId="0" borderId="0" xfId="0" applyFont="1"/>
    <xf numFmtId="165" fontId="21" fillId="0" borderId="0" xfId="0" applyNumberFormat="1" applyFont="1" applyAlignment="1">
      <alignment horizontal="right" vertical="center"/>
    </xf>
    <xf numFmtId="2" fontId="7" fillId="0" borderId="0" xfId="0" applyNumberFormat="1" applyFont="1" applyAlignment="1">
      <alignment horizontal="right" vertical="center"/>
    </xf>
    <xf numFmtId="168" fontId="7" fillId="0" borderId="0" xfId="0" applyNumberFormat="1" applyFont="1" applyAlignment="1">
      <alignment vertical="center"/>
    </xf>
    <xf numFmtId="0" fontId="93" fillId="0" borderId="0" xfId="0" applyFont="1" applyAlignment="1">
      <alignment vertical="center"/>
    </xf>
    <xf numFmtId="165" fontId="7" fillId="0" borderId="0" xfId="0" applyNumberFormat="1" applyFont="1" applyAlignment="1">
      <alignment vertical="center"/>
    </xf>
    <xf numFmtId="0" fontId="94" fillId="0" borderId="0" xfId="0" applyFont="1" applyAlignment="1">
      <alignment vertical="center"/>
    </xf>
    <xf numFmtId="2" fontId="9" fillId="0" borderId="0" xfId="0" applyNumberFormat="1" applyFont="1" applyAlignment="1">
      <alignment horizontal="right" vertical="center"/>
    </xf>
    <xf numFmtId="2" fontId="62" fillId="0" borderId="0" xfId="5" applyNumberFormat="1" applyFont="1" applyFill="1" applyBorder="1" applyAlignment="1">
      <alignment horizontal="right" vertical="center"/>
    </xf>
    <xf numFmtId="4" fontId="7" fillId="0" borderId="0" xfId="0" applyNumberFormat="1" applyFont="1" applyAlignment="1">
      <alignment vertical="center"/>
    </xf>
    <xf numFmtId="0" fontId="95" fillId="0" borderId="0" xfId="0" applyFont="1" applyAlignment="1">
      <alignment vertical="center"/>
    </xf>
    <xf numFmtId="2" fontId="21" fillId="0" borderId="0" xfId="0" applyNumberFormat="1" applyFont="1" applyAlignment="1">
      <alignment vertical="center"/>
    </xf>
    <xf numFmtId="1" fontId="3" fillId="0" borderId="0" xfId="0" applyNumberFormat="1" applyFont="1" applyAlignment="1">
      <alignment vertical="center"/>
    </xf>
    <xf numFmtId="165" fontId="21" fillId="0" borderId="0" xfId="0" applyNumberFormat="1" applyFont="1" applyAlignment="1">
      <alignment vertical="center"/>
    </xf>
    <xf numFmtId="0" fontId="30" fillId="0" borderId="0" xfId="0" applyFont="1" applyAlignment="1">
      <alignment vertical="top" wrapText="1"/>
    </xf>
    <xf numFmtId="0" fontId="30" fillId="0" borderId="0" xfId="0" applyFont="1" applyAlignment="1">
      <alignment horizontal="left" vertical="center"/>
    </xf>
    <xf numFmtId="0" fontId="51" fillId="0" borderId="0" xfId="0" applyFont="1" applyAlignment="1">
      <alignment vertical="center"/>
    </xf>
    <xf numFmtId="0" fontId="11" fillId="0" borderId="0" xfId="0" applyFont="1" applyAlignment="1">
      <alignment vertical="top" wrapText="1"/>
    </xf>
    <xf numFmtId="0" fontId="1" fillId="0" borderId="0" xfId="0" applyFont="1" applyAlignment="1">
      <alignment vertical="center"/>
    </xf>
    <xf numFmtId="0" fontId="38" fillId="0" borderId="0" xfId="0" applyFont="1" applyAlignment="1">
      <alignment horizontal="center" vertical="center"/>
    </xf>
    <xf numFmtId="0" fontId="79" fillId="0" borderId="0" xfId="0" applyFont="1" applyAlignment="1">
      <alignment vertical="center"/>
    </xf>
    <xf numFmtId="0" fontId="1" fillId="0" borderId="0" xfId="0" applyFont="1"/>
    <xf numFmtId="0" fontId="11" fillId="0" borderId="0" xfId="0" applyFont="1" applyAlignment="1">
      <alignment horizontal="center" vertical="center"/>
    </xf>
    <xf numFmtId="0" fontId="82" fillId="7" borderId="48" xfId="0" applyFont="1" applyFill="1" applyBorder="1"/>
    <xf numFmtId="3" fontId="72" fillId="7" borderId="0" xfId="0" applyNumberFormat="1" applyFont="1" applyFill="1" applyAlignment="1">
      <alignment horizontal="right" vertical="center"/>
    </xf>
    <xf numFmtId="168" fontId="75" fillId="7" borderId="0" xfId="0" applyNumberFormat="1" applyFont="1" applyFill="1" applyAlignment="1">
      <alignment vertical="center"/>
    </xf>
    <xf numFmtId="0" fontId="75" fillId="7" borderId="0" xfId="0" applyFont="1" applyFill="1" applyAlignment="1">
      <alignment vertical="center"/>
    </xf>
    <xf numFmtId="0" fontId="72" fillId="7" borderId="0" xfId="0" applyFont="1" applyFill="1" applyAlignment="1">
      <alignment horizontal="right" vertical="center"/>
    </xf>
    <xf numFmtId="0" fontId="73" fillId="7" borderId="0" xfId="0" applyFont="1" applyFill="1" applyAlignment="1">
      <alignment horizontal="right" vertical="center"/>
    </xf>
    <xf numFmtId="0" fontId="73" fillId="7" borderId="0" xfId="0" applyFont="1" applyFill="1"/>
    <xf numFmtId="2" fontId="73" fillId="7" borderId="0" xfId="0" applyNumberFormat="1" applyFont="1" applyFill="1"/>
    <xf numFmtId="0" fontId="3" fillId="7" borderId="3" xfId="0" applyFont="1" applyFill="1" applyBorder="1" applyAlignment="1">
      <alignment vertical="center"/>
    </xf>
    <xf numFmtId="0" fontId="16" fillId="20" borderId="0" xfId="0" applyFont="1" applyFill="1"/>
    <xf numFmtId="0" fontId="7" fillId="0" borderId="0" xfId="0" applyFont="1" applyAlignment="1">
      <alignment horizontal="right"/>
    </xf>
    <xf numFmtId="0" fontId="11" fillId="0" borderId="0" xfId="0" applyFont="1" applyAlignment="1">
      <alignment horizontal="left" vertical="top"/>
    </xf>
    <xf numFmtId="0" fontId="7" fillId="0" borderId="0" xfId="0" applyFont="1" applyAlignment="1">
      <alignment horizontal="left"/>
    </xf>
    <xf numFmtId="0" fontId="59" fillId="2" borderId="0" xfId="0" applyFont="1" applyFill="1" applyAlignment="1">
      <alignment vertical="center"/>
    </xf>
    <xf numFmtId="0" fontId="49" fillId="2" borderId="0" xfId="0" applyFont="1" applyFill="1" applyAlignment="1">
      <alignment horizontal="left" vertical="center"/>
    </xf>
    <xf numFmtId="0" fontId="21" fillId="12" borderId="0" xfId="0" applyFont="1" applyFill="1" applyAlignment="1">
      <alignment horizontal="center" vertical="center"/>
    </xf>
    <xf numFmtId="0" fontId="103" fillId="12" borderId="0" xfId="0" applyFont="1" applyFill="1" applyAlignment="1">
      <alignment vertical="top"/>
    </xf>
    <xf numFmtId="9" fontId="11" fillId="12" borderId="0" xfId="0" applyNumberFormat="1" applyFont="1" applyFill="1" applyAlignment="1">
      <alignment horizontal="right"/>
    </xf>
    <xf numFmtId="0" fontId="21" fillId="12" borderId="0" xfId="5" applyFont="1" applyFill="1" applyAlignment="1">
      <alignment horizontal="center" vertical="center"/>
    </xf>
    <xf numFmtId="3" fontId="11" fillId="20" borderId="0" xfId="0" applyNumberFormat="1" applyFont="1" applyFill="1" applyAlignment="1">
      <alignment horizontal="left" vertical="center"/>
    </xf>
    <xf numFmtId="0" fontId="116" fillId="7" borderId="0" xfId="0" applyFont="1" applyFill="1"/>
    <xf numFmtId="0" fontId="118" fillId="7" borderId="0" xfId="0" applyFont="1" applyFill="1"/>
    <xf numFmtId="0" fontId="117" fillId="7" borderId="0" xfId="0" applyFont="1" applyFill="1"/>
    <xf numFmtId="0" fontId="9" fillId="7" borderId="0" xfId="0" applyFont="1" applyFill="1" applyAlignment="1">
      <alignment horizontal="center" vertical="center"/>
    </xf>
    <xf numFmtId="3" fontId="116" fillId="7" borderId="0" xfId="0" applyNumberFormat="1" applyFont="1" applyFill="1" applyAlignment="1">
      <alignment vertical="center"/>
    </xf>
    <xf numFmtId="3" fontId="118" fillId="7" borderId="0" xfId="0" applyNumberFormat="1" applyFont="1" applyFill="1" applyAlignment="1">
      <alignment vertical="center"/>
    </xf>
    <xf numFmtId="3" fontId="5" fillId="7" borderId="0" xfId="0" applyNumberFormat="1" applyFont="1" applyFill="1" applyAlignment="1">
      <alignment vertical="center"/>
    </xf>
    <xf numFmtId="3" fontId="117" fillId="7" borderId="0" xfId="0" applyNumberFormat="1" applyFont="1" applyFill="1" applyAlignment="1">
      <alignment vertical="center"/>
    </xf>
    <xf numFmtId="0" fontId="9" fillId="0" borderId="0" xfId="0" applyFont="1" applyAlignment="1">
      <alignment horizontal="center" vertical="center"/>
    </xf>
    <xf numFmtId="3" fontId="11" fillId="7" borderId="0" xfId="0" applyNumberFormat="1" applyFont="1" applyFill="1"/>
    <xf numFmtId="0" fontId="7" fillId="7" borderId="0" xfId="0" applyFont="1" applyFill="1" applyAlignment="1">
      <alignment horizontal="right"/>
    </xf>
    <xf numFmtId="0" fontId="11" fillId="7" borderId="0" xfId="0" applyFont="1" applyFill="1" applyAlignment="1">
      <alignment horizontal="center"/>
    </xf>
    <xf numFmtId="0" fontId="40" fillId="7" borderId="0" xfId="5" applyFont="1" applyFill="1" applyAlignment="1">
      <alignment vertical="top"/>
    </xf>
    <xf numFmtId="3" fontId="67" fillId="0" borderId="0" xfId="0" applyNumberFormat="1" applyFont="1" applyAlignment="1">
      <alignment horizontal="center" vertical="center"/>
    </xf>
    <xf numFmtId="9" fontId="14" fillId="0" borderId="0" xfId="4" applyFont="1" applyFill="1" applyBorder="1" applyAlignment="1">
      <alignment vertical="center"/>
    </xf>
    <xf numFmtId="3" fontId="14" fillId="0" borderId="0" xfId="0" applyNumberFormat="1" applyFont="1"/>
    <xf numFmtId="0" fontId="55" fillId="0" borderId="0" xfId="0" applyFont="1" applyAlignment="1">
      <alignment vertical="center"/>
    </xf>
    <xf numFmtId="0" fontId="67" fillId="0" borderId="0" xfId="0" applyFont="1" applyAlignment="1">
      <alignment horizontal="center" vertical="center"/>
    </xf>
    <xf numFmtId="165" fontId="67" fillId="0" borderId="0" xfId="0" applyNumberFormat="1" applyFont="1" applyAlignment="1">
      <alignment vertical="center"/>
    </xf>
    <xf numFmtId="3" fontId="13" fillId="0" borderId="0" xfId="0" applyNumberFormat="1" applyFont="1" applyAlignment="1">
      <alignment horizontal="left" vertical="center"/>
    </xf>
    <xf numFmtId="165" fontId="14" fillId="0" borderId="0" xfId="0" applyNumberFormat="1" applyFont="1" applyAlignment="1">
      <alignment horizontal="right" vertical="center"/>
    </xf>
    <xf numFmtId="165" fontId="67" fillId="0" borderId="0" xfId="0" applyNumberFormat="1" applyFont="1" applyAlignment="1">
      <alignment horizontal="right" vertical="center"/>
    </xf>
    <xf numFmtId="0" fontId="21" fillId="0" borderId="0" xfId="0" applyFont="1" applyAlignment="1">
      <alignment horizontal="right"/>
    </xf>
    <xf numFmtId="3" fontId="21" fillId="0" borderId="0" xfId="0" applyNumberFormat="1" applyFont="1" applyAlignment="1">
      <alignment vertical="center"/>
    </xf>
    <xf numFmtId="0" fontId="3" fillId="13" borderId="0" xfId="0" applyFont="1" applyFill="1"/>
    <xf numFmtId="0" fontId="7" fillId="0" borderId="53" xfId="0" applyFont="1" applyBorder="1" applyAlignment="1">
      <alignment vertical="center"/>
    </xf>
    <xf numFmtId="0" fontId="21" fillId="0" borderId="54" xfId="0" applyFont="1" applyBorder="1" applyAlignment="1">
      <alignment vertical="center"/>
    </xf>
    <xf numFmtId="0" fontId="3" fillId="24" borderId="13" xfId="0" applyFont="1" applyFill="1" applyBorder="1"/>
    <xf numFmtId="0" fontId="7" fillId="7" borderId="0" xfId="0" applyFont="1" applyFill="1" applyAlignment="1">
      <alignment horizontal="center"/>
    </xf>
    <xf numFmtId="0" fontId="13" fillId="7" borderId="0" xfId="0" applyFont="1" applyFill="1" applyAlignment="1">
      <alignment vertical="top"/>
    </xf>
    <xf numFmtId="1" fontId="21" fillId="25" borderId="6" xfId="0" applyNumberFormat="1" applyFont="1" applyFill="1" applyBorder="1" applyAlignment="1">
      <alignment vertical="center"/>
    </xf>
    <xf numFmtId="1" fontId="21" fillId="25" borderId="17" xfId="0" applyNumberFormat="1" applyFont="1" applyFill="1" applyBorder="1" applyAlignment="1">
      <alignment vertical="center"/>
    </xf>
    <xf numFmtId="0" fontId="21" fillId="25" borderId="2" xfId="0" applyFont="1" applyFill="1" applyBorder="1" applyAlignment="1">
      <alignment vertical="center"/>
    </xf>
    <xf numFmtId="0" fontId="21" fillId="25" borderId="1" xfId="0" applyFont="1" applyFill="1" applyBorder="1" applyAlignment="1">
      <alignment horizontal="right"/>
    </xf>
    <xf numFmtId="3" fontId="21" fillId="25" borderId="1" xfId="0" applyNumberFormat="1" applyFont="1" applyFill="1" applyBorder="1" applyAlignment="1">
      <alignment vertical="center"/>
    </xf>
    <xf numFmtId="0" fontId="21" fillId="25" borderId="1" xfId="0" applyFont="1" applyFill="1" applyBorder="1" applyAlignment="1">
      <alignment vertical="center"/>
    </xf>
    <xf numFmtId="1" fontId="21" fillId="25" borderId="6" xfId="0" applyNumberFormat="1" applyFont="1" applyFill="1" applyBorder="1" applyAlignment="1">
      <alignment horizontal="right" vertical="center"/>
    </xf>
    <xf numFmtId="1" fontId="21" fillId="25" borderId="1" xfId="0" applyNumberFormat="1" applyFont="1" applyFill="1" applyBorder="1" applyAlignment="1">
      <alignment horizontal="right" vertical="center"/>
    </xf>
    <xf numFmtId="0" fontId="21" fillId="25" borderId="6" xfId="0" applyFont="1" applyFill="1" applyBorder="1" applyAlignment="1">
      <alignment vertical="center"/>
    </xf>
    <xf numFmtId="0" fontId="21" fillId="25" borderId="35" xfId="0" applyFont="1" applyFill="1" applyBorder="1" applyAlignment="1">
      <alignment vertical="center"/>
    </xf>
    <xf numFmtId="0" fontId="21" fillId="25" borderId="1" xfId="0" applyFont="1" applyFill="1" applyBorder="1" applyAlignment="1">
      <alignment vertical="center" shrinkToFit="1"/>
    </xf>
    <xf numFmtId="0" fontId="51" fillId="13" borderId="0" xfId="5" applyFont="1" applyFill="1" applyAlignment="1">
      <alignment horizontal="center" vertical="center"/>
    </xf>
    <xf numFmtId="0" fontId="21" fillId="13" borderId="0" xfId="0" applyFont="1" applyFill="1" applyAlignment="1">
      <alignment horizontal="left" vertical="center"/>
    </xf>
    <xf numFmtId="0" fontId="21" fillId="13" borderId="0" xfId="0" applyFont="1" applyFill="1" applyAlignment="1">
      <alignment vertical="center"/>
    </xf>
    <xf numFmtId="0" fontId="20" fillId="13" borderId="0" xfId="0" applyFont="1" applyFill="1"/>
    <xf numFmtId="0" fontId="19" fillId="13" borderId="0" xfId="0" applyFont="1" applyFill="1" applyAlignment="1">
      <alignment horizontal="right"/>
    </xf>
    <xf numFmtId="0" fontId="19" fillId="13" borderId="0" xfId="0" applyFont="1" applyFill="1" applyAlignment="1">
      <alignment vertical="center"/>
    </xf>
    <xf numFmtId="0" fontId="27" fillId="13" borderId="0" xfId="5" applyFont="1" applyFill="1" applyBorder="1" applyAlignment="1">
      <alignment vertical="center"/>
    </xf>
    <xf numFmtId="0" fontId="50" fillId="13" borderId="0" xfId="0" applyFont="1" applyFill="1" applyAlignment="1">
      <alignment vertical="center"/>
    </xf>
    <xf numFmtId="0" fontId="102" fillId="13" borderId="0" xfId="5" applyFont="1" applyFill="1" applyBorder="1" applyAlignment="1">
      <alignment vertical="center"/>
    </xf>
    <xf numFmtId="0" fontId="91" fillId="13" borderId="0" xfId="0" applyFont="1" applyFill="1"/>
    <xf numFmtId="0" fontId="39" fillId="13" borderId="0" xfId="0" applyFont="1" applyFill="1" applyAlignment="1">
      <alignment horizontal="center" vertical="center"/>
    </xf>
    <xf numFmtId="0" fontId="50" fillId="13" borderId="0" xfId="0" applyFont="1" applyFill="1" applyAlignment="1">
      <alignment horizontal="left" vertical="center"/>
    </xf>
    <xf numFmtId="0" fontId="9" fillId="13" borderId="0" xfId="0" applyFont="1" applyFill="1" applyAlignment="1">
      <alignment vertical="center"/>
    </xf>
    <xf numFmtId="3" fontId="21" fillId="13" borderId="0" xfId="0" applyNumberFormat="1" applyFont="1" applyFill="1" applyAlignment="1">
      <alignment horizontal="right" vertical="center"/>
    </xf>
    <xf numFmtId="0" fontId="21" fillId="13" borderId="0" xfId="0" applyFont="1" applyFill="1" applyAlignment="1">
      <alignment horizontal="right" vertical="center"/>
    </xf>
    <xf numFmtId="3" fontId="75" fillId="20" borderId="6" xfId="0" applyNumberFormat="1" applyFont="1" applyFill="1" applyBorder="1" applyAlignment="1">
      <alignment horizontal="right" vertical="center"/>
    </xf>
    <xf numFmtId="0" fontId="3" fillId="7" borderId="46" xfId="0" applyFont="1" applyFill="1" applyBorder="1"/>
    <xf numFmtId="3" fontId="75" fillId="20" borderId="2" xfId="0" applyNumberFormat="1" applyFont="1" applyFill="1" applyBorder="1" applyAlignment="1">
      <alignment horizontal="right" vertical="center"/>
    </xf>
    <xf numFmtId="3" fontId="72" fillId="7" borderId="0" xfId="0" applyNumberFormat="1" applyFont="1" applyFill="1" applyAlignment="1">
      <alignment horizontal="center"/>
    </xf>
    <xf numFmtId="3" fontId="83" fillId="7" borderId="0" xfId="0" applyNumberFormat="1" applyFont="1" applyFill="1" applyAlignment="1">
      <alignment horizontal="right" vertical="center"/>
    </xf>
    <xf numFmtId="0" fontId="82" fillId="7" borderId="0" xfId="0" applyFont="1" applyFill="1"/>
    <xf numFmtId="3" fontId="83" fillId="7" borderId="48" xfId="0" applyNumberFormat="1" applyFont="1" applyFill="1" applyBorder="1" applyAlignment="1">
      <alignment horizontal="center"/>
    </xf>
    <xf numFmtId="0" fontId="51" fillId="0" borderId="0" xfId="5" applyFont="1" applyFill="1" applyBorder="1" applyAlignment="1">
      <alignment vertical="center" wrapText="1"/>
    </xf>
    <xf numFmtId="3" fontId="11" fillId="7" borderId="0" xfId="0" applyNumberFormat="1" applyFont="1" applyFill="1" applyAlignment="1">
      <alignment horizontal="center" vertical="center"/>
    </xf>
    <xf numFmtId="3" fontId="110" fillId="7" borderId="0" xfId="0" applyNumberFormat="1" applyFont="1" applyFill="1" applyAlignment="1">
      <alignment vertical="center"/>
    </xf>
    <xf numFmtId="0" fontId="119" fillId="7" borderId="0" xfId="0" applyFont="1" applyFill="1" applyAlignment="1">
      <alignment vertical="center"/>
    </xf>
    <xf numFmtId="3" fontId="119" fillId="7" borderId="0" xfId="0" applyNumberFormat="1" applyFont="1" applyFill="1" applyAlignment="1">
      <alignment vertical="center"/>
    </xf>
    <xf numFmtId="0" fontId="110" fillId="7" borderId="0" xfId="0" applyFont="1" applyFill="1" applyAlignment="1">
      <alignment vertical="center"/>
    </xf>
    <xf numFmtId="3" fontId="11" fillId="20" borderId="0" xfId="0" applyNumberFormat="1" applyFont="1" applyFill="1" applyAlignment="1">
      <alignment vertical="center"/>
    </xf>
    <xf numFmtId="3" fontId="74" fillId="7" borderId="0" xfId="0" applyNumberFormat="1" applyFont="1" applyFill="1" applyAlignment="1">
      <alignment vertical="center"/>
    </xf>
    <xf numFmtId="0" fontId="14" fillId="7" borderId="1" xfId="0" applyFont="1" applyFill="1" applyBorder="1"/>
    <xf numFmtId="0" fontId="14" fillId="7" borderId="1" xfId="0" applyFont="1" applyFill="1" applyBorder="1" applyAlignment="1">
      <alignment horizontal="center"/>
    </xf>
    <xf numFmtId="0" fontId="13" fillId="7" borderId="1" xfId="0" applyFont="1" applyFill="1" applyBorder="1" applyAlignment="1">
      <alignment horizontal="center"/>
    </xf>
    <xf numFmtId="0" fontId="29" fillId="0" borderId="0" xfId="0" applyFont="1" applyAlignment="1">
      <alignment vertical="center"/>
    </xf>
    <xf numFmtId="0" fontId="13" fillId="0" borderId="0" xfId="0" applyFont="1" applyAlignment="1">
      <alignment horizontal="center" vertical="center"/>
    </xf>
    <xf numFmtId="3" fontId="14" fillId="7" borderId="0" xfId="0" applyNumberFormat="1" applyFont="1" applyFill="1" applyAlignment="1">
      <alignment horizontal="right"/>
    </xf>
    <xf numFmtId="0" fontId="14" fillId="7" borderId="0" xfId="0" applyFont="1" applyFill="1" applyAlignment="1">
      <alignment horizontal="right"/>
    </xf>
    <xf numFmtId="2" fontId="14" fillId="0" borderId="0" xfId="0" applyNumberFormat="1" applyFont="1" applyAlignment="1">
      <alignment vertical="center"/>
    </xf>
    <xf numFmtId="3" fontId="14" fillId="0" borderId="0" xfId="0" applyNumberFormat="1" applyFont="1" applyAlignment="1">
      <alignment horizontal="right"/>
    </xf>
    <xf numFmtId="0" fontId="29" fillId="20" borderId="0" xfId="0" applyFont="1" applyFill="1" applyAlignment="1">
      <alignment vertical="center"/>
    </xf>
    <xf numFmtId="2" fontId="29" fillId="20" borderId="0" xfId="0" applyNumberFormat="1" applyFont="1" applyFill="1" applyAlignment="1">
      <alignment vertical="center"/>
    </xf>
    <xf numFmtId="0" fontId="29" fillId="20" borderId="0" xfId="0" applyFont="1" applyFill="1" applyAlignment="1">
      <alignment horizontal="center" vertical="center"/>
    </xf>
    <xf numFmtId="0" fontId="29" fillId="20" borderId="0" xfId="0" applyFont="1" applyFill="1"/>
    <xf numFmtId="0" fontId="8" fillId="7" borderId="0" xfId="0" applyFont="1" applyFill="1" applyAlignment="1">
      <alignment horizontal="left" vertical="center"/>
    </xf>
    <xf numFmtId="0" fontId="14" fillId="7" borderId="20" xfId="0" applyFont="1" applyFill="1" applyBorder="1"/>
    <xf numFmtId="0" fontId="123" fillId="20" borderId="0" xfId="0" applyFont="1" applyFill="1" applyAlignment="1">
      <alignment horizontal="left" vertical="center"/>
    </xf>
    <xf numFmtId="0" fontId="124" fillId="7" borderId="6" xfId="0" applyFont="1" applyFill="1" applyBorder="1" applyAlignment="1">
      <alignment vertical="center"/>
    </xf>
    <xf numFmtId="0" fontId="125" fillId="7" borderId="1" xfId="0" applyFont="1" applyFill="1" applyBorder="1" applyAlignment="1">
      <alignment vertical="center"/>
    </xf>
    <xf numFmtId="0" fontId="125" fillId="7" borderId="21" xfId="0" applyFont="1" applyFill="1" applyBorder="1" applyAlignment="1">
      <alignment vertical="center"/>
    </xf>
    <xf numFmtId="3" fontId="125" fillId="7" borderId="6" xfId="0" applyNumberFormat="1" applyFont="1" applyFill="1" applyBorder="1" applyAlignment="1">
      <alignment horizontal="left" vertical="center"/>
    </xf>
    <xf numFmtId="0" fontId="125" fillId="7" borderId="20" xfId="0" applyFont="1" applyFill="1" applyBorder="1"/>
    <xf numFmtId="3" fontId="124" fillId="7" borderId="6" xfId="0" applyNumberFormat="1" applyFont="1" applyFill="1" applyBorder="1" applyAlignment="1">
      <alignment horizontal="left" vertical="center"/>
    </xf>
    <xf numFmtId="3" fontId="125" fillId="7" borderId="1" xfId="0" applyNumberFormat="1" applyFont="1" applyFill="1" applyBorder="1" applyAlignment="1">
      <alignment horizontal="left" vertical="center"/>
    </xf>
    <xf numFmtId="0" fontId="125" fillId="7" borderId="1" xfId="0" applyFont="1" applyFill="1" applyBorder="1" applyAlignment="1">
      <alignment horizontal="left" vertical="center"/>
    </xf>
    <xf numFmtId="0" fontId="125" fillId="7" borderId="0" xfId="0" applyFont="1" applyFill="1" applyAlignment="1">
      <alignment vertical="center"/>
    </xf>
    <xf numFmtId="0" fontId="125" fillId="0" borderId="0" xfId="0" applyFont="1" applyAlignment="1">
      <alignment vertical="center"/>
    </xf>
    <xf numFmtId="0" fontId="126" fillId="7" borderId="0" xfId="0" applyFont="1" applyFill="1" applyAlignment="1">
      <alignment vertical="center"/>
    </xf>
    <xf numFmtId="0" fontId="128" fillId="20" borderId="55" xfId="0" applyFont="1" applyFill="1" applyBorder="1" applyAlignment="1">
      <alignment horizontal="left" vertical="center"/>
    </xf>
    <xf numFmtId="0" fontId="129" fillId="7" borderId="6" xfId="0" applyFont="1" applyFill="1" applyBorder="1" applyAlignment="1">
      <alignment vertical="center"/>
    </xf>
    <xf numFmtId="0" fontId="129" fillId="7" borderId="1" xfId="0" applyFont="1" applyFill="1" applyBorder="1" applyAlignment="1">
      <alignment horizontal="left" vertical="center"/>
    </xf>
    <xf numFmtId="0" fontId="129" fillId="7" borderId="1" xfId="0" applyFont="1" applyFill="1" applyBorder="1" applyAlignment="1">
      <alignment vertical="center"/>
    </xf>
    <xf numFmtId="0" fontId="129" fillId="7" borderId="21" xfId="0" applyFont="1" applyFill="1" applyBorder="1" applyAlignment="1">
      <alignment horizontal="left" vertical="center"/>
    </xf>
    <xf numFmtId="3" fontId="130" fillId="7" borderId="6" xfId="0" applyNumberFormat="1" applyFont="1" applyFill="1" applyBorder="1" applyAlignment="1">
      <alignment horizontal="left" vertical="center"/>
    </xf>
    <xf numFmtId="0" fontId="130" fillId="7" borderId="20" xfId="0" applyFont="1" applyFill="1" applyBorder="1"/>
    <xf numFmtId="0" fontId="130" fillId="7" borderId="1" xfId="0" applyFont="1" applyFill="1" applyBorder="1" applyAlignment="1">
      <alignment horizontal="left" vertical="center"/>
    </xf>
    <xf numFmtId="0" fontId="130" fillId="7" borderId="1" xfId="0" applyFont="1" applyFill="1" applyBorder="1" applyAlignment="1">
      <alignment vertical="center"/>
    </xf>
    <xf numFmtId="3" fontId="129" fillId="7" borderId="6" xfId="0" applyNumberFormat="1" applyFont="1" applyFill="1" applyBorder="1" applyAlignment="1">
      <alignment horizontal="left" vertical="center"/>
    </xf>
    <xf numFmtId="0" fontId="130" fillId="7" borderId="0" xfId="0" applyFont="1" applyFill="1" applyAlignment="1">
      <alignment vertical="center"/>
    </xf>
    <xf numFmtId="0" fontId="130" fillId="0" borderId="0" xfId="0" applyFont="1" applyAlignment="1">
      <alignment vertical="center"/>
    </xf>
    <xf numFmtId="0" fontId="131" fillId="7" borderId="0" xfId="0" applyFont="1" applyFill="1" applyAlignment="1">
      <alignment vertical="center"/>
    </xf>
    <xf numFmtId="0" fontId="51" fillId="26" borderId="0" xfId="5" applyFont="1" applyFill="1" applyAlignment="1">
      <alignment horizontal="center" vertical="center"/>
    </xf>
    <xf numFmtId="0" fontId="21" fillId="26" borderId="0" xfId="0" applyFont="1" applyFill="1" applyAlignment="1">
      <alignment vertical="center"/>
    </xf>
    <xf numFmtId="0" fontId="21" fillId="26" borderId="0" xfId="0" applyFont="1" applyFill="1" applyAlignment="1">
      <alignment horizontal="left" vertical="center"/>
    </xf>
    <xf numFmtId="0" fontId="20" fillId="26" borderId="0" xfId="0" applyFont="1" applyFill="1"/>
    <xf numFmtId="0" fontId="19" fillId="26" borderId="0" xfId="0" applyFont="1" applyFill="1" applyAlignment="1">
      <alignment horizontal="right"/>
    </xf>
    <xf numFmtId="0" fontId="3" fillId="26" borderId="0" xfId="0" applyFont="1" applyFill="1"/>
    <xf numFmtId="0" fontId="19" fillId="26" borderId="0" xfId="0" applyFont="1" applyFill="1" applyAlignment="1">
      <alignment vertical="center"/>
    </xf>
    <xf numFmtId="0" fontId="27" fillId="26" borderId="0" xfId="5" applyFont="1" applyFill="1" applyBorder="1" applyAlignment="1">
      <alignment vertical="center"/>
    </xf>
    <xf numFmtId="0" fontId="50" fillId="26" borderId="0" xfId="0" applyFont="1" applyFill="1" applyAlignment="1">
      <alignment vertical="center"/>
    </xf>
    <xf numFmtId="0" fontId="102" fillId="26" borderId="0" xfId="5" applyFont="1" applyFill="1" applyBorder="1" applyAlignment="1">
      <alignment vertical="center"/>
    </xf>
    <xf numFmtId="0" fontId="91" fillId="26" borderId="0" xfId="0" applyFont="1" applyFill="1"/>
    <xf numFmtId="0" fontId="39" fillId="26" borderId="0" xfId="0" applyFont="1" applyFill="1" applyAlignment="1">
      <alignment horizontal="center" vertical="center"/>
    </xf>
    <xf numFmtId="0" fontId="50" fillId="26" borderId="0" xfId="0" applyFont="1" applyFill="1" applyAlignment="1">
      <alignment horizontal="left" vertical="center"/>
    </xf>
    <xf numFmtId="0" fontId="9" fillId="26" borderId="0" xfId="0" applyFont="1" applyFill="1" applyAlignment="1">
      <alignment vertical="center"/>
    </xf>
    <xf numFmtId="3" fontId="21" fillId="26" borderId="0" xfId="0" applyNumberFormat="1" applyFont="1" applyFill="1" applyAlignment="1">
      <alignment horizontal="right" vertical="center"/>
    </xf>
    <xf numFmtId="0" fontId="21" fillId="26" borderId="0" xfId="0" applyFont="1" applyFill="1" applyAlignment="1">
      <alignment horizontal="right" vertical="center"/>
    </xf>
    <xf numFmtId="0" fontId="128" fillId="20" borderId="0" xfId="0" applyFont="1" applyFill="1" applyAlignment="1">
      <alignment horizontal="left" vertical="center"/>
    </xf>
    <xf numFmtId="0" fontId="129" fillId="7" borderId="0" xfId="0" applyFont="1" applyFill="1" applyAlignment="1">
      <alignment vertical="center"/>
    </xf>
    <xf numFmtId="3" fontId="130" fillId="7" borderId="21" xfId="0" applyNumberFormat="1" applyFont="1" applyFill="1" applyBorder="1" applyAlignment="1">
      <alignment horizontal="center" vertical="center"/>
    </xf>
    <xf numFmtId="0" fontId="130" fillId="7" borderId="6" xfId="0" applyFont="1" applyFill="1" applyBorder="1" applyAlignment="1">
      <alignment vertical="center"/>
    </xf>
    <xf numFmtId="0" fontId="130" fillId="7" borderId="21" xfId="0" applyFont="1" applyFill="1" applyBorder="1" applyAlignment="1">
      <alignment vertical="center"/>
    </xf>
    <xf numFmtId="0" fontId="130" fillId="20" borderId="17" xfId="0" applyFont="1" applyFill="1" applyBorder="1" applyAlignment="1">
      <alignment vertical="center"/>
    </xf>
    <xf numFmtId="0" fontId="130" fillId="7" borderId="0" xfId="0" applyFont="1" applyFill="1"/>
    <xf numFmtId="0" fontId="124" fillId="7" borderId="1" xfId="0" applyFont="1" applyFill="1" applyBorder="1" applyAlignment="1">
      <alignment vertical="center"/>
    </xf>
    <xf numFmtId="0" fontId="125" fillId="7" borderId="21" xfId="0" applyFont="1" applyFill="1" applyBorder="1"/>
    <xf numFmtId="0" fontId="125" fillId="7" borderId="6" xfId="0" applyFont="1" applyFill="1" applyBorder="1" applyAlignment="1">
      <alignment vertical="center"/>
    </xf>
    <xf numFmtId="3" fontId="125" fillId="7" borderId="21" xfId="0" applyNumberFormat="1" applyFont="1" applyFill="1" applyBorder="1" applyAlignment="1">
      <alignment horizontal="center" vertical="center"/>
    </xf>
    <xf numFmtId="0" fontId="124" fillId="20" borderId="18" xfId="0" applyFont="1" applyFill="1" applyBorder="1" applyAlignment="1">
      <alignment vertical="center"/>
    </xf>
    <xf numFmtId="0" fontId="125" fillId="20" borderId="16" xfId="0" applyFont="1" applyFill="1" applyBorder="1" applyAlignment="1">
      <alignment vertical="center"/>
    </xf>
    <xf numFmtId="0" fontId="125" fillId="20" borderId="22" xfId="0" applyFont="1" applyFill="1" applyBorder="1" applyAlignment="1">
      <alignment vertical="center"/>
    </xf>
    <xf numFmtId="0" fontId="125" fillId="7" borderId="0" xfId="0" applyFont="1" applyFill="1"/>
    <xf numFmtId="0" fontId="128" fillId="20" borderId="16" xfId="0" applyFont="1" applyFill="1" applyBorder="1" applyAlignment="1">
      <alignment horizontal="left" vertical="center"/>
    </xf>
    <xf numFmtId="0" fontId="130" fillId="7" borderId="11" xfId="0" applyFont="1" applyFill="1" applyBorder="1" applyAlignment="1">
      <alignment vertical="center"/>
    </xf>
    <xf numFmtId="0" fontId="130" fillId="7" borderId="23" xfId="0" applyFont="1" applyFill="1" applyBorder="1" applyAlignment="1">
      <alignment vertical="center"/>
    </xf>
    <xf numFmtId="3" fontId="129" fillId="20" borderId="27" xfId="0" applyNumberFormat="1" applyFont="1" applyFill="1" applyBorder="1" applyAlignment="1">
      <alignment horizontal="left" vertical="center"/>
    </xf>
    <xf numFmtId="0" fontId="130" fillId="20" borderId="30" xfId="0" applyFont="1" applyFill="1" applyBorder="1" applyAlignment="1">
      <alignment vertical="center"/>
    </xf>
    <xf numFmtId="0" fontId="130" fillId="20" borderId="32" xfId="0" applyFont="1" applyFill="1" applyBorder="1" applyAlignment="1">
      <alignment vertical="center"/>
    </xf>
    <xf numFmtId="0" fontId="132" fillId="7" borderId="21" xfId="0" applyFont="1" applyFill="1" applyBorder="1" applyAlignment="1">
      <alignment vertical="center"/>
    </xf>
    <xf numFmtId="3" fontId="124" fillId="20" borderId="27" xfId="0" applyNumberFormat="1" applyFont="1" applyFill="1" applyBorder="1" applyAlignment="1">
      <alignment horizontal="left" vertical="center"/>
    </xf>
    <xf numFmtId="0" fontId="125" fillId="20" borderId="30" xfId="0" applyFont="1" applyFill="1" applyBorder="1" applyAlignment="1">
      <alignment vertical="center"/>
    </xf>
    <xf numFmtId="0" fontId="125" fillId="20" borderId="32" xfId="0" applyFont="1" applyFill="1" applyBorder="1" applyAlignment="1">
      <alignment vertical="center"/>
    </xf>
    <xf numFmtId="0" fontId="124" fillId="7" borderId="0" xfId="0" applyFont="1" applyFill="1" applyAlignment="1">
      <alignment vertical="center"/>
    </xf>
    <xf numFmtId="0" fontId="125" fillId="7" borderId="5" xfId="0" applyFont="1" applyFill="1" applyBorder="1" applyAlignment="1">
      <alignment vertical="center"/>
    </xf>
    <xf numFmtId="0" fontId="130" fillId="7" borderId="21" xfId="0" applyFont="1" applyFill="1" applyBorder="1"/>
    <xf numFmtId="0" fontId="129" fillId="7" borderId="0" xfId="0" applyFont="1" applyFill="1"/>
    <xf numFmtId="0" fontId="130" fillId="7" borderId="1" xfId="0" applyFont="1" applyFill="1" applyBorder="1"/>
    <xf numFmtId="0" fontId="130" fillId="7" borderId="24" xfId="0" applyFont="1" applyFill="1" applyBorder="1"/>
    <xf numFmtId="0" fontId="125" fillId="7" borderId="1" xfId="0" applyFont="1" applyFill="1" applyBorder="1"/>
    <xf numFmtId="0" fontId="124" fillId="7" borderId="0" xfId="0" applyFont="1" applyFill="1"/>
    <xf numFmtId="0" fontId="126" fillId="7" borderId="1" xfId="0" applyFont="1" applyFill="1" applyBorder="1" applyAlignment="1">
      <alignment vertical="center"/>
    </xf>
    <xf numFmtId="0" fontId="129" fillId="7" borderId="21" xfId="0" applyFont="1" applyFill="1" applyBorder="1" applyAlignment="1">
      <alignment vertical="center"/>
    </xf>
    <xf numFmtId="0" fontId="130" fillId="7" borderId="10" xfId="0" applyFont="1" applyFill="1" applyBorder="1" applyAlignment="1">
      <alignment horizontal="left" vertical="center"/>
    </xf>
    <xf numFmtId="0" fontId="125" fillId="7" borderId="10" xfId="0" applyFont="1" applyFill="1" applyBorder="1" applyAlignment="1">
      <alignment horizontal="left" vertical="center"/>
    </xf>
    <xf numFmtId="0" fontId="131" fillId="7" borderId="1" xfId="0" applyFont="1" applyFill="1" applyBorder="1" applyAlignment="1">
      <alignment vertical="center"/>
    </xf>
    <xf numFmtId="0" fontId="125" fillId="7" borderId="24" xfId="0" applyFont="1" applyFill="1" applyBorder="1"/>
    <xf numFmtId="0" fontId="134" fillId="7" borderId="0" xfId="0" applyFont="1" applyFill="1" applyAlignment="1">
      <alignment horizontal="center"/>
    </xf>
    <xf numFmtId="2" fontId="134" fillId="7" borderId="8" xfId="5" applyNumberFormat="1" applyFont="1" applyFill="1" applyBorder="1" applyAlignment="1">
      <alignment horizontal="right" vertical="center"/>
    </xf>
    <xf numFmtId="0" fontId="29" fillId="4" borderId="0" xfId="0" applyFont="1" applyFill="1" applyAlignment="1">
      <alignment horizontal="left" vertical="center"/>
    </xf>
    <xf numFmtId="0" fontId="132" fillId="7" borderId="12" xfId="0" applyFont="1" applyFill="1" applyBorder="1" applyAlignment="1">
      <alignment vertical="center"/>
    </xf>
    <xf numFmtId="0" fontId="3" fillId="7" borderId="12" xfId="0" applyFont="1" applyFill="1" applyBorder="1"/>
    <xf numFmtId="0" fontId="67" fillId="7" borderId="12" xfId="0" applyFont="1" applyFill="1" applyBorder="1"/>
    <xf numFmtId="0" fontId="55" fillId="7" borderId="12" xfId="0" applyFont="1" applyFill="1" applyBorder="1" applyAlignment="1">
      <alignment vertical="center"/>
    </xf>
    <xf numFmtId="0" fontId="130" fillId="7" borderId="12" xfId="0" applyFont="1" applyFill="1" applyBorder="1" applyAlignment="1">
      <alignment vertical="center"/>
    </xf>
    <xf numFmtId="0" fontId="16" fillId="7" borderId="12" xfId="0" applyFont="1" applyFill="1" applyBorder="1"/>
    <xf numFmtId="0" fontId="129" fillId="7" borderId="0" xfId="0" applyFont="1" applyFill="1" applyAlignment="1">
      <alignment horizontal="left" vertical="center"/>
    </xf>
    <xf numFmtId="0" fontId="129" fillId="7" borderId="0" xfId="0" applyFont="1" applyFill="1" applyAlignment="1">
      <alignment horizontal="center" vertical="center"/>
    </xf>
    <xf numFmtId="0" fontId="129" fillId="7" borderId="0" xfId="0" applyFont="1" applyFill="1" applyAlignment="1">
      <alignment horizontal="right" vertical="center"/>
    </xf>
    <xf numFmtId="0" fontId="13" fillId="7" borderId="0" xfId="0" applyFont="1" applyFill="1" applyAlignment="1">
      <alignment horizontal="center" vertical="center"/>
    </xf>
    <xf numFmtId="0" fontId="13" fillId="7" borderId="0" xfId="0" applyFont="1" applyFill="1" applyAlignment="1">
      <alignment horizontal="right" vertical="center"/>
    </xf>
    <xf numFmtId="0" fontId="129" fillId="7" borderId="0" xfId="0" applyFont="1" applyFill="1" applyAlignment="1">
      <alignment horizontal="center"/>
    </xf>
    <xf numFmtId="0" fontId="21" fillId="2" borderId="56" xfId="0" applyFont="1" applyFill="1" applyBorder="1" applyAlignment="1">
      <alignment vertical="center"/>
    </xf>
    <xf numFmtId="0" fontId="3" fillId="20" borderId="57" xfId="0" applyFont="1" applyFill="1" applyBorder="1" applyAlignment="1">
      <alignment vertical="center"/>
    </xf>
    <xf numFmtId="0" fontId="3" fillId="20" borderId="57" xfId="0" applyFont="1" applyFill="1" applyBorder="1" applyAlignment="1">
      <alignment horizontal="center" vertical="center"/>
    </xf>
    <xf numFmtId="0" fontId="3" fillId="20" borderId="58" xfId="0" applyFont="1" applyFill="1" applyBorder="1" applyAlignment="1">
      <alignment vertical="center"/>
    </xf>
    <xf numFmtId="2" fontId="134" fillId="7" borderId="0" xfId="5" applyNumberFormat="1" applyFont="1" applyFill="1" applyBorder="1" applyAlignment="1">
      <alignment horizontal="right" vertical="center"/>
    </xf>
    <xf numFmtId="3" fontId="130" fillId="7" borderId="0" xfId="0" applyNumberFormat="1" applyFont="1" applyFill="1" applyAlignment="1">
      <alignment vertical="center"/>
    </xf>
    <xf numFmtId="3" fontId="130" fillId="7" borderId="0" xfId="0" applyNumberFormat="1" applyFont="1" applyFill="1" applyAlignment="1">
      <alignment horizontal="right" vertical="center"/>
    </xf>
    <xf numFmtId="2" fontId="130" fillId="7" borderId="0" xfId="0" applyNumberFormat="1" applyFont="1" applyFill="1" applyAlignment="1">
      <alignment vertical="center"/>
    </xf>
    <xf numFmtId="3" fontId="130" fillId="8" borderId="0" xfId="0" applyNumberFormat="1" applyFont="1" applyFill="1" applyAlignment="1">
      <alignment vertical="center"/>
    </xf>
    <xf numFmtId="3" fontId="130" fillId="8" borderId="0" xfId="0" applyNumberFormat="1" applyFont="1" applyFill="1" applyAlignment="1">
      <alignment horizontal="right" vertical="center"/>
    </xf>
    <xf numFmtId="0" fontId="130" fillId="7" borderId="0" xfId="0" applyFont="1" applyFill="1" applyAlignment="1">
      <alignment horizontal="right" vertical="center"/>
    </xf>
    <xf numFmtId="3" fontId="129" fillId="7" borderId="0" xfId="0" applyNumberFormat="1" applyFont="1" applyFill="1" applyAlignment="1">
      <alignment vertical="center"/>
    </xf>
    <xf numFmtId="3" fontId="129" fillId="7" borderId="0" xfId="0" applyNumberFormat="1" applyFont="1" applyFill="1" applyAlignment="1">
      <alignment horizontal="right" vertical="center"/>
    </xf>
    <xf numFmtId="2" fontId="135" fillId="7" borderId="0" xfId="0" applyNumberFormat="1" applyFont="1" applyFill="1" applyAlignment="1">
      <alignment vertical="center"/>
    </xf>
    <xf numFmtId="2" fontId="135" fillId="8" borderId="0" xfId="0" applyNumberFormat="1" applyFont="1" applyFill="1" applyAlignment="1">
      <alignment vertical="center"/>
    </xf>
    <xf numFmtId="0" fontId="21" fillId="2" borderId="59" xfId="0" applyFont="1" applyFill="1" applyBorder="1" applyAlignment="1">
      <alignment horizontal="right"/>
    </xf>
    <xf numFmtId="0" fontId="21" fillId="2" borderId="51" xfId="0" applyFont="1" applyFill="1" applyBorder="1" applyAlignment="1">
      <alignment vertical="center"/>
    </xf>
    <xf numFmtId="164" fontId="47" fillId="7" borderId="6" xfId="3" applyNumberFormat="1" applyFont="1" applyFill="1" applyBorder="1" applyAlignment="1">
      <alignment horizontal="right" vertical="center"/>
    </xf>
    <xf numFmtId="0" fontId="47" fillId="7" borderId="6" xfId="0" applyFont="1" applyFill="1" applyBorder="1" applyAlignment="1">
      <alignment horizontal="right"/>
    </xf>
    <xf numFmtId="0" fontId="47" fillId="7" borderId="0" xfId="0" applyFont="1" applyFill="1" applyAlignment="1">
      <alignment horizontal="right"/>
    </xf>
    <xf numFmtId="0" fontId="130" fillId="0" borderId="0" xfId="0" applyFont="1"/>
    <xf numFmtId="0" fontId="129" fillId="0" borderId="0" xfId="0" applyFont="1" applyAlignment="1">
      <alignment vertical="center"/>
    </xf>
    <xf numFmtId="164" fontId="3" fillId="0" borderId="0" xfId="3" applyNumberFormat="1" applyFont="1" applyFill="1" applyBorder="1" applyAlignment="1">
      <alignment vertical="center"/>
    </xf>
    <xf numFmtId="2" fontId="67" fillId="0" borderId="0" xfId="0" applyNumberFormat="1" applyFont="1" applyAlignment="1">
      <alignment horizontal="right" vertical="center"/>
    </xf>
    <xf numFmtId="0" fontId="125" fillId="0" borderId="0" xfId="0" applyFont="1"/>
    <xf numFmtId="4" fontId="67" fillId="0" borderId="0" xfId="0" applyNumberFormat="1" applyFont="1" applyAlignment="1">
      <alignment vertical="center"/>
    </xf>
    <xf numFmtId="3" fontId="67" fillId="0" borderId="0" xfId="3" applyNumberFormat="1" applyFont="1" applyFill="1" applyBorder="1" applyAlignment="1">
      <alignment vertical="center"/>
    </xf>
    <xf numFmtId="0" fontId="124" fillId="0" borderId="0" xfId="0" applyFont="1" applyAlignment="1">
      <alignment vertical="center"/>
    </xf>
    <xf numFmtId="164" fontId="3" fillId="20" borderId="16" xfId="3" applyNumberFormat="1" applyFont="1" applyFill="1" applyBorder="1" applyAlignment="1">
      <alignment vertical="center"/>
    </xf>
    <xf numFmtId="2" fontId="67" fillId="20" borderId="16" xfId="0" applyNumberFormat="1" applyFont="1" applyFill="1" applyBorder="1" applyAlignment="1">
      <alignment horizontal="right" vertical="center"/>
    </xf>
    <xf numFmtId="4" fontId="67" fillId="20" borderId="16" xfId="0" applyNumberFormat="1" applyFont="1" applyFill="1" applyBorder="1" applyAlignment="1">
      <alignment horizontal="right" vertical="center"/>
    </xf>
    <xf numFmtId="0" fontId="124" fillId="20" borderId="60" xfId="0" applyFont="1" applyFill="1" applyBorder="1" applyAlignment="1">
      <alignment vertical="center"/>
    </xf>
    <xf numFmtId="3" fontId="125" fillId="20" borderId="33" xfId="0" applyNumberFormat="1" applyFont="1" applyFill="1" applyBorder="1" applyAlignment="1">
      <alignment horizontal="center" vertical="center"/>
    </xf>
    <xf numFmtId="0" fontId="67" fillId="20" borderId="33" xfId="0" applyFont="1" applyFill="1" applyBorder="1" applyAlignment="1">
      <alignment vertical="center"/>
    </xf>
    <xf numFmtId="0" fontId="22" fillId="0" borderId="0" xfId="0" applyFont="1" applyAlignment="1">
      <alignment vertical="center"/>
    </xf>
    <xf numFmtId="3" fontId="21" fillId="0" borderId="0" xfId="3" applyNumberFormat="1" applyFont="1" applyFill="1" applyBorder="1" applyAlignment="1">
      <alignment horizontal="right" vertical="center"/>
    </xf>
    <xf numFmtId="164" fontId="67" fillId="0" borderId="0" xfId="3" applyNumberFormat="1" applyFont="1" applyFill="1" applyBorder="1" applyAlignment="1">
      <alignment vertical="center"/>
    </xf>
    <xf numFmtId="9" fontId="14" fillId="0" borderId="0" xfId="0" applyNumberFormat="1" applyFont="1" applyAlignment="1">
      <alignment horizontal="right" vertical="center"/>
    </xf>
    <xf numFmtId="9" fontId="7" fillId="0" borderId="0" xfId="0" applyNumberFormat="1" applyFont="1" applyAlignment="1">
      <alignment horizontal="right" vertical="center"/>
    </xf>
    <xf numFmtId="9" fontId="7" fillId="0" borderId="0" xfId="0" applyNumberFormat="1" applyFont="1" applyAlignment="1">
      <alignment horizontal="fill" vertical="center"/>
    </xf>
    <xf numFmtId="1" fontId="21" fillId="0" borderId="0" xfId="0" applyNumberFormat="1" applyFont="1" applyAlignment="1">
      <alignment vertical="center"/>
    </xf>
    <xf numFmtId="164" fontId="21" fillId="0" borderId="0" xfId="3" applyNumberFormat="1" applyFont="1" applyFill="1" applyBorder="1" applyAlignment="1">
      <alignment vertical="center"/>
    </xf>
    <xf numFmtId="3" fontId="129" fillId="0" borderId="0" xfId="0" applyNumberFormat="1" applyFont="1" applyAlignment="1">
      <alignment horizontal="left" vertical="center"/>
    </xf>
    <xf numFmtId="0" fontId="67" fillId="0" borderId="0" xfId="0" applyFont="1" applyAlignment="1">
      <alignment horizontal="right" vertical="center"/>
    </xf>
    <xf numFmtId="0" fontId="14" fillId="7" borderId="5" xfId="0" applyFont="1" applyFill="1" applyBorder="1" applyAlignment="1">
      <alignment vertical="center"/>
    </xf>
    <xf numFmtId="0" fontId="14" fillId="20" borderId="16" xfId="0" applyFont="1" applyFill="1" applyBorder="1" applyAlignment="1">
      <alignment vertical="center"/>
    </xf>
    <xf numFmtId="0" fontId="14" fillId="20" borderId="16" xfId="0" applyFont="1" applyFill="1" applyBorder="1"/>
    <xf numFmtId="3" fontId="14" fillId="20" borderId="33" xfId="0" applyNumberFormat="1" applyFont="1" applyFill="1" applyBorder="1" applyAlignment="1">
      <alignment horizontal="center" vertical="center"/>
    </xf>
    <xf numFmtId="0" fontId="13" fillId="20" borderId="60" xfId="0" applyFont="1" applyFill="1" applyBorder="1" applyAlignment="1">
      <alignment vertical="center"/>
    </xf>
    <xf numFmtId="0" fontId="13" fillId="20" borderId="18" xfId="0" applyFont="1" applyFill="1" applyBorder="1" applyAlignment="1">
      <alignment vertical="center"/>
    </xf>
    <xf numFmtId="0" fontId="14" fillId="20" borderId="22" xfId="0" applyFont="1" applyFill="1" applyBorder="1" applyAlignment="1">
      <alignment vertical="center"/>
    </xf>
    <xf numFmtId="0" fontId="130" fillId="7" borderId="5" xfId="0" applyFont="1" applyFill="1" applyBorder="1" applyAlignment="1">
      <alignment vertical="center"/>
    </xf>
    <xf numFmtId="0" fontId="130" fillId="20" borderId="16" xfId="0" applyFont="1" applyFill="1" applyBorder="1" applyAlignment="1">
      <alignment vertical="center"/>
    </xf>
    <xf numFmtId="0" fontId="130" fillId="20" borderId="16" xfId="0" applyFont="1" applyFill="1" applyBorder="1"/>
    <xf numFmtId="3" fontId="130" fillId="20" borderId="33" xfId="0" applyNumberFormat="1" applyFont="1" applyFill="1" applyBorder="1" applyAlignment="1">
      <alignment horizontal="center" vertical="center"/>
    </xf>
    <xf numFmtId="0" fontId="129" fillId="20" borderId="60" xfId="0" applyFont="1" applyFill="1" applyBorder="1" applyAlignment="1">
      <alignment vertical="center"/>
    </xf>
    <xf numFmtId="0" fontId="129" fillId="20" borderId="18" xfId="0" applyFont="1" applyFill="1" applyBorder="1" applyAlignment="1">
      <alignment vertical="center"/>
    </xf>
    <xf numFmtId="0" fontId="130" fillId="20" borderId="22" xfId="0" applyFont="1" applyFill="1" applyBorder="1" applyAlignment="1">
      <alignment vertical="center"/>
    </xf>
    <xf numFmtId="9" fontId="14" fillId="7" borderId="0" xfId="0" applyNumberFormat="1" applyFont="1" applyFill="1" applyAlignment="1">
      <alignment vertical="center"/>
    </xf>
    <xf numFmtId="0" fontId="47" fillId="7" borderId="1" xfId="0" applyFont="1" applyFill="1" applyBorder="1" applyAlignment="1">
      <alignment horizontal="right" vertical="center"/>
    </xf>
    <xf numFmtId="0" fontId="11" fillId="7" borderId="0" xfId="0" applyFont="1" applyFill="1" applyAlignment="1">
      <alignment horizontal="right"/>
    </xf>
    <xf numFmtId="3" fontId="14" fillId="7" borderId="6" xfId="0" applyNumberFormat="1" applyFont="1" applyFill="1" applyBorder="1" applyAlignment="1">
      <alignment horizontal="center" vertical="center"/>
    </xf>
    <xf numFmtId="0" fontId="82" fillId="0" borderId="0" xfId="0" applyFont="1" applyAlignment="1">
      <alignment horizontal="right" vertical="center"/>
    </xf>
    <xf numFmtId="0" fontId="3" fillId="0" borderId="61" xfId="0" applyFont="1" applyBorder="1"/>
    <xf numFmtId="0" fontId="3" fillId="0" borderId="62" xfId="0" applyFont="1" applyBorder="1"/>
    <xf numFmtId="0" fontId="3" fillId="0" borderId="63" xfId="0" applyFont="1" applyBorder="1"/>
    <xf numFmtId="0" fontId="3" fillId="0" borderId="64" xfId="0" applyFont="1" applyBorder="1"/>
    <xf numFmtId="0" fontId="9" fillId="0" borderId="64" xfId="0" applyFont="1" applyBorder="1"/>
    <xf numFmtId="0" fontId="3" fillId="0" borderId="65" xfId="0" applyFont="1" applyBorder="1"/>
    <xf numFmtId="2" fontId="86" fillId="0" borderId="0" xfId="0" applyNumberFormat="1" applyFont="1" applyAlignment="1">
      <alignment horizontal="left" vertical="center" wrapText="1"/>
    </xf>
    <xf numFmtId="0" fontId="87" fillId="0" borderId="0" xfId="0" applyFont="1" applyAlignment="1">
      <alignment horizontal="left" vertical="center"/>
    </xf>
    <xf numFmtId="0" fontId="139" fillId="0" borderId="0" xfId="0" applyFont="1" applyAlignment="1">
      <alignment vertical="center"/>
    </xf>
    <xf numFmtId="3" fontId="7" fillId="28" borderId="0" xfId="0" applyNumberFormat="1" applyFont="1" applyFill="1" applyAlignment="1">
      <alignment horizontal="right" vertical="center"/>
    </xf>
    <xf numFmtId="0" fontId="86" fillId="0" borderId="0" xfId="0" applyFont="1" applyAlignment="1">
      <alignment horizontal="left" vertical="center" wrapText="1"/>
    </xf>
    <xf numFmtId="0" fontId="20" fillId="0" borderId="0" xfId="0" applyFont="1"/>
    <xf numFmtId="0" fontId="20" fillId="0" borderId="0" xfId="0" applyFont="1" applyAlignment="1">
      <alignment vertical="center" wrapText="1"/>
    </xf>
    <xf numFmtId="0" fontId="89" fillId="0" borderId="0" xfId="0" applyFont="1" applyAlignment="1">
      <alignment horizontal="right" vertical="top" wrapText="1"/>
    </xf>
    <xf numFmtId="166" fontId="89" fillId="0" borderId="0" xfId="0" applyNumberFormat="1" applyFont="1" applyAlignment="1">
      <alignment horizontal="left" vertical="top" wrapText="1"/>
    </xf>
    <xf numFmtId="0" fontId="89" fillId="0" borderId="0" xfId="0" applyFont="1" applyAlignment="1">
      <alignment horizontal="left" vertical="top" wrapText="1"/>
    </xf>
    <xf numFmtId="164" fontId="89" fillId="0" borderId="0" xfId="8" applyNumberFormat="1" applyFont="1" applyFill="1" applyBorder="1" applyAlignment="1">
      <alignment horizontal="right" vertical="center" wrapText="1"/>
    </xf>
    <xf numFmtId="3" fontId="18" fillId="0" borderId="0" xfId="0" applyNumberFormat="1" applyFont="1" applyAlignment="1">
      <alignment horizontal="right"/>
    </xf>
    <xf numFmtId="0" fontId="140" fillId="7" borderId="1" xfId="0" applyFont="1" applyFill="1" applyBorder="1" applyAlignment="1">
      <alignment vertical="center"/>
    </xf>
    <xf numFmtId="3" fontId="140" fillId="7" borderId="1" xfId="0" applyNumberFormat="1" applyFont="1" applyFill="1" applyBorder="1" applyAlignment="1">
      <alignment vertical="center"/>
    </xf>
    <xf numFmtId="0" fontId="140" fillId="20" borderId="18" xfId="0" applyFont="1" applyFill="1" applyBorder="1" applyAlignment="1">
      <alignment vertical="center"/>
    </xf>
    <xf numFmtId="0" fontId="140" fillId="7" borderId="0" xfId="0" applyFont="1" applyFill="1" applyAlignment="1">
      <alignment vertical="center"/>
    </xf>
    <xf numFmtId="0" fontId="140" fillId="7" borderId="6" xfId="0" applyFont="1" applyFill="1" applyBorder="1" applyAlignment="1">
      <alignment vertical="center"/>
    </xf>
    <xf numFmtId="3" fontId="125" fillId="7" borderId="6" xfId="0" applyNumberFormat="1" applyFont="1" applyFill="1" applyBorder="1" applyAlignment="1">
      <alignment vertical="center"/>
    </xf>
    <xf numFmtId="3" fontId="125" fillId="7" borderId="0" xfId="0" applyNumberFormat="1" applyFont="1" applyFill="1" applyAlignment="1">
      <alignment vertical="center"/>
    </xf>
    <xf numFmtId="3" fontId="130" fillId="7" borderId="0" xfId="0" applyNumberFormat="1" applyFont="1" applyFill="1"/>
    <xf numFmtId="3" fontId="130" fillId="7" borderId="1" xfId="0" applyNumberFormat="1" applyFont="1" applyFill="1" applyBorder="1" applyAlignment="1">
      <alignment vertical="center"/>
    </xf>
    <xf numFmtId="9" fontId="130" fillId="7" borderId="0" xfId="4" applyFont="1" applyFill="1" applyBorder="1" applyAlignment="1">
      <alignment vertical="center"/>
    </xf>
    <xf numFmtId="3" fontId="125" fillId="20" borderId="18" xfId="0" applyNumberFormat="1" applyFont="1" applyFill="1" applyBorder="1" applyAlignment="1">
      <alignment vertical="center"/>
    </xf>
    <xf numFmtId="3" fontId="125" fillId="7" borderId="1" xfId="0" applyNumberFormat="1" applyFont="1" applyFill="1" applyBorder="1" applyAlignment="1">
      <alignment vertical="center"/>
    </xf>
    <xf numFmtId="3" fontId="14" fillId="20" borderId="18" xfId="0" applyNumberFormat="1" applyFont="1" applyFill="1" applyBorder="1" applyAlignment="1">
      <alignment vertical="center"/>
    </xf>
    <xf numFmtId="3" fontId="130" fillId="20" borderId="18" xfId="0" applyNumberFormat="1" applyFont="1" applyFill="1" applyBorder="1" applyAlignment="1">
      <alignment vertical="center"/>
    </xf>
    <xf numFmtId="9" fontId="130" fillId="7" borderId="1" xfId="4" applyFont="1" applyFill="1" applyBorder="1" applyAlignment="1">
      <alignment vertical="center"/>
    </xf>
    <xf numFmtId="9" fontId="141" fillId="7" borderId="1" xfId="4" applyFont="1" applyFill="1" applyBorder="1" applyAlignment="1">
      <alignment vertical="center"/>
    </xf>
    <xf numFmtId="3" fontId="130" fillId="7" borderId="6" xfId="0" applyNumberFormat="1" applyFont="1" applyFill="1" applyBorder="1" applyAlignment="1">
      <alignment vertical="center"/>
    </xf>
    <xf numFmtId="165" fontId="130" fillId="7" borderId="1" xfId="0" applyNumberFormat="1" applyFont="1" applyFill="1" applyBorder="1" applyAlignment="1">
      <alignment vertical="center"/>
    </xf>
    <xf numFmtId="3" fontId="130" fillId="7" borderId="1" xfId="0" applyNumberFormat="1" applyFont="1" applyFill="1" applyBorder="1" applyAlignment="1">
      <alignment horizontal="right" vertical="center"/>
    </xf>
    <xf numFmtId="3" fontId="130" fillId="7" borderId="1" xfId="0" applyNumberFormat="1" applyFont="1" applyFill="1" applyBorder="1" applyAlignment="1">
      <alignment horizontal="center" vertical="center"/>
    </xf>
    <xf numFmtId="9" fontId="130" fillId="7" borderId="1" xfId="0" applyNumberFormat="1" applyFont="1" applyFill="1" applyBorder="1" applyAlignment="1">
      <alignment vertical="center"/>
    </xf>
    <xf numFmtId="9" fontId="130" fillId="7" borderId="0" xfId="4" applyFont="1" applyFill="1" applyBorder="1" applyAlignment="1">
      <alignment horizontal="right" vertical="center"/>
    </xf>
    <xf numFmtId="0" fontId="65" fillId="7" borderId="2" xfId="0" applyFont="1" applyFill="1" applyBorder="1" applyAlignment="1">
      <alignment vertical="center"/>
    </xf>
    <xf numFmtId="0" fontId="65" fillId="7" borderId="4" xfId="0" applyFont="1" applyFill="1" applyBorder="1" applyAlignment="1">
      <alignment vertical="center"/>
    </xf>
    <xf numFmtId="0" fontId="65" fillId="7" borderId="3" xfId="0" applyFont="1" applyFill="1" applyBorder="1" applyAlignment="1">
      <alignment vertical="center"/>
    </xf>
    <xf numFmtId="0" fontId="143" fillId="0" borderId="0" xfId="0" applyFont="1" applyAlignment="1">
      <alignment horizontal="left" vertical="center"/>
    </xf>
    <xf numFmtId="0" fontId="30" fillId="0" borderId="0" xfId="0" applyFont="1" applyAlignment="1">
      <alignment horizontal="center" vertical="center"/>
    </xf>
    <xf numFmtId="0" fontId="51" fillId="9" borderId="0" xfId="5" applyFont="1" applyFill="1" applyAlignment="1">
      <alignment horizontal="center" vertical="center"/>
    </xf>
    <xf numFmtId="0" fontId="62" fillId="0" borderId="0" xfId="0" applyFont="1" applyAlignment="1">
      <alignment horizontal="center"/>
    </xf>
    <xf numFmtId="0" fontId="31" fillId="2" borderId="0" xfId="5" applyFill="1" applyAlignment="1">
      <alignment horizontal="center" vertical="center"/>
    </xf>
    <xf numFmtId="0" fontId="21" fillId="9" borderId="0" xfId="0" applyFont="1" applyFill="1" applyAlignment="1">
      <alignment horizontal="left" vertical="center"/>
    </xf>
    <xf numFmtId="0" fontId="120" fillId="0" borderId="0" xfId="0" applyFont="1" applyAlignment="1">
      <alignment horizontal="left" vertical="center"/>
    </xf>
    <xf numFmtId="0" fontId="138" fillId="0" borderId="0" xfId="0" applyFont="1" applyAlignment="1">
      <alignment horizontal="center" vertical="center"/>
    </xf>
    <xf numFmtId="3" fontId="11" fillId="7" borderId="0" xfId="0" applyNumberFormat="1" applyFont="1" applyFill="1" applyAlignment="1">
      <alignment horizontal="center" vertical="center"/>
    </xf>
    <xf numFmtId="0" fontId="64" fillId="7" borderId="2" xfId="0" applyFont="1" applyFill="1" applyBorder="1" applyAlignment="1">
      <alignment horizontal="center" vertical="center"/>
    </xf>
    <xf numFmtId="0" fontId="64" fillId="7" borderId="4" xfId="0" applyFont="1" applyFill="1" applyBorder="1" applyAlignment="1">
      <alignment horizontal="center" vertical="center"/>
    </xf>
    <xf numFmtId="0" fontId="64" fillId="7" borderId="3" xfId="0" applyFont="1" applyFill="1" applyBorder="1" applyAlignment="1">
      <alignment horizontal="center" vertical="center"/>
    </xf>
    <xf numFmtId="4" fontId="7" fillId="4" borderId="2" xfId="0" applyNumberFormat="1" applyFont="1" applyFill="1" applyBorder="1" applyAlignment="1">
      <alignment horizontal="left"/>
    </xf>
    <xf numFmtId="4" fontId="7" fillId="4" borderId="4" xfId="0" applyNumberFormat="1" applyFont="1" applyFill="1" applyBorder="1" applyAlignment="1">
      <alignment horizontal="left"/>
    </xf>
    <xf numFmtId="4" fontId="7" fillId="4" borderId="3" xfId="0" applyNumberFormat="1" applyFont="1" applyFill="1" applyBorder="1" applyAlignment="1">
      <alignment horizontal="left"/>
    </xf>
    <xf numFmtId="0" fontId="21" fillId="2" borderId="2" xfId="0" applyFont="1" applyFill="1" applyBorder="1" applyAlignment="1">
      <alignment horizontal="left" vertical="center"/>
    </xf>
    <xf numFmtId="0" fontId="21" fillId="2" borderId="4" xfId="0" applyFont="1" applyFill="1" applyBorder="1" applyAlignment="1">
      <alignment horizontal="left" vertical="center"/>
    </xf>
    <xf numFmtId="0" fontId="21" fillId="2" borderId="2" xfId="0" applyFont="1" applyFill="1" applyBorder="1" applyAlignment="1">
      <alignment horizontal="left"/>
    </xf>
    <xf numFmtId="0" fontId="21" fillId="2" borderId="4" xfId="0" applyFont="1" applyFill="1" applyBorder="1" applyAlignment="1">
      <alignment horizontal="left"/>
    </xf>
    <xf numFmtId="0" fontId="21" fillId="2" borderId="3" xfId="0" applyFont="1" applyFill="1" applyBorder="1" applyAlignment="1">
      <alignment horizontal="left"/>
    </xf>
    <xf numFmtId="0" fontId="29" fillId="20" borderId="0" xfId="0" applyFont="1" applyFill="1" applyAlignment="1">
      <alignment horizontal="center" vertical="center"/>
    </xf>
    <xf numFmtId="0" fontId="56" fillId="2" borderId="0" xfId="5" applyFont="1" applyFill="1" applyBorder="1" applyAlignment="1">
      <alignment horizontal="left" vertical="center"/>
    </xf>
    <xf numFmtId="0" fontId="11" fillId="7" borderId="0" xfId="0" applyFont="1" applyFill="1" applyAlignment="1">
      <alignment horizontal="center" vertical="center"/>
    </xf>
    <xf numFmtId="0" fontId="134" fillId="20" borderId="0" xfId="0" applyFont="1" applyFill="1" applyAlignment="1">
      <alignment horizontal="center" vertical="center"/>
    </xf>
    <xf numFmtId="0" fontId="51" fillId="9" borderId="0" xfId="5" applyFont="1" applyFill="1" applyBorder="1" applyAlignment="1">
      <alignment horizontal="center" vertical="center"/>
    </xf>
    <xf numFmtId="3" fontId="31" fillId="2" borderId="0" xfId="0" applyNumberFormat="1" applyFont="1" applyFill="1" applyAlignment="1">
      <alignment horizontal="center" vertical="center"/>
    </xf>
    <xf numFmtId="0" fontId="40" fillId="7" borderId="0" xfId="5" applyFont="1" applyFill="1" applyAlignment="1">
      <alignment horizontal="left" vertical="top"/>
    </xf>
    <xf numFmtId="1" fontId="11" fillId="7" borderId="0" xfId="0" applyNumberFormat="1" applyFont="1" applyFill="1" applyAlignment="1">
      <alignment horizontal="center"/>
    </xf>
    <xf numFmtId="0" fontId="29" fillId="20" borderId="0" xfId="0" applyFont="1" applyFill="1" applyAlignment="1">
      <alignment horizontal="left" vertical="center"/>
    </xf>
    <xf numFmtId="0" fontId="81" fillId="7" borderId="0" xfId="5" applyFont="1" applyFill="1" applyAlignment="1">
      <alignment horizontal="left" vertical="top"/>
    </xf>
    <xf numFmtId="1" fontId="30" fillId="7" borderId="0" xfId="0" applyNumberFormat="1" applyFont="1" applyFill="1" applyAlignment="1">
      <alignment horizontal="center"/>
    </xf>
    <xf numFmtId="3" fontId="31" fillId="9" borderId="0" xfId="0" applyNumberFormat="1" applyFont="1" applyFill="1" applyAlignment="1">
      <alignment horizontal="right"/>
    </xf>
    <xf numFmtId="0" fontId="127" fillId="7" borderId="0" xfId="5" applyFont="1" applyFill="1" applyAlignment="1">
      <alignment vertical="top"/>
    </xf>
    <xf numFmtId="0" fontId="41" fillId="7" borderId="0" xfId="5" applyFont="1" applyFill="1" applyAlignment="1">
      <alignment horizontal="left" vertical="top"/>
    </xf>
    <xf numFmtId="0" fontId="42" fillId="7" borderId="0" xfId="5" applyFont="1" applyFill="1" applyBorder="1" applyAlignment="1">
      <alignment horizontal="left" vertical="top"/>
    </xf>
    <xf numFmtId="0" fontId="43" fillId="7" borderId="0" xfId="5" applyFont="1" applyFill="1" applyAlignment="1">
      <alignment horizontal="left" vertical="top"/>
    </xf>
    <xf numFmtId="0" fontId="29" fillId="0" borderId="0" xfId="0" applyFont="1" applyAlignment="1">
      <alignment horizontal="center" vertical="center"/>
    </xf>
    <xf numFmtId="0" fontId="14" fillId="7" borderId="0" xfId="0" quotePrefix="1" applyFont="1" applyFill="1" applyAlignment="1">
      <alignment horizontal="center"/>
    </xf>
    <xf numFmtId="0" fontId="29" fillId="20" borderId="0" xfId="0" applyFont="1" applyFill="1" applyAlignment="1">
      <alignment horizontal="right" vertical="center"/>
    </xf>
    <xf numFmtId="0" fontId="21" fillId="2" borderId="0" xfId="0" applyFont="1" applyFill="1" applyAlignment="1">
      <alignment horizontal="left" vertical="top"/>
    </xf>
    <xf numFmtId="0" fontId="31" fillId="17" borderId="0" xfId="5" applyFill="1" applyAlignment="1">
      <alignment horizontal="center" vertical="center"/>
    </xf>
    <xf numFmtId="0" fontId="21" fillId="17" borderId="0" xfId="0" applyFont="1" applyFill="1" applyAlignment="1">
      <alignment horizontal="left" vertical="center"/>
    </xf>
    <xf numFmtId="0" fontId="21" fillId="21" borderId="0" xfId="0" applyFont="1" applyFill="1" applyAlignment="1">
      <alignment horizontal="left" vertical="center"/>
    </xf>
    <xf numFmtId="0" fontId="21" fillId="26" borderId="0" xfId="0" applyFont="1" applyFill="1" applyAlignment="1">
      <alignment horizontal="left" vertical="center"/>
    </xf>
    <xf numFmtId="0" fontId="115" fillId="26" borderId="0" xfId="5" applyFont="1" applyFill="1" applyAlignment="1">
      <alignment horizontal="center" vertical="center"/>
    </xf>
    <xf numFmtId="0" fontId="21" fillId="27" borderId="0" xfId="0" applyFont="1" applyFill="1" applyAlignment="1">
      <alignment horizontal="left" vertical="center"/>
    </xf>
    <xf numFmtId="0" fontId="115" fillId="3" borderId="0" xfId="5" applyFont="1" applyFill="1" applyAlignment="1">
      <alignment horizontal="center" vertical="center"/>
    </xf>
    <xf numFmtId="0" fontId="21" fillId="3" borderId="0" xfId="0" applyFont="1" applyFill="1" applyAlignment="1">
      <alignment horizontal="left" vertical="center"/>
    </xf>
    <xf numFmtId="0" fontId="21" fillId="11" borderId="0" xfId="0" applyFont="1" applyFill="1" applyAlignment="1">
      <alignment horizontal="left" vertical="center"/>
    </xf>
    <xf numFmtId="0" fontId="115" fillId="13" borderId="0" xfId="5" applyFont="1" applyFill="1" applyAlignment="1">
      <alignment horizontal="center" vertical="center"/>
    </xf>
    <xf numFmtId="0" fontId="21" fillId="13" borderId="0" xfId="0" applyFont="1" applyFill="1" applyAlignment="1">
      <alignment horizontal="left" vertical="center"/>
    </xf>
    <xf numFmtId="0" fontId="115" fillId="5" borderId="0" xfId="5" applyFont="1" applyFill="1" applyAlignment="1">
      <alignment horizontal="center" vertical="center"/>
    </xf>
    <xf numFmtId="0" fontId="21" fillId="5" borderId="0" xfId="0" applyFont="1" applyFill="1" applyAlignment="1">
      <alignment horizontal="left" vertical="center"/>
    </xf>
    <xf numFmtId="0" fontId="21" fillId="22" borderId="0" xfId="0" applyFont="1" applyFill="1" applyAlignment="1">
      <alignment horizontal="left" vertical="center"/>
    </xf>
    <xf numFmtId="0" fontId="115" fillId="6" borderId="0" xfId="5" applyFont="1" applyFill="1" applyAlignment="1">
      <alignment horizontal="center" vertical="center"/>
    </xf>
    <xf numFmtId="0" fontId="21" fillId="23" borderId="0" xfId="0" applyFont="1" applyFill="1" applyAlignment="1">
      <alignment horizontal="left" vertical="center"/>
    </xf>
    <xf numFmtId="0" fontId="142" fillId="7" borderId="0" xfId="5" applyFont="1" applyFill="1" applyAlignment="1">
      <alignment horizontal="right"/>
    </xf>
    <xf numFmtId="0" fontId="115" fillId="2" borderId="0" xfId="5" applyFont="1" applyFill="1" applyAlignment="1">
      <alignment horizontal="center" vertical="center"/>
    </xf>
    <xf numFmtId="0" fontId="51" fillId="9" borderId="0" xfId="5" applyFont="1" applyFill="1" applyAlignment="1">
      <alignment horizontal="center" vertical="center" wrapText="1"/>
    </xf>
    <xf numFmtId="3" fontId="31" fillId="21" borderId="0" xfId="0" applyNumberFormat="1" applyFont="1" applyFill="1" applyAlignment="1">
      <alignment horizontal="center" vertical="center"/>
    </xf>
    <xf numFmtId="0" fontId="140" fillId="0" borderId="0" xfId="0" applyFont="1" applyAlignment="1">
      <alignment horizontal="right" vertical="center"/>
    </xf>
    <xf numFmtId="0" fontId="38" fillId="0" borderId="0" xfId="0" applyFont="1" applyAlignment="1">
      <alignment horizontal="left" vertical="top"/>
    </xf>
    <xf numFmtId="0" fontId="21" fillId="2" borderId="0" xfId="0" applyFont="1" applyFill="1" applyAlignment="1">
      <alignment horizontal="left" vertical="center"/>
    </xf>
    <xf numFmtId="0" fontId="34" fillId="0" borderId="0" xfId="0" applyFont="1" applyAlignment="1">
      <alignment horizontal="left" vertical="top"/>
    </xf>
    <xf numFmtId="0" fontId="35" fillId="0" borderId="0" xfId="0" applyFont="1" applyAlignment="1">
      <alignment horizontal="left" vertical="top"/>
    </xf>
    <xf numFmtId="0" fontId="36" fillId="0" borderId="0" xfId="0" applyFont="1" applyAlignment="1">
      <alignment horizontal="left" vertical="top"/>
    </xf>
    <xf numFmtId="0" fontId="51" fillId="2" borderId="0" xfId="5" applyFont="1" applyFill="1" applyAlignment="1">
      <alignment horizontal="center" vertical="center"/>
    </xf>
    <xf numFmtId="0" fontId="122" fillId="0" borderId="0" xfId="0" applyFont="1" applyAlignment="1">
      <alignment horizontal="left" vertical="center"/>
    </xf>
    <xf numFmtId="1" fontId="31" fillId="2" borderId="0" xfId="0" applyNumberFormat="1" applyFont="1" applyFill="1" applyAlignment="1">
      <alignment horizontal="right"/>
    </xf>
    <xf numFmtId="0" fontId="34" fillId="7" borderId="0" xfId="0" applyFont="1" applyFill="1" applyAlignment="1">
      <alignment horizontal="left" vertical="top"/>
    </xf>
    <xf numFmtId="0" fontId="37" fillId="7" borderId="0" xfId="0" applyFont="1" applyFill="1" applyAlignment="1">
      <alignment horizontal="left" vertical="top" wrapText="1"/>
    </xf>
    <xf numFmtId="0" fontId="37" fillId="7" borderId="0" xfId="0" applyFont="1" applyFill="1" applyAlignment="1">
      <alignment horizontal="left" vertical="top"/>
    </xf>
    <xf numFmtId="0" fontId="33" fillId="7" borderId="0" xfId="0" applyFont="1" applyFill="1" applyAlignment="1">
      <alignment horizontal="left" vertical="top"/>
    </xf>
    <xf numFmtId="0" fontId="133" fillId="7" borderId="0" xfId="0" applyFont="1" applyFill="1" applyAlignment="1">
      <alignment horizontal="left" vertical="top"/>
    </xf>
    <xf numFmtId="0" fontId="35" fillId="7" borderId="0" xfId="0" applyFont="1" applyFill="1" applyAlignment="1">
      <alignment horizontal="left" vertical="top"/>
    </xf>
    <xf numFmtId="0" fontId="36" fillId="7" borderId="0" xfId="0" applyFont="1" applyFill="1" applyAlignment="1">
      <alignment horizontal="left" vertical="top"/>
    </xf>
    <xf numFmtId="0" fontId="61" fillId="7" borderId="0" xfId="0" applyFont="1" applyFill="1" applyAlignment="1">
      <alignment horizontal="left" vertical="top"/>
    </xf>
    <xf numFmtId="9" fontId="21" fillId="2" borderId="0" xfId="0" applyNumberFormat="1" applyFont="1" applyFill="1" applyAlignment="1">
      <alignment horizontal="left" vertical="top"/>
    </xf>
    <xf numFmtId="0" fontId="14" fillId="0" borderId="0" xfId="0" applyFont="1" applyAlignment="1">
      <alignment horizontal="center" vertical="center"/>
    </xf>
    <xf numFmtId="0" fontId="14" fillId="7" borderId="0" xfId="0" applyFont="1" applyFill="1" applyAlignment="1">
      <alignment horizontal="left"/>
    </xf>
    <xf numFmtId="0" fontId="14" fillId="0" borderId="0" xfId="0" applyFont="1" applyAlignment="1">
      <alignment horizontal="left"/>
    </xf>
    <xf numFmtId="0" fontId="30" fillId="7" borderId="0" xfId="0" applyFont="1" applyFill="1" applyAlignment="1">
      <alignment horizontal="left" vertical="top"/>
    </xf>
    <xf numFmtId="0" fontId="38" fillId="7" borderId="0" xfId="0" applyFont="1" applyFill="1" applyAlignment="1">
      <alignment horizontal="left" vertical="top"/>
    </xf>
    <xf numFmtId="3" fontId="88" fillId="0" borderId="0" xfId="0" applyNumberFormat="1" applyFont="1" applyAlignment="1">
      <alignment horizontal="left" vertical="top"/>
    </xf>
  </cellXfs>
  <cellStyles count="9">
    <cellStyle name="Comma" xfId="3" builtinId="3"/>
    <cellStyle name="Comma 2" xfId="8" xr:uid="{00000000-0005-0000-0000-000001000000}"/>
    <cellStyle name="Followed Hyperlink" xfId="6" builtinId="9" customBuiltin="1"/>
    <cellStyle name="Hyperlink" xfId="5" builtinId="8" customBuiltin="1"/>
    <cellStyle name="Hyperlink 2" xfId="7" xr:uid="{00000000-0005-0000-0000-000004000000}"/>
    <cellStyle name="Normal" xfId="0" builtinId="0"/>
    <cellStyle name="Normal 11 2" xfId="1" xr:uid="{00000000-0005-0000-0000-000006000000}"/>
    <cellStyle name="Normal 2 2" xfId="2" xr:uid="{00000000-0005-0000-0000-000007000000}"/>
    <cellStyle name="Percent" xfId="4" builtinId="5"/>
  </cellStyles>
  <dxfs count="485">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0" tint="-4.9989318521683403E-2"/>
      </font>
      <fill>
        <patternFill>
          <bgColor theme="0" tint="-4.9989318521683403E-2"/>
        </patternFill>
      </fill>
    </dxf>
    <dxf>
      <font>
        <b/>
        <i val="0"/>
        <color theme="0"/>
      </font>
      <fill>
        <patternFill>
          <bgColor rgb="FFFF0000"/>
        </patternFill>
      </fill>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0" tint="-4.9989318521683403E-2"/>
      </font>
      <fill>
        <patternFill>
          <bgColor theme="0" tint="-4.9989318521683403E-2"/>
        </patternFill>
      </fill>
    </dxf>
    <dxf>
      <font>
        <b/>
        <i val="0"/>
        <color theme="0"/>
      </font>
      <fill>
        <patternFill>
          <bgColor rgb="FFFF0000"/>
        </patternFill>
      </fill>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0" tint="-4.9989318521683403E-2"/>
      </font>
      <fill>
        <patternFill>
          <bgColor theme="0" tint="-4.9989318521683403E-2"/>
        </patternFill>
      </fill>
    </dxf>
    <dxf>
      <font>
        <b/>
        <i val="0"/>
        <color theme="0"/>
      </font>
      <fill>
        <patternFill>
          <bgColor rgb="FFFF0000"/>
        </patternFill>
      </fill>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b/>
        <i val="0"/>
        <color theme="0" tint="-4.9989318521683403E-2"/>
      </font>
      <fill>
        <patternFill>
          <bgColor theme="0" tint="-4.9989318521683403E-2"/>
        </patternFill>
      </fill>
    </dxf>
    <dxf>
      <font>
        <b/>
        <i val="0"/>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b/>
        <i val="0"/>
        <color theme="0" tint="-4.9989318521683403E-2"/>
      </font>
      <fill>
        <patternFill>
          <bgColor theme="0" tint="-4.9989318521683403E-2"/>
        </patternFill>
      </fill>
    </dxf>
    <dxf>
      <font>
        <b/>
        <i val="0"/>
        <color theme="0" tint="-4.9989318521683403E-2"/>
      </font>
      <fill>
        <patternFill>
          <bgColor theme="0" tint="-4.9989318521683403E-2"/>
        </patternFill>
      </fill>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b/>
        <i val="0"/>
        <color theme="0" tint="-4.9989318521683403E-2"/>
      </font>
      <fill>
        <patternFill>
          <bgColor theme="0" tint="-4.9989318521683403E-2"/>
        </patternFill>
      </fill>
    </dxf>
    <dxf>
      <font>
        <b/>
        <i val="0"/>
        <color theme="0" tint="-4.9989318521683403E-2"/>
      </font>
      <fill>
        <patternFill>
          <bgColor theme="0" tint="-4.9989318521683403E-2"/>
        </patternFill>
      </fill>
    </dxf>
    <dxf>
      <font>
        <b/>
        <i val="0"/>
        <color theme="0"/>
      </font>
      <fill>
        <patternFill>
          <bgColor rgb="FFFF0000"/>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b/>
        <i val="0"/>
        <color theme="0" tint="-4.9989318521683403E-2"/>
      </font>
      <fill>
        <patternFill>
          <bgColor theme="0" tint="-4.9989318521683403E-2"/>
        </patternFill>
      </fill>
    </dxf>
    <dxf>
      <font>
        <b/>
        <i val="0"/>
        <color theme="0" tint="-4.9989318521683403E-2"/>
      </font>
      <fill>
        <patternFill>
          <bgColor theme="0" tint="-4.9989318521683403E-2"/>
        </patternFill>
      </fill>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b/>
        <i val="0"/>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b/>
        <i val="0"/>
        <color theme="0" tint="-4.9989318521683403E-2"/>
      </font>
      <fill>
        <patternFill>
          <bgColor theme="0" tint="-4.9989318521683403E-2"/>
        </patternFill>
      </fill>
    </dxf>
    <dxf>
      <font>
        <b/>
        <i val="0"/>
        <color theme="0" tint="-4.9989318521683403E-2"/>
      </font>
      <fill>
        <patternFill>
          <bgColor theme="0" tint="-4.9989318521683403E-2"/>
        </patternFill>
      </fill>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0" tint="-4.9989318521683403E-2"/>
      </font>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vertical/>
        <horizontal/>
      </border>
    </dxf>
    <dxf>
      <font>
        <color theme="0" tint="-4.9989318521683403E-2"/>
      </font>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vertical/>
        <horizontal/>
      </border>
    </dxf>
    <dxf>
      <font>
        <color theme="0" tint="-4.9989318521683403E-2"/>
      </font>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vertical/>
        <horizontal/>
      </border>
    </dxf>
    <dxf>
      <font>
        <color theme="3" tint="0.79998168889431442"/>
      </font>
    </dxf>
    <dxf>
      <font>
        <color theme="0" tint="-4.9989318521683403E-2"/>
      </font>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vertical/>
        <horizontal/>
      </border>
    </dxf>
    <dxf>
      <font>
        <color theme="0" tint="-4.9989318521683403E-2"/>
      </font>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vertical/>
        <horizontal/>
      </border>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0" tint="-4.9989318521683403E-2"/>
      </font>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vertical/>
        <horizontal/>
      </border>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3" tint="0.79998168889431442"/>
      </font>
    </dxf>
    <dxf>
      <font>
        <color theme="0" tint="-4.9989318521683403E-2"/>
      </font>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vertical/>
        <horizontal/>
      </border>
    </dxf>
    <dxf>
      <font>
        <color theme="0" tint="-4.9989318521683403E-2"/>
      </font>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vertical/>
        <horizontal/>
      </border>
    </dxf>
    <dxf>
      <font>
        <color theme="0" tint="-4.9989318521683403E-2"/>
      </font>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vertical/>
        <horizontal/>
      </border>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vertical/>
        <horizontal/>
      </border>
    </dxf>
    <dxf>
      <font>
        <color theme="0" tint="-4.9989318521683403E-2"/>
      </font>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vertical/>
        <horizontal/>
      </border>
    </dxf>
    <dxf>
      <font>
        <color theme="0" tint="-4.9989318521683403E-2"/>
      </font>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vertical/>
        <horizontal/>
      </border>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0" tint="-4.9989318521683403E-2"/>
      </font>
      <fill>
        <patternFill>
          <bgColor theme="0" tint="-4.9989318521683403E-2"/>
        </patternFill>
      </fill>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b/>
        <i val="0"/>
        <color theme="0" tint="-0.14996795556505021"/>
      </font>
      <fill>
        <patternFill>
          <bgColor theme="0" tint="-0.14996795556505021"/>
        </patternFill>
      </fill>
    </dxf>
    <dxf>
      <font>
        <b/>
        <i val="0"/>
        <color theme="0"/>
      </font>
      <fill>
        <patternFill>
          <bgColor rgb="FFFF0000"/>
        </patternFill>
      </fill>
    </dxf>
    <dxf>
      <font>
        <b/>
        <i val="0"/>
        <color theme="0" tint="-4.9989318521683403E-2"/>
      </font>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tint="-4.9989318521683403E-2"/>
      </font>
      <fill>
        <patternFill>
          <bgColor theme="0" tint="-4.9989318521683403E-2"/>
        </patternFill>
      </fill>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b/>
        <i val="0"/>
        <color theme="0" tint="-0.14996795556505021"/>
      </font>
      <fill>
        <patternFill>
          <bgColor theme="0" tint="-0.14996795556505021"/>
        </patternFill>
      </fill>
    </dxf>
    <dxf>
      <font>
        <b/>
        <i val="0"/>
        <color theme="0"/>
      </font>
      <fill>
        <patternFill>
          <bgColor rgb="FFFF0000"/>
        </patternFill>
      </fill>
    </dxf>
    <dxf>
      <font>
        <b/>
        <i val="0"/>
        <color theme="0" tint="-4.9989318521683403E-2"/>
      </font>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tint="-4.9989318521683403E-2"/>
      </font>
      <fill>
        <patternFill>
          <bgColor theme="0" tint="-4.9989318521683403E-2"/>
        </patternFill>
      </fill>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b/>
        <i val="0"/>
        <color theme="0" tint="-0.14996795556505021"/>
      </font>
      <fill>
        <patternFill>
          <bgColor theme="0" tint="-0.14996795556505021"/>
        </patternFill>
      </fill>
    </dxf>
    <dxf>
      <font>
        <b/>
        <i val="0"/>
        <color theme="0"/>
      </font>
      <fill>
        <patternFill>
          <bgColor rgb="FFFF0000"/>
        </patternFill>
      </fill>
    </dxf>
    <dxf>
      <font>
        <color theme="3"/>
      </font>
      <fill>
        <patternFill>
          <bgColor theme="3"/>
        </patternFill>
      </fill>
    </dxf>
    <dxf>
      <font>
        <b/>
        <i val="0"/>
        <color theme="0" tint="-4.9989318521683403E-2"/>
      </font>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tint="-4.9989318521683403E-2"/>
      </font>
      <fill>
        <patternFill>
          <bgColor theme="0" tint="-4.9989318521683403E-2"/>
        </patternFill>
      </fill>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rgb="FF9C0006"/>
      </font>
      <fill>
        <patternFill>
          <bgColor rgb="FFFFC7CE"/>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ill>
        <patternFill>
          <bgColor theme="0" tint="-4.9989318521683403E-2"/>
        </patternFill>
      </fill>
    </dxf>
    <dxf>
      <font>
        <color theme="0" tint="-4.9989318521683403E-2"/>
      </font>
    </dxf>
    <dxf>
      <font>
        <color theme="3" tint="0.79998168889431442"/>
      </font>
    </dxf>
    <dxf>
      <font>
        <color theme="3" tint="0.79998168889431442"/>
      </font>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b/>
        <i val="0"/>
        <strike val="0"/>
        <color theme="0"/>
      </font>
      <fill>
        <patternFill>
          <bgColor rgb="FFFF0000"/>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s>
  <tableStyles count="0" defaultTableStyle="TableStyleMedium2" defaultPivotStyle="PivotStyleLight16"/>
  <colors>
    <mruColors>
      <color rgb="FFFFFFFF"/>
      <color rgb="FF002855"/>
      <color rgb="FF008000"/>
      <color rgb="FF006600"/>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5514581967578847E-3"/>
          <c:y val="3.0809610337169391E-4"/>
          <c:w val="0.99744854180324216"/>
          <c:h val="0.93397294568948108"/>
        </c:manualLayout>
      </c:layout>
      <c:doughnutChart>
        <c:varyColors val="1"/>
        <c:ser>
          <c:idx val="0"/>
          <c:order val="0"/>
          <c:dPt>
            <c:idx val="0"/>
            <c:bubble3D val="0"/>
            <c:spPr>
              <a:solidFill>
                <a:schemeClr val="accent2"/>
              </a:solidFill>
            </c:spPr>
            <c:extLst>
              <c:ext xmlns:c16="http://schemas.microsoft.com/office/drawing/2014/chart" uri="{C3380CC4-5D6E-409C-BE32-E72D297353CC}">
                <c16:uniqueId val="{00000001-C294-4764-9BF6-F342395DB14D}"/>
              </c:ext>
            </c:extLst>
          </c:dPt>
          <c:dPt>
            <c:idx val="1"/>
            <c:bubble3D val="0"/>
            <c:spPr>
              <a:solidFill>
                <a:schemeClr val="accent2">
                  <a:lumMod val="50000"/>
                </a:schemeClr>
              </a:solidFill>
            </c:spPr>
            <c:extLst>
              <c:ext xmlns:c16="http://schemas.microsoft.com/office/drawing/2014/chart" uri="{C3380CC4-5D6E-409C-BE32-E72D297353CC}">
                <c16:uniqueId val="{00000003-C294-4764-9BF6-F342395DB14D}"/>
              </c:ext>
            </c:extLst>
          </c:dPt>
          <c:dPt>
            <c:idx val="2"/>
            <c:bubble3D val="0"/>
            <c:spPr>
              <a:solidFill>
                <a:schemeClr val="accent2">
                  <a:lumMod val="75000"/>
                </a:schemeClr>
              </a:solidFill>
            </c:spPr>
            <c:extLst>
              <c:ext xmlns:c16="http://schemas.microsoft.com/office/drawing/2014/chart" uri="{C3380CC4-5D6E-409C-BE32-E72D297353CC}">
                <c16:uniqueId val="{00000005-C294-4764-9BF6-F342395DB14D}"/>
              </c:ext>
            </c:extLst>
          </c:dPt>
          <c:dPt>
            <c:idx val="3"/>
            <c:bubble3D val="0"/>
            <c:spPr>
              <a:solidFill>
                <a:schemeClr val="accent2">
                  <a:lumMod val="60000"/>
                  <a:lumOff val="40000"/>
                </a:schemeClr>
              </a:solidFill>
            </c:spPr>
            <c:extLst>
              <c:ext xmlns:c16="http://schemas.microsoft.com/office/drawing/2014/chart" uri="{C3380CC4-5D6E-409C-BE32-E72D297353CC}">
                <c16:uniqueId val="{00000007-C294-4764-9BF6-F342395DB14D}"/>
              </c:ext>
            </c:extLst>
          </c:dPt>
          <c:dPt>
            <c:idx val="4"/>
            <c:bubble3D val="0"/>
            <c:spPr>
              <a:solidFill>
                <a:schemeClr val="accent2">
                  <a:lumMod val="40000"/>
                  <a:lumOff val="60000"/>
                </a:schemeClr>
              </a:solidFill>
            </c:spPr>
            <c:extLst>
              <c:ext xmlns:c16="http://schemas.microsoft.com/office/drawing/2014/chart" uri="{C3380CC4-5D6E-409C-BE32-E72D297353CC}">
                <c16:uniqueId val="{00000009-C294-4764-9BF6-F342395DB14D}"/>
              </c:ext>
            </c:extLst>
          </c:dPt>
          <c:dPt>
            <c:idx val="5"/>
            <c:bubble3D val="0"/>
            <c:spPr>
              <a:solidFill>
                <a:schemeClr val="accent2">
                  <a:lumMod val="20000"/>
                  <a:lumOff val="80000"/>
                </a:schemeClr>
              </a:solidFill>
            </c:spPr>
            <c:extLst>
              <c:ext xmlns:c16="http://schemas.microsoft.com/office/drawing/2014/chart" uri="{C3380CC4-5D6E-409C-BE32-E72D297353CC}">
                <c16:uniqueId val="{0000000B-C294-4764-9BF6-F342395DB14D}"/>
              </c:ext>
            </c:extLst>
          </c:dPt>
          <c:dPt>
            <c:idx val="6"/>
            <c:bubble3D val="0"/>
            <c:spPr>
              <a:solidFill>
                <a:schemeClr val="accent4"/>
              </a:solidFill>
            </c:spPr>
            <c:extLst>
              <c:ext xmlns:c16="http://schemas.microsoft.com/office/drawing/2014/chart" uri="{C3380CC4-5D6E-409C-BE32-E72D297353CC}">
                <c16:uniqueId val="{0000000D-C294-4764-9BF6-F342395DB14D}"/>
              </c:ext>
            </c:extLst>
          </c:dPt>
          <c:dPt>
            <c:idx val="7"/>
            <c:bubble3D val="0"/>
            <c:spPr>
              <a:solidFill>
                <a:schemeClr val="accent3"/>
              </a:solidFill>
            </c:spPr>
            <c:extLst>
              <c:ext xmlns:c16="http://schemas.microsoft.com/office/drawing/2014/chart" uri="{C3380CC4-5D6E-409C-BE32-E72D297353CC}">
                <c16:uniqueId val="{0000000F-C294-4764-9BF6-F342395DB14D}"/>
              </c:ext>
            </c:extLst>
          </c:dPt>
          <c:dPt>
            <c:idx val="8"/>
            <c:bubble3D val="0"/>
            <c:spPr>
              <a:solidFill>
                <a:schemeClr val="accent1"/>
              </a:solidFill>
            </c:spPr>
            <c:extLst>
              <c:ext xmlns:c16="http://schemas.microsoft.com/office/drawing/2014/chart" uri="{C3380CC4-5D6E-409C-BE32-E72D297353CC}">
                <c16:uniqueId val="{00000011-C294-4764-9BF6-F342395DB14D}"/>
              </c:ext>
            </c:extLst>
          </c:dPt>
          <c:dPt>
            <c:idx val="9"/>
            <c:bubble3D val="0"/>
            <c:spPr>
              <a:solidFill>
                <a:srgbClr val="00B050"/>
              </a:solidFill>
            </c:spPr>
            <c:extLst>
              <c:ext xmlns:c16="http://schemas.microsoft.com/office/drawing/2014/chart" uri="{C3380CC4-5D6E-409C-BE32-E72D297353CC}">
                <c16:uniqueId val="{00000013-C294-4764-9BF6-F342395DB14D}"/>
              </c:ext>
            </c:extLst>
          </c:dPt>
          <c:cat>
            <c:strRef>
              <c:f>Step1!$G$70:$G$79</c:f>
              <c:strCache>
                <c:ptCount val="10"/>
                <c:pt idx="0">
                  <c:v>Space heating (gas £ per year)</c:v>
                </c:pt>
                <c:pt idx="1">
                  <c:v>Hot water (gas £ per year)</c:v>
                </c:pt>
                <c:pt idx="2">
                  <c:v>Space heating (DH £ per year)</c:v>
                </c:pt>
                <c:pt idx="3">
                  <c:v>Hot water (DH £ per year)</c:v>
                </c:pt>
                <c:pt idx="4">
                  <c:v>Space heating (electricity £ per year)</c:v>
                </c:pt>
                <c:pt idx="5">
                  <c:v>Hot water (electricity £ per year)</c:v>
                </c:pt>
                <c:pt idx="6">
                  <c:v>Cooling (£ per year)</c:v>
                </c:pt>
                <c:pt idx="7">
                  <c:v>Lighting (£ per year)</c:v>
                </c:pt>
                <c:pt idx="8">
                  <c:v>Auxiliary - fans and pumps (£ per year))</c:v>
                </c:pt>
                <c:pt idx="9">
                  <c:v>Equipment /small power (£ per year)</c:v>
                </c:pt>
              </c:strCache>
            </c:strRef>
          </c:cat>
          <c:val>
            <c:numRef>
              <c:f>Step1!$O$70:$O$79</c:f>
              <c:numCache>
                <c:formatCode>#,##0</c:formatCode>
                <c:ptCount val="10"/>
                <c:pt idx="0">
                  <c:v>0</c:v>
                </c:pt>
                <c:pt idx="1">
                  <c:v>0</c:v>
                </c:pt>
                <c:pt idx="2">
                  <c:v>111944.88000000002</c:v>
                </c:pt>
                <c:pt idx="3">
                  <c:v>27986.220000000005</c:v>
                </c:pt>
                <c:pt idx="4">
                  <c:v>0</c:v>
                </c:pt>
                <c:pt idx="5">
                  <c:v>0</c:v>
                </c:pt>
                <c:pt idx="6">
                  <c:v>98005.027499999997</c:v>
                </c:pt>
                <c:pt idx="7">
                  <c:v>98005.027499999997</c:v>
                </c:pt>
                <c:pt idx="8">
                  <c:v>98005.027499999997</c:v>
                </c:pt>
                <c:pt idx="9">
                  <c:v>98005.027499999997</c:v>
                </c:pt>
              </c:numCache>
            </c:numRef>
          </c:val>
          <c:extLst>
            <c:ext xmlns:c16="http://schemas.microsoft.com/office/drawing/2014/chart" uri="{C3380CC4-5D6E-409C-BE32-E72D297353CC}">
              <c16:uniqueId val="{00000014-C294-4764-9BF6-F342395DB14D}"/>
            </c:ext>
          </c:extLst>
        </c:ser>
        <c:dLbls>
          <c:showLegendKey val="0"/>
          <c:showVal val="0"/>
          <c:showCatName val="0"/>
          <c:showSerName val="0"/>
          <c:showPercent val="0"/>
          <c:showBubbleSize val="0"/>
          <c:showLeaderLines val="1"/>
        </c:dLbls>
        <c:firstSliceAng val="0"/>
        <c:holeSize val="50"/>
      </c:doughnutChart>
    </c:plotArea>
    <c:plotVisOnly val="0"/>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755819375538897"/>
          <c:y val="3.4423797025371829E-2"/>
          <c:w val="0.66481097622287422"/>
          <c:h val="0.76614575678040242"/>
        </c:manualLayout>
      </c:layout>
      <c:lineChart>
        <c:grouping val="standard"/>
        <c:varyColors val="0"/>
        <c:ser>
          <c:idx val="0"/>
          <c:order val="0"/>
          <c:tx>
            <c:strRef>
              <c:f>SimpleC!$G$90</c:f>
              <c:strCache>
                <c:ptCount val="1"/>
                <c:pt idx="0">
                  <c:v>CURRENT (DO NOTHING)</c:v>
                </c:pt>
              </c:strCache>
            </c:strRef>
          </c:tx>
          <c:spPr>
            <a:ln w="12700">
              <a:solidFill>
                <a:schemeClr val="tx2"/>
              </a:solidFill>
            </a:ln>
          </c:spPr>
          <c:marker>
            <c:symbol val="none"/>
          </c:marker>
          <c:cat>
            <c:numRef>
              <c:f>SimpleC!$K$71:$AJ$71</c:f>
              <c:numCache>
                <c:formatCode>General</c:formatCode>
                <c:ptCount val="2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numCache>
            </c:numRef>
          </c:cat>
          <c:val>
            <c:numRef>
              <c:f>SimpleC!$K$112:$AJ$112</c:f>
              <c:numCache>
                <c:formatCode>#,##0</c:formatCode>
                <c:ptCount val="26"/>
                <c:pt idx="0">
                  <c:v>32276.779746795</c:v>
                </c:pt>
                <c:pt idx="1">
                  <c:v>66378.080475629758</c:v>
                </c:pt>
                <c:pt idx="2">
                  <c:v>102427.40838918614</c:v>
                </c:pt>
                <c:pt idx="3">
                  <c:v>140555.63299966027</c:v>
                </c:pt>
                <c:pt idx="4">
                  <c:v>180901.46687883977</c:v>
                </c:pt>
                <c:pt idx="5">
                  <c:v>223611.97477432835</c:v>
                </c:pt>
                <c:pt idx="6">
                  <c:v>268843.11396978848</c:v>
                </c:pt>
                <c:pt idx="7">
                  <c:v>316760.30788352573</c:v>
                </c:pt>
                <c:pt idx="8">
                  <c:v>367539.05502356938</c:v>
                </c:pt>
                <c:pt idx="9">
                  <c:v>421365.57554907486</c:v>
                </c:pt>
                <c:pt idx="10">
                  <c:v>478437.49782787316</c:v>
                </c:pt>
                <c:pt idx="11">
                  <c:v>538964.58752884064</c:v>
                </c:pt>
                <c:pt idx="12">
                  <c:v>603169.52194601356</c:v>
                </c:pt>
                <c:pt idx="13">
                  <c:v>671288.71241961489</c:v>
                </c:pt>
                <c:pt idx="14">
                  <c:v>743573.17789801641</c:v>
                </c:pt>
                <c:pt idx="15">
                  <c:v>820289.472874798</c:v>
                </c:pt>
                <c:pt idx="16">
                  <c:v>901720.67313719017</c:v>
                </c:pt>
                <c:pt idx="17">
                  <c:v>988167.42297704658</c:v>
                </c:pt>
                <c:pt idx="18">
                  <c:v>1079949.0477438911</c:v>
                </c:pt>
                <c:pt idx="19">
                  <c:v>1177404.7358623631</c:v>
                </c:pt>
                <c:pt idx="20">
                  <c:v>1280894.7946944511</c:v>
                </c:pt>
                <c:pt idx="21">
                  <c:v>1390801.9849012131</c:v>
                </c:pt>
                <c:pt idx="22">
                  <c:v>1507532.938250252</c:v>
                </c:pt>
                <c:pt idx="23">
                  <c:v>1631519.6641251303</c:v>
                </c:pt>
                <c:pt idx="24">
                  <c:v>1763221.1503223171</c:v>
                </c:pt>
                <c:pt idx="25">
                  <c:v>1903125.0640713908</c:v>
                </c:pt>
              </c:numCache>
            </c:numRef>
          </c:val>
          <c:smooth val="0"/>
          <c:extLst>
            <c:ext xmlns:c16="http://schemas.microsoft.com/office/drawing/2014/chart" uri="{C3380CC4-5D6E-409C-BE32-E72D297353CC}">
              <c16:uniqueId val="{00000000-A0A8-49D4-BBFC-FBC44A18F1C3}"/>
            </c:ext>
          </c:extLst>
        </c:ser>
        <c:ser>
          <c:idx val="1"/>
          <c:order val="1"/>
          <c:tx>
            <c:strRef>
              <c:f>SimpleC!$G$114</c:f>
              <c:strCache>
                <c:ptCount val="1"/>
                <c:pt idx="0">
                  <c:v>PREFERRED OPTION</c:v>
                </c:pt>
              </c:strCache>
            </c:strRef>
          </c:tx>
          <c:spPr>
            <a:ln w="38100">
              <a:solidFill>
                <a:schemeClr val="accent6"/>
              </a:solidFill>
            </a:ln>
          </c:spPr>
          <c:marker>
            <c:symbol val="none"/>
          </c:marker>
          <c:cat>
            <c:numRef>
              <c:f>SimpleC!$K$71:$AJ$71</c:f>
              <c:numCache>
                <c:formatCode>General</c:formatCode>
                <c:ptCount val="2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numCache>
            </c:numRef>
          </c:cat>
          <c:val>
            <c:numRef>
              <c:f>SimpleC!$K$136:$AJ$136</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01-A0A8-49D4-BBFC-FBC44A18F1C3}"/>
            </c:ext>
          </c:extLst>
        </c:ser>
        <c:ser>
          <c:idx val="2"/>
          <c:order val="2"/>
          <c:tx>
            <c:strRef>
              <c:f>SimpleC!$G$138</c:f>
              <c:strCache>
                <c:ptCount val="1"/>
                <c:pt idx="0">
                  <c:v>SECOND OPTION</c:v>
                </c:pt>
              </c:strCache>
            </c:strRef>
          </c:tx>
          <c:spPr>
            <a:ln w="38100">
              <a:solidFill>
                <a:schemeClr val="accent1"/>
              </a:solidFill>
              <a:prstDash val="sysDot"/>
            </a:ln>
          </c:spPr>
          <c:marker>
            <c:symbol val="none"/>
          </c:marker>
          <c:cat>
            <c:numRef>
              <c:f>SimpleC!$K$71:$AJ$71</c:f>
              <c:numCache>
                <c:formatCode>General</c:formatCode>
                <c:ptCount val="2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numCache>
            </c:numRef>
          </c:cat>
          <c:val>
            <c:numRef>
              <c:f>SimpleC!$K$160:$AJ$160</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02-A0A8-49D4-BBFC-FBC44A18F1C3}"/>
            </c:ext>
          </c:extLst>
        </c:ser>
        <c:dLbls>
          <c:showLegendKey val="0"/>
          <c:showVal val="0"/>
          <c:showCatName val="0"/>
          <c:showSerName val="0"/>
          <c:showPercent val="0"/>
          <c:showBubbleSize val="0"/>
        </c:dLbls>
        <c:smooth val="0"/>
        <c:axId val="109783016"/>
        <c:axId val="109783408"/>
      </c:lineChart>
      <c:catAx>
        <c:axId val="109783016"/>
        <c:scaling>
          <c:orientation val="minMax"/>
        </c:scaling>
        <c:delete val="0"/>
        <c:axPos val="b"/>
        <c:numFmt formatCode="General" sourceLinked="1"/>
        <c:majorTickMark val="out"/>
        <c:minorTickMark val="none"/>
        <c:tickLblPos val="nextTo"/>
        <c:crossAx val="109783408"/>
        <c:crosses val="autoZero"/>
        <c:auto val="1"/>
        <c:lblAlgn val="ctr"/>
        <c:lblOffset val="100"/>
        <c:tickLblSkip val="5"/>
        <c:tickMarkSkip val="1"/>
        <c:noMultiLvlLbl val="0"/>
      </c:catAx>
      <c:valAx>
        <c:axId val="109783408"/>
        <c:scaling>
          <c:orientation val="minMax"/>
        </c:scaling>
        <c:delete val="0"/>
        <c:axPos val="l"/>
        <c:title>
          <c:tx>
            <c:rich>
              <a:bodyPr rot="-5400000" vert="horz"/>
              <a:lstStyle/>
              <a:p>
                <a:pPr>
                  <a:defRPr/>
                </a:pPr>
                <a:r>
                  <a:rPr lang="en-GB"/>
                  <a:t>NPV (£)</a:t>
                </a:r>
              </a:p>
            </c:rich>
          </c:tx>
          <c:overlay val="0"/>
        </c:title>
        <c:numFmt formatCode="#,##0" sourceLinked="1"/>
        <c:majorTickMark val="out"/>
        <c:minorTickMark val="none"/>
        <c:tickLblPos val="nextTo"/>
        <c:crossAx val="109783016"/>
        <c:crosses val="autoZero"/>
        <c:crossBetween val="between"/>
      </c:valAx>
      <c:spPr>
        <a:ln>
          <a:solidFill>
            <a:schemeClr val="tx2"/>
          </a:solidFill>
        </a:ln>
      </c:spPr>
    </c:plotArea>
    <c:legend>
      <c:legendPos val="b"/>
      <c:layout>
        <c:manualLayout>
          <c:xMode val="edge"/>
          <c:yMode val="edge"/>
          <c:x val="0.16814458982305253"/>
          <c:y val="0.86767261592300959"/>
          <c:w val="0.66371053433193139"/>
          <c:h val="0.13232738407699038"/>
        </c:manualLayout>
      </c:layout>
      <c:overlay val="0"/>
    </c:legend>
    <c:plotVisOnly val="0"/>
    <c:dispBlanksAs val="gap"/>
    <c:showDLblsOverMax val="0"/>
  </c:chart>
  <c:spPr>
    <a:ln>
      <a:noFill/>
    </a:ln>
  </c:spPr>
  <c:txPr>
    <a:bodyPr/>
    <a:lstStyle/>
    <a:p>
      <a:pPr>
        <a:defRPr sz="800">
          <a:solidFill>
            <a:schemeClr val="tx2"/>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749779926534639"/>
          <c:y val="3.5564485473798535E-2"/>
          <c:w val="0.66632010147428833"/>
          <c:h val="0.76418372703412074"/>
        </c:manualLayout>
      </c:layout>
      <c:lineChart>
        <c:grouping val="standard"/>
        <c:varyColors val="0"/>
        <c:ser>
          <c:idx val="0"/>
          <c:order val="0"/>
          <c:tx>
            <c:strRef>
              <c:f>SimpleL!$G$90</c:f>
              <c:strCache>
                <c:ptCount val="1"/>
                <c:pt idx="0">
                  <c:v>CURRENT (DO NOTHING)</c:v>
                </c:pt>
              </c:strCache>
            </c:strRef>
          </c:tx>
          <c:spPr>
            <a:ln w="12700">
              <a:solidFill>
                <a:schemeClr val="tx2"/>
              </a:solidFill>
            </a:ln>
          </c:spPr>
          <c:marker>
            <c:symbol val="none"/>
          </c:marker>
          <c:cat>
            <c:numRef>
              <c:f>SimpleL!$K$71:$AJ$71</c:f>
              <c:numCache>
                <c:formatCode>General</c:formatCode>
                <c:ptCount val="2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numCache>
            </c:numRef>
          </c:cat>
          <c:val>
            <c:numRef>
              <c:f>SimpleL!$K$112:$AJ$112</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00-547E-4ACA-8D5F-9854B86DC720}"/>
            </c:ext>
          </c:extLst>
        </c:ser>
        <c:ser>
          <c:idx val="1"/>
          <c:order val="1"/>
          <c:tx>
            <c:strRef>
              <c:f>SimpleL!$G$114</c:f>
              <c:strCache>
                <c:ptCount val="1"/>
                <c:pt idx="0">
                  <c:v>PREFERRED OPTION</c:v>
                </c:pt>
              </c:strCache>
            </c:strRef>
          </c:tx>
          <c:spPr>
            <a:ln w="38100">
              <a:solidFill>
                <a:schemeClr val="accent6"/>
              </a:solidFill>
            </a:ln>
          </c:spPr>
          <c:marker>
            <c:symbol val="none"/>
          </c:marker>
          <c:cat>
            <c:numRef>
              <c:f>SimpleL!$K$71:$AJ$71</c:f>
              <c:numCache>
                <c:formatCode>General</c:formatCode>
                <c:ptCount val="2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numCache>
            </c:numRef>
          </c:cat>
          <c:val>
            <c:numRef>
              <c:f>SimpleL!$K$136:$AJ$136</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01-547E-4ACA-8D5F-9854B86DC720}"/>
            </c:ext>
          </c:extLst>
        </c:ser>
        <c:ser>
          <c:idx val="2"/>
          <c:order val="2"/>
          <c:tx>
            <c:strRef>
              <c:f>SimpleL!$G$138</c:f>
              <c:strCache>
                <c:ptCount val="1"/>
                <c:pt idx="0">
                  <c:v>SECOND OPTION</c:v>
                </c:pt>
              </c:strCache>
            </c:strRef>
          </c:tx>
          <c:spPr>
            <a:ln w="38100">
              <a:solidFill>
                <a:schemeClr val="accent1"/>
              </a:solidFill>
              <a:prstDash val="sysDot"/>
            </a:ln>
          </c:spPr>
          <c:marker>
            <c:symbol val="none"/>
          </c:marker>
          <c:cat>
            <c:numRef>
              <c:f>SimpleL!$K$71:$AJ$71</c:f>
              <c:numCache>
                <c:formatCode>General</c:formatCode>
                <c:ptCount val="2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numCache>
            </c:numRef>
          </c:cat>
          <c:val>
            <c:numRef>
              <c:f>SimpleL!$K$160:$AJ$160</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02-547E-4ACA-8D5F-9854B86DC720}"/>
            </c:ext>
          </c:extLst>
        </c:ser>
        <c:dLbls>
          <c:showLegendKey val="0"/>
          <c:showVal val="0"/>
          <c:showCatName val="0"/>
          <c:showSerName val="0"/>
          <c:showPercent val="0"/>
          <c:showBubbleSize val="0"/>
        </c:dLbls>
        <c:smooth val="0"/>
        <c:axId val="108981096"/>
        <c:axId val="109454248"/>
      </c:lineChart>
      <c:catAx>
        <c:axId val="108981096"/>
        <c:scaling>
          <c:orientation val="minMax"/>
        </c:scaling>
        <c:delete val="0"/>
        <c:axPos val="b"/>
        <c:numFmt formatCode="General" sourceLinked="1"/>
        <c:majorTickMark val="out"/>
        <c:minorTickMark val="none"/>
        <c:tickLblPos val="nextTo"/>
        <c:crossAx val="109454248"/>
        <c:crosses val="autoZero"/>
        <c:auto val="1"/>
        <c:lblAlgn val="ctr"/>
        <c:lblOffset val="100"/>
        <c:tickLblSkip val="5"/>
        <c:tickMarkSkip val="1"/>
        <c:noMultiLvlLbl val="0"/>
      </c:catAx>
      <c:valAx>
        <c:axId val="109454248"/>
        <c:scaling>
          <c:orientation val="minMax"/>
        </c:scaling>
        <c:delete val="0"/>
        <c:axPos val="l"/>
        <c:title>
          <c:tx>
            <c:rich>
              <a:bodyPr rot="-5400000" vert="horz"/>
              <a:lstStyle/>
              <a:p>
                <a:pPr>
                  <a:defRPr/>
                </a:pPr>
                <a:r>
                  <a:rPr lang="en-GB"/>
                  <a:t>NPV (£)</a:t>
                </a:r>
              </a:p>
            </c:rich>
          </c:tx>
          <c:overlay val="0"/>
        </c:title>
        <c:numFmt formatCode="#,##0" sourceLinked="1"/>
        <c:majorTickMark val="out"/>
        <c:minorTickMark val="none"/>
        <c:tickLblPos val="nextTo"/>
        <c:crossAx val="108981096"/>
        <c:crosses val="autoZero"/>
        <c:crossBetween val="between"/>
      </c:valAx>
      <c:spPr>
        <a:ln>
          <a:solidFill>
            <a:schemeClr val="tx2"/>
          </a:solidFill>
        </a:ln>
      </c:spPr>
    </c:plotArea>
    <c:legend>
      <c:legendPos val="b"/>
      <c:layout>
        <c:manualLayout>
          <c:xMode val="edge"/>
          <c:yMode val="edge"/>
          <c:x val="0.16829765395089147"/>
          <c:y val="0.86718425196850391"/>
          <c:w val="0.67074637504585122"/>
          <c:h val="0.13281574803149604"/>
        </c:manualLayout>
      </c:layout>
      <c:overlay val="0"/>
    </c:legend>
    <c:plotVisOnly val="0"/>
    <c:dispBlanksAs val="gap"/>
    <c:showDLblsOverMax val="0"/>
  </c:chart>
  <c:spPr>
    <a:ln>
      <a:noFill/>
    </a:ln>
  </c:spPr>
  <c:txPr>
    <a:bodyPr/>
    <a:lstStyle/>
    <a:p>
      <a:pPr>
        <a:defRPr sz="800">
          <a:solidFill>
            <a:schemeClr val="tx2"/>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985684674534857"/>
          <c:y val="3.3092446777486149E-2"/>
          <c:w val="0.60060378679325765"/>
          <c:h val="0.54700612423447081"/>
        </c:manualLayout>
      </c:layout>
      <c:lineChart>
        <c:grouping val="standard"/>
        <c:varyColors val="0"/>
        <c:ser>
          <c:idx val="0"/>
          <c:order val="0"/>
          <c:tx>
            <c:strRef>
              <c:f>SimpleStep3!$G$122</c:f>
              <c:strCache>
                <c:ptCount val="1"/>
                <c:pt idx="0">
                  <c:v>Benchmark</c:v>
                </c:pt>
              </c:strCache>
            </c:strRef>
          </c:tx>
          <c:spPr>
            <a:ln w="6350">
              <a:solidFill>
                <a:schemeClr val="tx2"/>
              </a:solidFill>
            </a:ln>
          </c:spPr>
          <c:marker>
            <c:symbol val="none"/>
          </c:marker>
          <c:val>
            <c:numRef>
              <c:f>SimpleStep3!$K$131:$AJ$131</c:f>
              <c:numCache>
                <c:formatCode>#,##0</c:formatCode>
                <c:ptCount val="26"/>
                <c:pt idx="0">
                  <c:v>531951.21</c:v>
                </c:pt>
                <c:pt idx="1">
                  <c:v>579549.08700000006</c:v>
                </c:pt>
                <c:pt idx="2">
                  <c:v>631570.91706000012</c:v>
                </c:pt>
                <c:pt idx="3">
                  <c:v>688438.94540760014</c:v>
                </c:pt>
                <c:pt idx="4">
                  <c:v>750616.43278845621</c:v>
                </c:pt>
                <c:pt idx="5">
                  <c:v>818611.68447780376</c:v>
                </c:pt>
                <c:pt idx="6">
                  <c:v>892982.4778407159</c:v>
                </c:pt>
                <c:pt idx="7">
                  <c:v>974340.92803482735</c:v>
                </c:pt>
                <c:pt idx="8">
                  <c:v>1063358.8353929524</c:v>
                </c:pt>
                <c:pt idx="9">
                  <c:v>1160773.5623601684</c:v>
                </c:pt>
                <c:pt idx="10">
                  <c:v>1267394.4926297814</c:v>
                </c:pt>
                <c:pt idx="11">
                  <c:v>1384110.1303683715</c:v>
                </c:pt>
                <c:pt idx="12">
                  <c:v>1511895.9031893571</c:v>
                </c:pt>
                <c:pt idx="13">
                  <c:v>1651822.7388794902</c:v>
                </c:pt>
                <c:pt idx="14">
                  <c:v>1805066.4928609084</c:v>
                </c:pt>
                <c:pt idx="15">
                  <c:v>1972918.3110460767</c:v>
                </c:pt>
                <c:pt idx="16">
                  <c:v>2156796.0211837064</c:v>
                </c:pt>
                <c:pt idx="17">
                  <c:v>2358256.6550770802</c:v>
                </c:pt>
                <c:pt idx="18">
                  <c:v>2579010.2142662923</c:v>
                </c:pt>
                <c:pt idx="19">
                  <c:v>2820934.8029953153</c:v>
                </c:pt>
                <c:pt idx="20">
                  <c:v>3086093.2646353841</c:v>
                </c:pt>
                <c:pt idx="21">
                  <c:v>3376751.471319892</c:v>
                </c:pt>
                <c:pt idx="22">
                  <c:v>3695398.4314861093</c:v>
                </c:pt>
                <c:pt idx="23">
                  <c:v>4044768.396451002</c:v>
                </c:pt>
                <c:pt idx="24">
                  <c:v>4427865.1652213614</c:v>
                </c:pt>
                <c:pt idx="25">
                  <c:v>4847988.8066162709</c:v>
                </c:pt>
              </c:numCache>
            </c:numRef>
          </c:val>
          <c:smooth val="0"/>
          <c:extLst>
            <c:ext xmlns:c16="http://schemas.microsoft.com/office/drawing/2014/chart" uri="{C3380CC4-5D6E-409C-BE32-E72D297353CC}">
              <c16:uniqueId val="{00000000-ABFF-4A2D-B289-526902E7B50B}"/>
            </c:ext>
          </c:extLst>
        </c:ser>
        <c:ser>
          <c:idx val="1"/>
          <c:order val="1"/>
          <c:tx>
            <c:strRef>
              <c:f>SimpleStep3!$G$133</c:f>
              <c:strCache>
                <c:ptCount val="1"/>
                <c:pt idx="0">
                  <c:v>Preferred Option</c:v>
                </c:pt>
              </c:strCache>
            </c:strRef>
          </c:tx>
          <c:spPr>
            <a:ln>
              <a:solidFill>
                <a:schemeClr val="accent6"/>
              </a:solidFill>
            </a:ln>
          </c:spPr>
          <c:marker>
            <c:symbol val="none"/>
          </c:marker>
          <c:val>
            <c:numRef>
              <c:f>SimpleStep3!$K$142:$AJ$142</c:f>
              <c:numCache>
                <c:formatCode>#,##0</c:formatCode>
                <c:ptCount val="26"/>
                <c:pt idx="0">
                  <c:v>531951.21</c:v>
                </c:pt>
                <c:pt idx="1">
                  <c:v>579549.08700000006</c:v>
                </c:pt>
                <c:pt idx="2">
                  <c:v>631570.91706000012</c:v>
                </c:pt>
                <c:pt idx="3">
                  <c:v>688438.94540760014</c:v>
                </c:pt>
                <c:pt idx="4">
                  <c:v>750616.43278845621</c:v>
                </c:pt>
                <c:pt idx="5">
                  <c:v>818611.68447780376</c:v>
                </c:pt>
                <c:pt idx="6">
                  <c:v>892982.4778407159</c:v>
                </c:pt>
                <c:pt idx="7">
                  <c:v>974340.92803482735</c:v>
                </c:pt>
                <c:pt idx="8">
                  <c:v>1063358.8353929524</c:v>
                </c:pt>
                <c:pt idx="9">
                  <c:v>1160773.5623601684</c:v>
                </c:pt>
                <c:pt idx="10">
                  <c:v>1267394.4926297814</c:v>
                </c:pt>
                <c:pt idx="11">
                  <c:v>1384110.1303683715</c:v>
                </c:pt>
                <c:pt idx="12">
                  <c:v>1511895.9031893571</c:v>
                </c:pt>
                <c:pt idx="13">
                  <c:v>1651822.7388794902</c:v>
                </c:pt>
                <c:pt idx="14">
                  <c:v>1805066.4928609084</c:v>
                </c:pt>
                <c:pt idx="15">
                  <c:v>1972918.3110460767</c:v>
                </c:pt>
                <c:pt idx="16">
                  <c:v>2156796.0211837064</c:v>
                </c:pt>
                <c:pt idx="17">
                  <c:v>2358256.6550770802</c:v>
                </c:pt>
                <c:pt idx="18">
                  <c:v>2579010.2142662923</c:v>
                </c:pt>
                <c:pt idx="19">
                  <c:v>2820934.8029953153</c:v>
                </c:pt>
                <c:pt idx="20">
                  <c:v>3086093.2646353841</c:v>
                </c:pt>
                <c:pt idx="21">
                  <c:v>3376751.471319892</c:v>
                </c:pt>
                <c:pt idx="22">
                  <c:v>3695398.4314861093</c:v>
                </c:pt>
                <c:pt idx="23">
                  <c:v>4044768.396451002</c:v>
                </c:pt>
                <c:pt idx="24">
                  <c:v>4427865.1652213614</c:v>
                </c:pt>
                <c:pt idx="25">
                  <c:v>4847988.8066162709</c:v>
                </c:pt>
              </c:numCache>
            </c:numRef>
          </c:val>
          <c:smooth val="0"/>
          <c:extLst>
            <c:ext xmlns:c16="http://schemas.microsoft.com/office/drawing/2014/chart" uri="{C3380CC4-5D6E-409C-BE32-E72D297353CC}">
              <c16:uniqueId val="{00000001-ABFF-4A2D-B289-526902E7B50B}"/>
            </c:ext>
          </c:extLst>
        </c:ser>
        <c:ser>
          <c:idx val="2"/>
          <c:order val="2"/>
          <c:tx>
            <c:strRef>
              <c:f>SimpleStep3!$G$147</c:f>
              <c:strCache>
                <c:ptCount val="1"/>
                <c:pt idx="0">
                  <c:v>Second Option</c:v>
                </c:pt>
              </c:strCache>
            </c:strRef>
          </c:tx>
          <c:spPr>
            <a:ln>
              <a:solidFill>
                <a:schemeClr val="accent1"/>
              </a:solidFill>
              <a:prstDash val="sysDot"/>
            </a:ln>
          </c:spPr>
          <c:marker>
            <c:symbol val="none"/>
          </c:marker>
          <c:val>
            <c:numRef>
              <c:f>SimpleStep3!$K$156:$AJ$156</c:f>
              <c:numCache>
                <c:formatCode>#,##0</c:formatCode>
                <c:ptCount val="26"/>
                <c:pt idx="0">
                  <c:v>531951.21</c:v>
                </c:pt>
                <c:pt idx="1">
                  <c:v>579549.08700000006</c:v>
                </c:pt>
                <c:pt idx="2">
                  <c:v>631570.91706000012</c:v>
                </c:pt>
                <c:pt idx="3">
                  <c:v>688438.94540760014</c:v>
                </c:pt>
                <c:pt idx="4">
                  <c:v>750616.43278845621</c:v>
                </c:pt>
                <c:pt idx="5">
                  <c:v>818611.68447780376</c:v>
                </c:pt>
                <c:pt idx="6">
                  <c:v>892982.4778407159</c:v>
                </c:pt>
                <c:pt idx="7">
                  <c:v>974340.92803482735</c:v>
                </c:pt>
                <c:pt idx="8">
                  <c:v>1063358.8353929524</c:v>
                </c:pt>
                <c:pt idx="9">
                  <c:v>1160773.5623601684</c:v>
                </c:pt>
                <c:pt idx="10">
                  <c:v>1267394.4926297814</c:v>
                </c:pt>
                <c:pt idx="11">
                  <c:v>1384110.1303683715</c:v>
                </c:pt>
                <c:pt idx="12">
                  <c:v>1511895.9031893571</c:v>
                </c:pt>
                <c:pt idx="13">
                  <c:v>1651822.7388794902</c:v>
                </c:pt>
                <c:pt idx="14">
                  <c:v>1805066.4928609084</c:v>
                </c:pt>
                <c:pt idx="15">
                  <c:v>1972918.3110460767</c:v>
                </c:pt>
                <c:pt idx="16">
                  <c:v>2156796.0211837064</c:v>
                </c:pt>
                <c:pt idx="17">
                  <c:v>2358256.6550770802</c:v>
                </c:pt>
                <c:pt idx="18">
                  <c:v>2579010.2142662923</c:v>
                </c:pt>
                <c:pt idx="19">
                  <c:v>2820934.8029953153</c:v>
                </c:pt>
                <c:pt idx="20">
                  <c:v>3086093.2646353841</c:v>
                </c:pt>
                <c:pt idx="21">
                  <c:v>3376751.471319892</c:v>
                </c:pt>
                <c:pt idx="22">
                  <c:v>3695398.4314861093</c:v>
                </c:pt>
                <c:pt idx="23">
                  <c:v>4044768.396451002</c:v>
                </c:pt>
                <c:pt idx="24">
                  <c:v>4427865.1652213614</c:v>
                </c:pt>
                <c:pt idx="25">
                  <c:v>4847988.8066162709</c:v>
                </c:pt>
              </c:numCache>
            </c:numRef>
          </c:val>
          <c:smooth val="0"/>
          <c:extLst>
            <c:ext xmlns:c16="http://schemas.microsoft.com/office/drawing/2014/chart" uri="{C3380CC4-5D6E-409C-BE32-E72D297353CC}">
              <c16:uniqueId val="{00000000-15F1-40D1-BF99-ED6BCA3C41DD}"/>
            </c:ext>
          </c:extLst>
        </c:ser>
        <c:dLbls>
          <c:showLegendKey val="0"/>
          <c:showVal val="0"/>
          <c:showCatName val="0"/>
          <c:showSerName val="0"/>
          <c:showPercent val="0"/>
          <c:showBubbleSize val="0"/>
        </c:dLbls>
        <c:smooth val="0"/>
        <c:axId val="109776320"/>
        <c:axId val="109776712"/>
      </c:lineChart>
      <c:catAx>
        <c:axId val="109776320"/>
        <c:scaling>
          <c:orientation val="minMax"/>
        </c:scaling>
        <c:delete val="0"/>
        <c:axPos val="b"/>
        <c:title>
          <c:tx>
            <c:rich>
              <a:bodyPr/>
              <a:lstStyle/>
              <a:p>
                <a:pPr>
                  <a:defRPr/>
                </a:pPr>
                <a:r>
                  <a:rPr lang="en-GB"/>
                  <a:t>Year</a:t>
                </a:r>
              </a:p>
            </c:rich>
          </c:tx>
          <c:overlay val="0"/>
        </c:title>
        <c:numFmt formatCode="General" sourceLinked="1"/>
        <c:majorTickMark val="out"/>
        <c:minorTickMark val="none"/>
        <c:tickLblPos val="nextTo"/>
        <c:txPr>
          <a:bodyPr/>
          <a:lstStyle/>
          <a:p>
            <a:pPr>
              <a:defRPr sz="800"/>
            </a:pPr>
            <a:endParaRPr lang="en-US"/>
          </a:p>
        </c:txPr>
        <c:crossAx val="109776712"/>
        <c:crosses val="autoZero"/>
        <c:auto val="1"/>
        <c:lblAlgn val="ctr"/>
        <c:lblOffset val="100"/>
        <c:noMultiLvlLbl val="0"/>
      </c:catAx>
      <c:valAx>
        <c:axId val="109776712"/>
        <c:scaling>
          <c:orientation val="minMax"/>
        </c:scaling>
        <c:delete val="0"/>
        <c:axPos val="l"/>
        <c:title>
          <c:tx>
            <c:rich>
              <a:bodyPr rot="-5400000" vert="horz"/>
              <a:lstStyle/>
              <a:p>
                <a:pPr>
                  <a:defRPr/>
                </a:pPr>
                <a:r>
                  <a:rPr lang="en-GB"/>
                  <a:t>£</a:t>
                </a:r>
              </a:p>
            </c:rich>
          </c:tx>
          <c:layout>
            <c:manualLayout>
              <c:xMode val="edge"/>
              <c:yMode val="edge"/>
              <c:x val="5.316818276177955E-2"/>
              <c:y val="0.12711402741324002"/>
            </c:manualLayout>
          </c:layout>
          <c:overlay val="0"/>
        </c:title>
        <c:numFmt formatCode="#,##0" sourceLinked="1"/>
        <c:majorTickMark val="out"/>
        <c:minorTickMark val="none"/>
        <c:tickLblPos val="nextTo"/>
        <c:txPr>
          <a:bodyPr/>
          <a:lstStyle/>
          <a:p>
            <a:pPr>
              <a:defRPr sz="800"/>
            </a:pPr>
            <a:endParaRPr lang="en-US"/>
          </a:p>
        </c:txPr>
        <c:crossAx val="109776320"/>
        <c:crosses val="autoZero"/>
        <c:crossBetween val="midCat"/>
      </c:valAx>
      <c:spPr>
        <a:ln>
          <a:solidFill>
            <a:schemeClr val="tx2"/>
          </a:solidFill>
        </a:ln>
      </c:spPr>
    </c:plotArea>
    <c:legend>
      <c:legendPos val="b"/>
      <c:layout>
        <c:manualLayout>
          <c:xMode val="edge"/>
          <c:yMode val="edge"/>
          <c:x val="0.19625924958708421"/>
          <c:y val="0.87360571595217262"/>
          <c:w val="0.74269005748006522"/>
          <c:h val="0.12639428404782735"/>
        </c:manualLayout>
      </c:layout>
      <c:overlay val="0"/>
    </c:legend>
    <c:plotVisOnly val="0"/>
    <c:dispBlanksAs val="gap"/>
    <c:showDLblsOverMax val="0"/>
  </c:chart>
  <c:spPr>
    <a:noFill/>
    <a:ln>
      <a:noFill/>
    </a:ln>
  </c:spPr>
  <c:txPr>
    <a:bodyPr/>
    <a:lstStyle/>
    <a:p>
      <a:pPr>
        <a:defRPr>
          <a:solidFill>
            <a:schemeClr val="tx2"/>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926977483784167"/>
          <c:y val="4.0499854184893554E-2"/>
          <c:w val="0.60064651400632219"/>
          <c:h val="0.52478390201224856"/>
        </c:manualLayout>
      </c:layout>
      <c:lineChart>
        <c:grouping val="standard"/>
        <c:varyColors val="0"/>
        <c:ser>
          <c:idx val="0"/>
          <c:order val="0"/>
          <c:tx>
            <c:strRef>
              <c:f>SimpleStep3!$G$122</c:f>
              <c:strCache>
                <c:ptCount val="1"/>
                <c:pt idx="0">
                  <c:v>Benchmark</c:v>
                </c:pt>
              </c:strCache>
            </c:strRef>
          </c:tx>
          <c:spPr>
            <a:ln w="6350">
              <a:solidFill>
                <a:schemeClr val="tx2"/>
              </a:solidFill>
            </a:ln>
          </c:spPr>
          <c:marker>
            <c:symbol val="none"/>
          </c:marker>
          <c:val>
            <c:numRef>
              <c:f>SimpleStep3!$K$126:$AJ$126</c:f>
              <c:numCache>
                <c:formatCode>#,##0</c:formatCode>
                <c:ptCount val="26"/>
                <c:pt idx="0">
                  <c:v>509993.97048000002</c:v>
                </c:pt>
                <c:pt idx="1">
                  <c:v>502657.6302666</c:v>
                </c:pt>
                <c:pt idx="2">
                  <c:v>495541.38025960198</c:v>
                </c:pt>
                <c:pt idx="3">
                  <c:v>488638.61775281391</c:v>
                </c:pt>
                <c:pt idx="4">
                  <c:v>481942.93812122953</c:v>
                </c:pt>
                <c:pt idx="5">
                  <c:v>475448.12887859263</c:v>
                </c:pt>
                <c:pt idx="6">
                  <c:v>469148.16391323484</c:v>
                </c:pt>
                <c:pt idx="7">
                  <c:v>463037.19789683778</c:v>
                </c:pt>
                <c:pt idx="8">
                  <c:v>457109.56086093263</c:v>
                </c:pt>
                <c:pt idx="9">
                  <c:v>451359.75293610466</c:v>
                </c:pt>
                <c:pt idx="10">
                  <c:v>445782.43924902147</c:v>
                </c:pt>
                <c:pt idx="11">
                  <c:v>440372.44497255085</c:v>
                </c:pt>
                <c:pt idx="12">
                  <c:v>435124.75052437431</c:v>
                </c:pt>
                <c:pt idx="13">
                  <c:v>430034.48690964305</c:v>
                </c:pt>
                <c:pt idx="14">
                  <c:v>425096.9312033538</c:v>
                </c:pt>
                <c:pt idx="15">
                  <c:v>420307.50216825318</c:v>
                </c:pt>
                <c:pt idx="16">
                  <c:v>415661.75600420556</c:v>
                </c:pt>
                <c:pt idx="17">
                  <c:v>411155.38222507935</c:v>
                </c:pt>
                <c:pt idx="18">
                  <c:v>406784.19965932699</c:v>
                </c:pt>
                <c:pt idx="19">
                  <c:v>402544.15257054719</c:v>
                </c:pt>
                <c:pt idx="20">
                  <c:v>398431.30689443077</c:v>
                </c:pt>
                <c:pt idx="21">
                  <c:v>394441.84658859787</c:v>
                </c:pt>
                <c:pt idx="22">
                  <c:v>390572.07009193988</c:v>
                </c:pt>
                <c:pt idx="23">
                  <c:v>386818.38689018169</c:v>
                </c:pt>
                <c:pt idx="24">
                  <c:v>383177.31418447627</c:v>
                </c:pt>
                <c:pt idx="25">
                  <c:v>379645.47365994198</c:v>
                </c:pt>
              </c:numCache>
            </c:numRef>
          </c:val>
          <c:smooth val="0"/>
          <c:extLst>
            <c:ext xmlns:c16="http://schemas.microsoft.com/office/drawing/2014/chart" uri="{C3380CC4-5D6E-409C-BE32-E72D297353CC}">
              <c16:uniqueId val="{00000000-E9F1-4E0D-BEBF-D585903D8E99}"/>
            </c:ext>
          </c:extLst>
        </c:ser>
        <c:ser>
          <c:idx val="1"/>
          <c:order val="1"/>
          <c:tx>
            <c:strRef>
              <c:f>SimpleStep3!$G$133</c:f>
              <c:strCache>
                <c:ptCount val="1"/>
                <c:pt idx="0">
                  <c:v>Preferred Option</c:v>
                </c:pt>
              </c:strCache>
            </c:strRef>
          </c:tx>
          <c:spPr>
            <a:ln>
              <a:solidFill>
                <a:schemeClr val="accent6"/>
              </a:solidFill>
            </a:ln>
          </c:spPr>
          <c:marker>
            <c:symbol val="none"/>
          </c:marker>
          <c:val>
            <c:numRef>
              <c:f>SimpleStep3!$K$137:$AJ$137</c:f>
              <c:numCache>
                <c:formatCode>#,##0</c:formatCode>
                <c:ptCount val="26"/>
                <c:pt idx="0">
                  <c:v>509993.97048000002</c:v>
                </c:pt>
                <c:pt idx="1">
                  <c:v>502657.6302666</c:v>
                </c:pt>
                <c:pt idx="2">
                  <c:v>495541.38025960198</c:v>
                </c:pt>
                <c:pt idx="3">
                  <c:v>488638.61775281391</c:v>
                </c:pt>
                <c:pt idx="4">
                  <c:v>481942.93812122953</c:v>
                </c:pt>
                <c:pt idx="5">
                  <c:v>475448.12887859263</c:v>
                </c:pt>
                <c:pt idx="6">
                  <c:v>469148.16391323484</c:v>
                </c:pt>
                <c:pt idx="7">
                  <c:v>463037.19789683778</c:v>
                </c:pt>
                <c:pt idx="8">
                  <c:v>457109.56086093263</c:v>
                </c:pt>
                <c:pt idx="9">
                  <c:v>451359.75293610466</c:v>
                </c:pt>
                <c:pt idx="10">
                  <c:v>445782.43924902147</c:v>
                </c:pt>
                <c:pt idx="11">
                  <c:v>440372.44497255085</c:v>
                </c:pt>
                <c:pt idx="12">
                  <c:v>435124.75052437431</c:v>
                </c:pt>
                <c:pt idx="13">
                  <c:v>430034.48690964305</c:v>
                </c:pt>
                <c:pt idx="14">
                  <c:v>425096.9312033538</c:v>
                </c:pt>
                <c:pt idx="15">
                  <c:v>420307.50216825318</c:v>
                </c:pt>
                <c:pt idx="16">
                  <c:v>415661.75600420556</c:v>
                </c:pt>
                <c:pt idx="17">
                  <c:v>411155.38222507935</c:v>
                </c:pt>
                <c:pt idx="18">
                  <c:v>406784.19965932699</c:v>
                </c:pt>
                <c:pt idx="19">
                  <c:v>402544.15257054719</c:v>
                </c:pt>
                <c:pt idx="20">
                  <c:v>398431.30689443077</c:v>
                </c:pt>
                <c:pt idx="21">
                  <c:v>394441.84658859787</c:v>
                </c:pt>
                <c:pt idx="22">
                  <c:v>390572.07009193988</c:v>
                </c:pt>
                <c:pt idx="23">
                  <c:v>386818.38689018169</c:v>
                </c:pt>
                <c:pt idx="24">
                  <c:v>383177.31418447627</c:v>
                </c:pt>
                <c:pt idx="25">
                  <c:v>379645.47365994198</c:v>
                </c:pt>
              </c:numCache>
            </c:numRef>
          </c:val>
          <c:smooth val="0"/>
          <c:extLst>
            <c:ext xmlns:c16="http://schemas.microsoft.com/office/drawing/2014/chart" uri="{C3380CC4-5D6E-409C-BE32-E72D297353CC}">
              <c16:uniqueId val="{00000001-E9F1-4E0D-BEBF-D585903D8E99}"/>
            </c:ext>
          </c:extLst>
        </c:ser>
        <c:ser>
          <c:idx val="2"/>
          <c:order val="2"/>
          <c:tx>
            <c:strRef>
              <c:f>SimpleStep3!$G$147</c:f>
              <c:strCache>
                <c:ptCount val="1"/>
                <c:pt idx="0">
                  <c:v>Second Option</c:v>
                </c:pt>
              </c:strCache>
            </c:strRef>
          </c:tx>
          <c:spPr>
            <a:ln>
              <a:solidFill>
                <a:schemeClr val="accent1"/>
              </a:solidFill>
              <a:prstDash val="sysDot"/>
            </a:ln>
          </c:spPr>
          <c:marker>
            <c:symbol val="none"/>
          </c:marker>
          <c:val>
            <c:numRef>
              <c:f>SimpleStep3!$K$151:$AJ$151</c:f>
              <c:numCache>
                <c:formatCode>#,##0</c:formatCode>
                <c:ptCount val="26"/>
                <c:pt idx="0">
                  <c:v>509993.97048000002</c:v>
                </c:pt>
                <c:pt idx="1">
                  <c:v>502657.6302666</c:v>
                </c:pt>
                <c:pt idx="2">
                  <c:v>495541.38025960198</c:v>
                </c:pt>
                <c:pt idx="3">
                  <c:v>488638.61775281391</c:v>
                </c:pt>
                <c:pt idx="4">
                  <c:v>481942.93812122953</c:v>
                </c:pt>
                <c:pt idx="5">
                  <c:v>475448.12887859263</c:v>
                </c:pt>
                <c:pt idx="6">
                  <c:v>469148.16391323484</c:v>
                </c:pt>
                <c:pt idx="7">
                  <c:v>463037.19789683778</c:v>
                </c:pt>
                <c:pt idx="8">
                  <c:v>457109.56086093263</c:v>
                </c:pt>
                <c:pt idx="9">
                  <c:v>451359.75293610466</c:v>
                </c:pt>
                <c:pt idx="10">
                  <c:v>445782.43924902147</c:v>
                </c:pt>
                <c:pt idx="11">
                  <c:v>440372.44497255085</c:v>
                </c:pt>
                <c:pt idx="12">
                  <c:v>435124.75052437431</c:v>
                </c:pt>
                <c:pt idx="13">
                  <c:v>430034.48690964305</c:v>
                </c:pt>
                <c:pt idx="14">
                  <c:v>425096.9312033538</c:v>
                </c:pt>
                <c:pt idx="15">
                  <c:v>420307.50216825318</c:v>
                </c:pt>
                <c:pt idx="16">
                  <c:v>415661.75600420556</c:v>
                </c:pt>
                <c:pt idx="17">
                  <c:v>411155.38222507935</c:v>
                </c:pt>
                <c:pt idx="18">
                  <c:v>406784.19965932699</c:v>
                </c:pt>
                <c:pt idx="19">
                  <c:v>402544.15257054719</c:v>
                </c:pt>
                <c:pt idx="20">
                  <c:v>398431.30689443077</c:v>
                </c:pt>
                <c:pt idx="21">
                  <c:v>394441.84658859787</c:v>
                </c:pt>
                <c:pt idx="22">
                  <c:v>390572.07009193988</c:v>
                </c:pt>
                <c:pt idx="23">
                  <c:v>386818.38689018169</c:v>
                </c:pt>
                <c:pt idx="24">
                  <c:v>383177.31418447627</c:v>
                </c:pt>
                <c:pt idx="25">
                  <c:v>379645.47365994198</c:v>
                </c:pt>
              </c:numCache>
            </c:numRef>
          </c:val>
          <c:smooth val="0"/>
          <c:extLst>
            <c:ext xmlns:c16="http://schemas.microsoft.com/office/drawing/2014/chart" uri="{C3380CC4-5D6E-409C-BE32-E72D297353CC}">
              <c16:uniqueId val="{00000000-C2BC-49BC-90F8-9E895F552D37}"/>
            </c:ext>
          </c:extLst>
        </c:ser>
        <c:dLbls>
          <c:showLegendKey val="0"/>
          <c:showVal val="0"/>
          <c:showCatName val="0"/>
          <c:showSerName val="0"/>
          <c:showPercent val="0"/>
          <c:showBubbleSize val="0"/>
        </c:dLbls>
        <c:smooth val="0"/>
        <c:axId val="108584632"/>
        <c:axId val="108585024"/>
      </c:lineChart>
      <c:catAx>
        <c:axId val="108584632"/>
        <c:scaling>
          <c:orientation val="minMax"/>
        </c:scaling>
        <c:delete val="0"/>
        <c:axPos val="b"/>
        <c:title>
          <c:tx>
            <c:rich>
              <a:bodyPr/>
              <a:lstStyle/>
              <a:p>
                <a:pPr>
                  <a:defRPr b="1"/>
                </a:pPr>
                <a:r>
                  <a:rPr lang="en-GB" b="1"/>
                  <a:t>Year</a:t>
                </a:r>
              </a:p>
            </c:rich>
          </c:tx>
          <c:overlay val="0"/>
        </c:title>
        <c:numFmt formatCode="General" sourceLinked="1"/>
        <c:majorTickMark val="out"/>
        <c:minorTickMark val="none"/>
        <c:tickLblPos val="nextTo"/>
        <c:txPr>
          <a:bodyPr/>
          <a:lstStyle/>
          <a:p>
            <a:pPr>
              <a:defRPr sz="800"/>
            </a:pPr>
            <a:endParaRPr lang="en-US"/>
          </a:p>
        </c:txPr>
        <c:crossAx val="108585024"/>
        <c:crosses val="autoZero"/>
        <c:auto val="1"/>
        <c:lblAlgn val="ctr"/>
        <c:lblOffset val="100"/>
        <c:noMultiLvlLbl val="0"/>
      </c:catAx>
      <c:valAx>
        <c:axId val="108585024"/>
        <c:scaling>
          <c:orientation val="minMax"/>
        </c:scaling>
        <c:delete val="0"/>
        <c:axPos val="l"/>
        <c:title>
          <c:tx>
            <c:rich>
              <a:bodyPr rot="-5400000" vert="horz"/>
              <a:lstStyle/>
              <a:p>
                <a:pPr>
                  <a:defRPr b="1"/>
                </a:pPr>
                <a:r>
                  <a:rPr lang="en-GB" b="1"/>
                  <a:t>kg CO2e</a:t>
                </a:r>
              </a:p>
            </c:rich>
          </c:tx>
          <c:layout>
            <c:manualLayout>
              <c:xMode val="edge"/>
              <c:yMode val="edge"/>
              <c:x val="5.4113713817167987E-2"/>
              <c:y val="0.10489180519101779"/>
            </c:manualLayout>
          </c:layout>
          <c:overlay val="0"/>
        </c:title>
        <c:numFmt formatCode="#,##0" sourceLinked="1"/>
        <c:majorTickMark val="out"/>
        <c:minorTickMark val="none"/>
        <c:tickLblPos val="nextTo"/>
        <c:txPr>
          <a:bodyPr/>
          <a:lstStyle/>
          <a:p>
            <a:pPr>
              <a:defRPr sz="800"/>
            </a:pPr>
            <a:endParaRPr lang="en-US"/>
          </a:p>
        </c:txPr>
        <c:crossAx val="108584632"/>
        <c:crosses val="autoZero"/>
        <c:crossBetween val="midCat"/>
      </c:valAx>
      <c:spPr>
        <a:ln>
          <a:solidFill>
            <a:schemeClr val="tx2"/>
          </a:solidFill>
        </a:ln>
      </c:spPr>
    </c:plotArea>
    <c:legend>
      <c:legendPos val="b"/>
      <c:layout>
        <c:manualLayout>
          <c:xMode val="edge"/>
          <c:yMode val="edge"/>
          <c:x val="0.20486724483991994"/>
          <c:y val="0.87360571595217262"/>
          <c:w val="0.74269005748006522"/>
          <c:h val="0.12639428404782735"/>
        </c:manualLayout>
      </c:layout>
      <c:overlay val="0"/>
    </c:legend>
    <c:plotVisOnly val="0"/>
    <c:dispBlanksAs val="gap"/>
    <c:showDLblsOverMax val="0"/>
  </c:chart>
  <c:spPr>
    <a:noFill/>
    <a:ln>
      <a:noFill/>
    </a:ln>
  </c:spPr>
  <c:txPr>
    <a:bodyPr/>
    <a:lstStyle/>
    <a:p>
      <a:pPr>
        <a:defRPr b="0">
          <a:solidFill>
            <a:schemeClr val="tx2"/>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353869704447869"/>
          <c:y val="4.4057695913010876E-2"/>
          <c:w val="0.50130197160603573"/>
          <c:h val="0.53896892518064876"/>
        </c:manualLayout>
      </c:layout>
      <c:barChart>
        <c:barDir val="col"/>
        <c:grouping val="stacked"/>
        <c:varyColors val="0"/>
        <c:ser>
          <c:idx val="0"/>
          <c:order val="0"/>
          <c:tx>
            <c:v>Natural gas</c:v>
          </c:tx>
          <c:spPr>
            <a:solidFill>
              <a:schemeClr val="accent2"/>
            </a:solidFill>
          </c:spPr>
          <c:invertIfNegative val="0"/>
          <c:cat>
            <c:strRef>
              <c:f>(SimpleStep3!$L$70,SimpleStep3!$U$70,SimpleStep3!$U$90)</c:f>
              <c:strCache>
                <c:ptCount val="3"/>
                <c:pt idx="0">
                  <c:v>Step 1 Benchmark</c:v>
                </c:pt>
                <c:pt idx="1">
                  <c:v>Step 2 - Preferred Option</c:v>
                </c:pt>
                <c:pt idx="2">
                  <c:v>Step 2 - Second Option</c:v>
                </c:pt>
              </c:strCache>
            </c:strRef>
          </c:cat>
          <c:val>
            <c:numRef>
              <c:f>(SimpleStep3!$L$73,SimpleStep3!$X$73,SimpleStep3!$X$93)</c:f>
              <c:numCache>
                <c:formatCode>#,##0</c:formatCode>
                <c:ptCount val="3"/>
                <c:pt idx="0">
                  <c:v>0</c:v>
                </c:pt>
                <c:pt idx="1">
                  <c:v>0</c:v>
                </c:pt>
                <c:pt idx="2">
                  <c:v>0</c:v>
                </c:pt>
              </c:numCache>
            </c:numRef>
          </c:val>
          <c:extLst>
            <c:ext xmlns:c16="http://schemas.microsoft.com/office/drawing/2014/chart" uri="{C3380CC4-5D6E-409C-BE32-E72D297353CC}">
              <c16:uniqueId val="{00000000-A4AF-414F-9DA7-DC22DBF7FB14}"/>
            </c:ext>
          </c:extLst>
        </c:ser>
        <c:ser>
          <c:idx val="1"/>
          <c:order val="1"/>
          <c:tx>
            <c:v>District heating</c:v>
          </c:tx>
          <c:spPr>
            <a:solidFill>
              <a:schemeClr val="accent2">
                <a:lumMod val="60000"/>
                <a:lumOff val="40000"/>
              </a:schemeClr>
            </a:solidFill>
          </c:spPr>
          <c:invertIfNegative val="0"/>
          <c:cat>
            <c:strRef>
              <c:f>(SimpleStep3!$L$70,SimpleStep3!$U$70,SimpleStep3!$U$90)</c:f>
              <c:strCache>
                <c:ptCount val="3"/>
                <c:pt idx="0">
                  <c:v>Step 1 Benchmark</c:v>
                </c:pt>
                <c:pt idx="1">
                  <c:v>Step 2 - Preferred Option</c:v>
                </c:pt>
                <c:pt idx="2">
                  <c:v>Step 2 - Second Option</c:v>
                </c:pt>
              </c:strCache>
            </c:strRef>
          </c:cat>
          <c:val>
            <c:numRef>
              <c:f>(SimpleStep3!$L$76,SimpleStep3!$X$76,SimpleStep3!$X$96)</c:f>
              <c:numCache>
                <c:formatCode>#,##0</c:formatCode>
                <c:ptCount val="3"/>
                <c:pt idx="0">
                  <c:v>1554790.0000000002</c:v>
                </c:pt>
                <c:pt idx="1">
                  <c:v>1554790.0000000002</c:v>
                </c:pt>
                <c:pt idx="2">
                  <c:v>1554790.0000000002</c:v>
                </c:pt>
              </c:numCache>
            </c:numRef>
          </c:val>
          <c:extLst>
            <c:ext xmlns:c16="http://schemas.microsoft.com/office/drawing/2014/chart" uri="{C3380CC4-5D6E-409C-BE32-E72D297353CC}">
              <c16:uniqueId val="{00000001-A4AF-414F-9DA7-DC22DBF7FB14}"/>
            </c:ext>
          </c:extLst>
        </c:ser>
        <c:ser>
          <c:idx val="2"/>
          <c:order val="2"/>
          <c:tx>
            <c:v>Electricity</c:v>
          </c:tx>
          <c:spPr>
            <a:solidFill>
              <a:schemeClr val="tx2"/>
            </a:solidFill>
          </c:spPr>
          <c:invertIfNegative val="0"/>
          <c:cat>
            <c:strRef>
              <c:f>(SimpleStep3!$L$70,SimpleStep3!$U$70,SimpleStep3!$U$90)</c:f>
              <c:strCache>
                <c:ptCount val="3"/>
                <c:pt idx="0">
                  <c:v>Step 1 Benchmark</c:v>
                </c:pt>
                <c:pt idx="1">
                  <c:v>Step 2 - Preferred Option</c:v>
                </c:pt>
                <c:pt idx="2">
                  <c:v>Step 2 - Second Option</c:v>
                </c:pt>
              </c:strCache>
            </c:strRef>
          </c:cat>
          <c:val>
            <c:numRef>
              <c:f>(SimpleStep3!$L$79,SimpleStep3!$X$79,SimpleStep3!$X$99)</c:f>
              <c:numCache>
                <c:formatCode>#,##0</c:formatCode>
                <c:ptCount val="3"/>
                <c:pt idx="0">
                  <c:v>1264581</c:v>
                </c:pt>
                <c:pt idx="1">
                  <c:v>1264581</c:v>
                </c:pt>
                <c:pt idx="2">
                  <c:v>1264581</c:v>
                </c:pt>
              </c:numCache>
            </c:numRef>
          </c:val>
          <c:extLst>
            <c:ext xmlns:c16="http://schemas.microsoft.com/office/drawing/2014/chart" uri="{C3380CC4-5D6E-409C-BE32-E72D297353CC}">
              <c16:uniqueId val="{00000002-A4AF-414F-9DA7-DC22DBF7FB14}"/>
            </c:ext>
          </c:extLst>
        </c:ser>
        <c:dLbls>
          <c:showLegendKey val="0"/>
          <c:showVal val="0"/>
          <c:showCatName val="0"/>
          <c:showSerName val="0"/>
          <c:showPercent val="0"/>
          <c:showBubbleSize val="0"/>
        </c:dLbls>
        <c:gapWidth val="150"/>
        <c:overlap val="100"/>
        <c:axId val="108585808"/>
        <c:axId val="108586200"/>
      </c:barChart>
      <c:catAx>
        <c:axId val="108585808"/>
        <c:scaling>
          <c:orientation val="minMax"/>
        </c:scaling>
        <c:delete val="0"/>
        <c:axPos val="b"/>
        <c:numFmt formatCode="General" sourceLinked="0"/>
        <c:majorTickMark val="out"/>
        <c:minorTickMark val="none"/>
        <c:tickLblPos val="nextTo"/>
        <c:txPr>
          <a:bodyPr rot="-5400000" vert="horz"/>
          <a:lstStyle/>
          <a:p>
            <a:pPr>
              <a:defRPr b="1"/>
            </a:pPr>
            <a:endParaRPr lang="en-US"/>
          </a:p>
        </c:txPr>
        <c:crossAx val="108586200"/>
        <c:crosses val="autoZero"/>
        <c:auto val="1"/>
        <c:lblAlgn val="ctr"/>
        <c:lblOffset val="100"/>
        <c:noMultiLvlLbl val="0"/>
      </c:catAx>
      <c:valAx>
        <c:axId val="108586200"/>
        <c:scaling>
          <c:orientation val="minMax"/>
          <c:min val="0"/>
        </c:scaling>
        <c:delete val="0"/>
        <c:axPos val="l"/>
        <c:title>
          <c:tx>
            <c:rich>
              <a:bodyPr rot="-5400000" vert="horz"/>
              <a:lstStyle/>
              <a:p>
                <a:pPr>
                  <a:defRPr/>
                </a:pPr>
                <a:r>
                  <a:rPr lang="en-GB"/>
                  <a:t>kWh</a:t>
                </a:r>
              </a:p>
            </c:rich>
          </c:tx>
          <c:layout>
            <c:manualLayout>
              <c:xMode val="edge"/>
              <c:yMode val="edge"/>
              <c:x val="2.3914422514621964E-2"/>
              <c:y val="0.52351851851851849"/>
            </c:manualLayout>
          </c:layout>
          <c:overlay val="0"/>
        </c:title>
        <c:numFmt formatCode="#,##0" sourceLinked="1"/>
        <c:majorTickMark val="out"/>
        <c:minorTickMark val="none"/>
        <c:tickLblPos val="nextTo"/>
        <c:crossAx val="108585808"/>
        <c:crosses val="autoZero"/>
        <c:crossBetween val="between"/>
      </c:valAx>
      <c:spPr>
        <a:ln>
          <a:solidFill>
            <a:schemeClr val="tx2"/>
          </a:solidFill>
        </a:ln>
      </c:spPr>
    </c:plotArea>
    <c:legend>
      <c:legendPos val="b"/>
      <c:layout>
        <c:manualLayout>
          <c:xMode val="edge"/>
          <c:yMode val="edge"/>
          <c:x val="0"/>
          <c:y val="0.93138771115149066"/>
          <c:w val="1"/>
          <c:h val="5.151827175449223E-2"/>
        </c:manualLayout>
      </c:layout>
      <c:overlay val="0"/>
    </c:legend>
    <c:plotVisOnly val="0"/>
    <c:dispBlanksAs val="gap"/>
    <c:showDLblsOverMax val="0"/>
  </c:chart>
  <c:spPr>
    <a:ln>
      <a:noFill/>
    </a:ln>
  </c:spPr>
  <c:txPr>
    <a:bodyPr/>
    <a:lstStyle/>
    <a:p>
      <a:pPr>
        <a:defRPr>
          <a:solidFill>
            <a:schemeClr val="tx2"/>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621860047250617"/>
          <c:y val="3.3347856517935259E-2"/>
          <c:w val="0.66560389809043474"/>
          <c:h val="0.76692720909886269"/>
        </c:manualLayout>
      </c:layout>
      <c:lineChart>
        <c:grouping val="standard"/>
        <c:varyColors val="0"/>
        <c:ser>
          <c:idx val="0"/>
          <c:order val="0"/>
          <c:tx>
            <c:strRef>
              <c:f>ComplexAt2Step2!$G$90</c:f>
              <c:strCache>
                <c:ptCount val="1"/>
                <c:pt idx="0">
                  <c:v>CURRENT (DO NOTHING)</c:v>
                </c:pt>
              </c:strCache>
            </c:strRef>
          </c:tx>
          <c:spPr>
            <a:ln w="12700">
              <a:solidFill>
                <a:schemeClr val="tx2"/>
              </a:solidFill>
            </a:ln>
          </c:spPr>
          <c:marker>
            <c:symbol val="none"/>
          </c:marker>
          <c:cat>
            <c:numRef>
              <c:f>ComplexAt2Step2!$K$71:$AJ$71</c:f>
              <c:numCache>
                <c:formatCode>General</c:formatCode>
                <c:ptCount val="2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numCache>
            </c:numRef>
          </c:cat>
          <c:val>
            <c:numRef>
              <c:f>ComplexAt2Step2!$K$112:$AJ$112</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00-2F41-4AA7-B38C-6D812C3B78F2}"/>
            </c:ext>
          </c:extLst>
        </c:ser>
        <c:ser>
          <c:idx val="1"/>
          <c:order val="1"/>
          <c:tx>
            <c:strRef>
              <c:f>ComplexAt2Step2!$G$114</c:f>
              <c:strCache>
                <c:ptCount val="1"/>
                <c:pt idx="0">
                  <c:v>PREFERRED OPTION</c:v>
                </c:pt>
              </c:strCache>
            </c:strRef>
          </c:tx>
          <c:spPr>
            <a:ln w="38100">
              <a:solidFill>
                <a:schemeClr val="accent6"/>
              </a:solidFill>
            </a:ln>
          </c:spPr>
          <c:marker>
            <c:symbol val="none"/>
          </c:marker>
          <c:cat>
            <c:numRef>
              <c:f>ComplexAt2Step2!$K$71:$AJ$71</c:f>
              <c:numCache>
                <c:formatCode>General</c:formatCode>
                <c:ptCount val="2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numCache>
            </c:numRef>
          </c:cat>
          <c:val>
            <c:numRef>
              <c:f>ComplexAt2Step2!$K$136:$AJ$136</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01-2F41-4AA7-B38C-6D812C3B78F2}"/>
            </c:ext>
          </c:extLst>
        </c:ser>
        <c:ser>
          <c:idx val="2"/>
          <c:order val="2"/>
          <c:tx>
            <c:strRef>
              <c:f>ComplexAt2Step2!$G$138</c:f>
              <c:strCache>
                <c:ptCount val="1"/>
                <c:pt idx="0">
                  <c:v>SECOND OPTION</c:v>
                </c:pt>
              </c:strCache>
            </c:strRef>
          </c:tx>
          <c:spPr>
            <a:ln w="38100">
              <a:solidFill>
                <a:schemeClr val="accent1"/>
              </a:solidFill>
              <a:prstDash val="sysDot"/>
            </a:ln>
          </c:spPr>
          <c:marker>
            <c:symbol val="none"/>
          </c:marker>
          <c:cat>
            <c:numRef>
              <c:f>ComplexAt2Step2!$K$71:$AJ$71</c:f>
              <c:numCache>
                <c:formatCode>General</c:formatCode>
                <c:ptCount val="2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numCache>
            </c:numRef>
          </c:cat>
          <c:val>
            <c:numRef>
              <c:f>ComplexAt2Step2!$K$160:$AJ$160</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02-2F41-4AA7-B38C-6D812C3B78F2}"/>
            </c:ext>
          </c:extLst>
        </c:ser>
        <c:dLbls>
          <c:showLegendKey val="0"/>
          <c:showVal val="0"/>
          <c:showCatName val="0"/>
          <c:showSerName val="0"/>
          <c:showPercent val="0"/>
          <c:showBubbleSize val="0"/>
        </c:dLbls>
        <c:smooth val="0"/>
        <c:axId val="108587376"/>
        <c:axId val="108587768"/>
      </c:lineChart>
      <c:catAx>
        <c:axId val="108587376"/>
        <c:scaling>
          <c:orientation val="minMax"/>
        </c:scaling>
        <c:delete val="0"/>
        <c:axPos val="b"/>
        <c:numFmt formatCode="General" sourceLinked="1"/>
        <c:majorTickMark val="out"/>
        <c:minorTickMark val="none"/>
        <c:tickLblPos val="nextTo"/>
        <c:crossAx val="108587768"/>
        <c:crosses val="autoZero"/>
        <c:auto val="0"/>
        <c:lblAlgn val="ctr"/>
        <c:lblOffset val="100"/>
        <c:tickLblSkip val="5"/>
        <c:tickMarkSkip val="1"/>
        <c:noMultiLvlLbl val="0"/>
      </c:catAx>
      <c:valAx>
        <c:axId val="108587768"/>
        <c:scaling>
          <c:orientation val="minMax"/>
        </c:scaling>
        <c:delete val="0"/>
        <c:axPos val="l"/>
        <c:title>
          <c:tx>
            <c:rich>
              <a:bodyPr rot="-5400000" vert="horz"/>
              <a:lstStyle/>
              <a:p>
                <a:pPr>
                  <a:defRPr/>
                </a:pPr>
                <a:r>
                  <a:rPr lang="en-GB"/>
                  <a:t>NPV (£)</a:t>
                </a:r>
              </a:p>
            </c:rich>
          </c:tx>
          <c:overlay val="0"/>
        </c:title>
        <c:numFmt formatCode="#,##0" sourceLinked="1"/>
        <c:majorTickMark val="out"/>
        <c:minorTickMark val="none"/>
        <c:tickLblPos val="nextTo"/>
        <c:crossAx val="108587376"/>
        <c:crossesAt val="1"/>
        <c:crossBetween val="midCat"/>
      </c:valAx>
      <c:spPr>
        <a:ln>
          <a:solidFill>
            <a:schemeClr val="tx2"/>
          </a:solidFill>
        </a:ln>
      </c:spPr>
    </c:plotArea>
    <c:legend>
      <c:legendPos val="b"/>
      <c:layout>
        <c:manualLayout>
          <c:xMode val="edge"/>
          <c:yMode val="edge"/>
          <c:x val="0.1634615522125944"/>
          <c:y val="0.86658897637795274"/>
          <c:w val="0.66594550995570945"/>
          <c:h val="0.13341102362204724"/>
        </c:manualLayout>
      </c:layout>
      <c:overlay val="0"/>
      <c:txPr>
        <a:bodyPr/>
        <a:lstStyle/>
        <a:p>
          <a:pPr>
            <a:defRPr sz="800"/>
          </a:pPr>
          <a:endParaRPr lang="en-US"/>
        </a:p>
      </c:txPr>
    </c:legend>
    <c:plotVisOnly val="0"/>
    <c:dispBlanksAs val="gap"/>
    <c:showDLblsOverMax val="0"/>
  </c:chart>
  <c:spPr>
    <a:ln>
      <a:noFill/>
    </a:ln>
  </c:spPr>
  <c:txPr>
    <a:bodyPr/>
    <a:lstStyle/>
    <a:p>
      <a:pPr>
        <a:defRPr sz="800">
          <a:solidFill>
            <a:schemeClr val="tx2"/>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2990608957370182"/>
          <c:y val="4.3190733048132764E-2"/>
          <c:w val="0.49773885768047565"/>
          <c:h val="0.54115809597874343"/>
        </c:manualLayout>
      </c:layout>
      <c:barChart>
        <c:barDir val="col"/>
        <c:grouping val="stacked"/>
        <c:varyColors val="0"/>
        <c:ser>
          <c:idx val="0"/>
          <c:order val="0"/>
          <c:tx>
            <c:strRef>
              <c:f>ComplexStep3!$H$70</c:f>
              <c:strCache>
                <c:ptCount val="1"/>
                <c:pt idx="0">
                  <c:v>Space heating (gas)</c:v>
                </c:pt>
              </c:strCache>
            </c:strRef>
          </c:tx>
          <c:spPr>
            <a:solidFill>
              <a:schemeClr val="accent2"/>
            </a:solidFill>
          </c:spPr>
          <c:invertIfNegative val="0"/>
          <c:cat>
            <c:strRef>
              <c:f>(ComplexStep3!$P$67,ComplexStep3!$T$67)</c:f>
              <c:strCache>
                <c:ptCount val="2"/>
                <c:pt idx="0">
                  <c:v>Initial Benchmark (Step 1)</c:v>
                </c:pt>
                <c:pt idx="1">
                  <c:v>RIBA 3+ Estimate (Step 2)</c:v>
                </c:pt>
              </c:strCache>
            </c:strRef>
          </c:cat>
          <c:val>
            <c:numRef>
              <c:f>(ComplexStep3!$P$70,ComplexStep3!$T$70)</c:f>
              <c:numCache>
                <c:formatCode>#,##0</c:formatCode>
                <c:ptCount val="2"/>
                <c:pt idx="0">
                  <c:v>1243832.0000000002</c:v>
                </c:pt>
                <c:pt idx="1">
                  <c:v>0</c:v>
                </c:pt>
              </c:numCache>
            </c:numRef>
          </c:val>
          <c:extLst>
            <c:ext xmlns:c16="http://schemas.microsoft.com/office/drawing/2014/chart" uri="{C3380CC4-5D6E-409C-BE32-E72D297353CC}">
              <c16:uniqueId val="{00000000-E43B-426C-9054-73EE20AF6884}"/>
            </c:ext>
          </c:extLst>
        </c:ser>
        <c:ser>
          <c:idx val="1"/>
          <c:order val="1"/>
          <c:tx>
            <c:strRef>
              <c:f>ComplexStep3!$H$71</c:f>
              <c:strCache>
                <c:ptCount val="1"/>
                <c:pt idx="0">
                  <c:v>Hot water (gas)</c:v>
                </c:pt>
              </c:strCache>
            </c:strRef>
          </c:tx>
          <c:spPr>
            <a:solidFill>
              <a:schemeClr val="accent2">
                <a:lumMod val="60000"/>
                <a:lumOff val="40000"/>
              </a:schemeClr>
            </a:solidFill>
          </c:spPr>
          <c:invertIfNegative val="0"/>
          <c:cat>
            <c:strRef>
              <c:f>(ComplexStep3!$P$67,ComplexStep3!$T$67)</c:f>
              <c:strCache>
                <c:ptCount val="2"/>
                <c:pt idx="0">
                  <c:v>Initial Benchmark (Step 1)</c:v>
                </c:pt>
                <c:pt idx="1">
                  <c:v>RIBA 3+ Estimate (Step 2)</c:v>
                </c:pt>
              </c:strCache>
            </c:strRef>
          </c:cat>
          <c:val>
            <c:numRef>
              <c:f>(ComplexStep3!$P$71,ComplexStep3!$T$71)</c:f>
              <c:numCache>
                <c:formatCode>#,##0</c:formatCode>
                <c:ptCount val="2"/>
                <c:pt idx="0">
                  <c:v>310958.00000000006</c:v>
                </c:pt>
                <c:pt idx="1">
                  <c:v>0</c:v>
                </c:pt>
              </c:numCache>
            </c:numRef>
          </c:val>
          <c:extLst>
            <c:ext xmlns:c16="http://schemas.microsoft.com/office/drawing/2014/chart" uri="{C3380CC4-5D6E-409C-BE32-E72D297353CC}">
              <c16:uniqueId val="{00000001-E43B-426C-9054-73EE20AF6884}"/>
            </c:ext>
          </c:extLst>
        </c:ser>
        <c:ser>
          <c:idx val="2"/>
          <c:order val="2"/>
          <c:tx>
            <c:strRef>
              <c:f>ComplexStep3!$H$74</c:f>
              <c:strCache>
                <c:ptCount val="1"/>
                <c:pt idx="0">
                  <c:v>Cooling (including server cooling)</c:v>
                </c:pt>
              </c:strCache>
            </c:strRef>
          </c:tx>
          <c:spPr>
            <a:solidFill>
              <a:schemeClr val="accent4"/>
            </a:solidFill>
          </c:spPr>
          <c:invertIfNegative val="0"/>
          <c:cat>
            <c:strRef>
              <c:f>(ComplexStep3!$P$67,ComplexStep3!$T$67)</c:f>
              <c:strCache>
                <c:ptCount val="2"/>
                <c:pt idx="0">
                  <c:v>Initial Benchmark (Step 1)</c:v>
                </c:pt>
                <c:pt idx="1">
                  <c:v>RIBA 3+ Estimate (Step 2)</c:v>
                </c:pt>
              </c:strCache>
            </c:strRef>
          </c:cat>
          <c:val>
            <c:numRef>
              <c:f>(ComplexStep3!$P$74,ComplexStep3!$T$74)</c:f>
              <c:numCache>
                <c:formatCode>#,##0</c:formatCode>
                <c:ptCount val="2"/>
                <c:pt idx="0">
                  <c:v>316145.25</c:v>
                </c:pt>
                <c:pt idx="1">
                  <c:v>0</c:v>
                </c:pt>
              </c:numCache>
            </c:numRef>
          </c:val>
          <c:extLst>
            <c:ext xmlns:c16="http://schemas.microsoft.com/office/drawing/2014/chart" uri="{C3380CC4-5D6E-409C-BE32-E72D297353CC}">
              <c16:uniqueId val="{00000000-3441-4D2C-8BA5-44E3D1651375}"/>
            </c:ext>
          </c:extLst>
        </c:ser>
        <c:ser>
          <c:idx val="3"/>
          <c:order val="3"/>
          <c:tx>
            <c:strRef>
              <c:f>ComplexStep3!$H$75</c:f>
              <c:strCache>
                <c:ptCount val="1"/>
                <c:pt idx="0">
                  <c:v>Lighting</c:v>
                </c:pt>
              </c:strCache>
            </c:strRef>
          </c:tx>
          <c:spPr>
            <a:solidFill>
              <a:schemeClr val="accent3"/>
            </a:solidFill>
          </c:spPr>
          <c:invertIfNegative val="0"/>
          <c:cat>
            <c:strRef>
              <c:f>(ComplexStep3!$P$67,ComplexStep3!$T$67)</c:f>
              <c:strCache>
                <c:ptCount val="2"/>
                <c:pt idx="0">
                  <c:v>Initial Benchmark (Step 1)</c:v>
                </c:pt>
                <c:pt idx="1">
                  <c:v>RIBA 3+ Estimate (Step 2)</c:v>
                </c:pt>
              </c:strCache>
            </c:strRef>
          </c:cat>
          <c:val>
            <c:numRef>
              <c:f>(ComplexStep3!$P$75,ComplexStep3!$T$75)</c:f>
              <c:numCache>
                <c:formatCode>#,##0</c:formatCode>
                <c:ptCount val="2"/>
                <c:pt idx="0">
                  <c:v>316145.25</c:v>
                </c:pt>
                <c:pt idx="1">
                  <c:v>0</c:v>
                </c:pt>
              </c:numCache>
            </c:numRef>
          </c:val>
          <c:extLst>
            <c:ext xmlns:c16="http://schemas.microsoft.com/office/drawing/2014/chart" uri="{C3380CC4-5D6E-409C-BE32-E72D297353CC}">
              <c16:uniqueId val="{00000001-3441-4D2C-8BA5-44E3D1651375}"/>
            </c:ext>
          </c:extLst>
        </c:ser>
        <c:ser>
          <c:idx val="4"/>
          <c:order val="4"/>
          <c:tx>
            <c:strRef>
              <c:f>ComplexStep3!$H$76</c:f>
              <c:strCache>
                <c:ptCount val="1"/>
                <c:pt idx="0">
                  <c:v>Fans, pumps and controls</c:v>
                </c:pt>
              </c:strCache>
            </c:strRef>
          </c:tx>
          <c:spPr>
            <a:solidFill>
              <a:schemeClr val="accent1"/>
            </a:solidFill>
          </c:spPr>
          <c:invertIfNegative val="0"/>
          <c:cat>
            <c:strRef>
              <c:f>(ComplexStep3!$P$67,ComplexStep3!$T$67)</c:f>
              <c:strCache>
                <c:ptCount val="2"/>
                <c:pt idx="0">
                  <c:v>Initial Benchmark (Step 1)</c:v>
                </c:pt>
                <c:pt idx="1">
                  <c:v>RIBA 3+ Estimate (Step 2)</c:v>
                </c:pt>
              </c:strCache>
            </c:strRef>
          </c:cat>
          <c:val>
            <c:numRef>
              <c:f>(ComplexStep3!$P$76,ComplexStep3!$T$76)</c:f>
              <c:numCache>
                <c:formatCode>#,##0</c:formatCode>
                <c:ptCount val="2"/>
                <c:pt idx="0">
                  <c:v>316145.25</c:v>
                </c:pt>
                <c:pt idx="1">
                  <c:v>0</c:v>
                </c:pt>
              </c:numCache>
            </c:numRef>
          </c:val>
          <c:extLst>
            <c:ext xmlns:c16="http://schemas.microsoft.com/office/drawing/2014/chart" uri="{C3380CC4-5D6E-409C-BE32-E72D297353CC}">
              <c16:uniqueId val="{00000002-3441-4D2C-8BA5-44E3D1651375}"/>
            </c:ext>
          </c:extLst>
        </c:ser>
        <c:ser>
          <c:idx val="5"/>
          <c:order val="5"/>
          <c:tx>
            <c:strRef>
              <c:f>ComplexStep3!$H$77</c:f>
              <c:strCache>
                <c:ptCount val="1"/>
                <c:pt idx="0">
                  <c:v>Total electricity used for other equipment</c:v>
                </c:pt>
              </c:strCache>
            </c:strRef>
          </c:tx>
          <c:spPr>
            <a:solidFill>
              <a:srgbClr val="00B050"/>
            </a:solidFill>
          </c:spPr>
          <c:invertIfNegative val="0"/>
          <c:cat>
            <c:strRef>
              <c:f>(ComplexStep3!$P$67,ComplexStep3!$T$67)</c:f>
              <c:strCache>
                <c:ptCount val="2"/>
                <c:pt idx="0">
                  <c:v>Initial Benchmark (Step 1)</c:v>
                </c:pt>
                <c:pt idx="1">
                  <c:v>RIBA 3+ Estimate (Step 2)</c:v>
                </c:pt>
              </c:strCache>
            </c:strRef>
          </c:cat>
          <c:val>
            <c:numRef>
              <c:f>(ComplexStep3!$P$77,ComplexStep3!$T$77)</c:f>
              <c:numCache>
                <c:formatCode>#,##0</c:formatCode>
                <c:ptCount val="2"/>
                <c:pt idx="0">
                  <c:v>632290.5</c:v>
                </c:pt>
                <c:pt idx="1">
                  <c:v>0</c:v>
                </c:pt>
              </c:numCache>
            </c:numRef>
          </c:val>
          <c:extLst>
            <c:ext xmlns:c16="http://schemas.microsoft.com/office/drawing/2014/chart" uri="{C3380CC4-5D6E-409C-BE32-E72D297353CC}">
              <c16:uniqueId val="{00000003-3441-4D2C-8BA5-44E3D1651375}"/>
            </c:ext>
          </c:extLst>
        </c:ser>
        <c:dLbls>
          <c:showLegendKey val="0"/>
          <c:showVal val="0"/>
          <c:showCatName val="0"/>
          <c:showSerName val="0"/>
          <c:showPercent val="0"/>
          <c:showBubbleSize val="0"/>
        </c:dLbls>
        <c:gapWidth val="150"/>
        <c:overlap val="100"/>
        <c:axId val="111863752"/>
        <c:axId val="111864144"/>
      </c:barChart>
      <c:catAx>
        <c:axId val="111863752"/>
        <c:scaling>
          <c:orientation val="minMax"/>
        </c:scaling>
        <c:delete val="0"/>
        <c:axPos val="b"/>
        <c:numFmt formatCode="General" sourceLinked="0"/>
        <c:majorTickMark val="out"/>
        <c:minorTickMark val="none"/>
        <c:tickLblPos val="nextTo"/>
        <c:txPr>
          <a:bodyPr rot="-5400000" vert="horz"/>
          <a:lstStyle/>
          <a:p>
            <a:pPr>
              <a:defRPr b="1"/>
            </a:pPr>
            <a:endParaRPr lang="en-US"/>
          </a:p>
        </c:txPr>
        <c:crossAx val="111864144"/>
        <c:crosses val="autoZero"/>
        <c:auto val="1"/>
        <c:lblAlgn val="ctr"/>
        <c:lblOffset val="100"/>
        <c:noMultiLvlLbl val="0"/>
      </c:catAx>
      <c:valAx>
        <c:axId val="111864144"/>
        <c:scaling>
          <c:orientation val="minMax"/>
          <c:min val="0"/>
        </c:scaling>
        <c:delete val="0"/>
        <c:axPos val="l"/>
        <c:title>
          <c:tx>
            <c:rich>
              <a:bodyPr rot="-5400000" vert="horz"/>
              <a:lstStyle/>
              <a:p>
                <a:pPr>
                  <a:defRPr/>
                </a:pPr>
                <a:r>
                  <a:rPr lang="en-GB"/>
                  <a:t>kWh</a:t>
                </a:r>
              </a:p>
            </c:rich>
          </c:tx>
          <c:layout>
            <c:manualLayout>
              <c:xMode val="edge"/>
              <c:yMode val="edge"/>
              <c:x val="2.4245117457522867E-2"/>
              <c:y val="0.52459349988658821"/>
            </c:manualLayout>
          </c:layout>
          <c:overlay val="0"/>
        </c:title>
        <c:numFmt formatCode="#,##0" sourceLinked="1"/>
        <c:majorTickMark val="out"/>
        <c:minorTickMark val="none"/>
        <c:tickLblPos val="nextTo"/>
        <c:crossAx val="111863752"/>
        <c:crosses val="autoZero"/>
        <c:crossBetween val="between"/>
      </c:valAx>
      <c:spPr>
        <a:ln>
          <a:solidFill>
            <a:schemeClr val="tx2"/>
          </a:solidFill>
        </a:ln>
      </c:spPr>
    </c:plotArea>
    <c:legend>
      <c:legendPos val="b"/>
      <c:layout>
        <c:manualLayout>
          <c:xMode val="edge"/>
          <c:yMode val="edge"/>
          <c:x val="0"/>
          <c:y val="0.82470076006124238"/>
          <c:w val="0.99792678866674556"/>
          <c:h val="0.17513779527559056"/>
        </c:manualLayout>
      </c:layout>
      <c:overlay val="0"/>
    </c:legend>
    <c:plotVisOnly val="0"/>
    <c:dispBlanksAs val="gap"/>
    <c:showDLblsOverMax val="0"/>
  </c:chart>
  <c:spPr>
    <a:ln>
      <a:noFill/>
    </a:ln>
  </c:spPr>
  <c:txPr>
    <a:bodyPr/>
    <a:lstStyle/>
    <a:p>
      <a:pPr>
        <a:defRPr>
          <a:solidFill>
            <a:schemeClr val="tx2"/>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931780022532622"/>
          <c:y val="3.3092446777486149E-2"/>
          <c:w val="0.60060378679325765"/>
          <c:h val="0.54700612423447081"/>
        </c:manualLayout>
      </c:layout>
      <c:lineChart>
        <c:grouping val="standard"/>
        <c:varyColors val="0"/>
        <c:ser>
          <c:idx val="0"/>
          <c:order val="0"/>
          <c:tx>
            <c:strRef>
              <c:f>ComplexStep3!$G$101</c:f>
              <c:strCache>
                <c:ptCount val="1"/>
                <c:pt idx="0">
                  <c:v>Benchmark</c:v>
                </c:pt>
              </c:strCache>
            </c:strRef>
          </c:tx>
          <c:spPr>
            <a:ln w="6350">
              <a:solidFill>
                <a:schemeClr val="tx2"/>
              </a:solidFill>
            </a:ln>
          </c:spPr>
          <c:marker>
            <c:symbol val="none"/>
          </c:marker>
          <c:val>
            <c:numRef>
              <c:f>ComplexStep3!$K$110:$AJ$110</c:f>
              <c:numCache>
                <c:formatCode>#,##0</c:formatCode>
                <c:ptCount val="26"/>
                <c:pt idx="0">
                  <c:v>629956.23750000005</c:v>
                </c:pt>
                <c:pt idx="1">
                  <c:v>687354.61725000001</c:v>
                </c:pt>
                <c:pt idx="2">
                  <c:v>750157.00033499999</c:v>
                </c:pt>
                <c:pt idx="3">
                  <c:v>818883.6370101003</c:v>
                </c:pt>
                <c:pt idx="4">
                  <c:v>894105.59355120617</c:v>
                </c:pt>
                <c:pt idx="5">
                  <c:v>976449.76131682866</c:v>
                </c:pt>
                <c:pt idx="6">
                  <c:v>1066604.3623636435</c:v>
                </c:pt>
                <c:pt idx="7">
                  <c:v>1165325.0010100477</c:v>
                </c:pt>
                <c:pt idx="8">
                  <c:v>1273441.3156656949</c:v>
                </c:pt>
                <c:pt idx="9">
                  <c:v>1391864.290660185</c:v>
                </c:pt>
                <c:pt idx="10">
                  <c:v>1521594.2937597998</c:v>
                </c:pt>
                <c:pt idx="11">
                  <c:v>1663729.9116113917</c:v>
                </c:pt>
                <c:pt idx="12">
                  <c:v>1819477.6625566795</c:v>
                </c:pt>
                <c:pt idx="13">
                  <c:v>1990162.6741835447</c:v>
                </c:pt>
                <c:pt idx="14">
                  <c:v>2177240.4216953684</c:v>
                </c:pt>
                <c:pt idx="15">
                  <c:v>2382309.6327639828</c:v>
                </c:pt>
                <c:pt idx="16">
                  <c:v>2607126.4750734032</c:v>
                </c:pt>
                <c:pt idx="17">
                  <c:v>2853620.1543557467</c:v>
                </c:pt>
                <c:pt idx="18">
                  <c:v>3123910.0634728251</c:v>
                </c:pt>
                <c:pt idx="19">
                  <c:v>3420324.6371225016</c:v>
                </c:pt>
                <c:pt idx="20">
                  <c:v>3745422.0821752893</c:v>
                </c:pt>
                <c:pt idx="21">
                  <c:v>4102013.1706137881</c:v>
                </c:pt>
                <c:pt idx="22">
                  <c:v>4493186.3007093947</c:v>
                </c:pt>
                <c:pt idx="23">
                  <c:v>4922335.0525966156</c:v>
                </c:pt>
                <c:pt idx="24">
                  <c:v>5393188.4869815363</c:v>
                </c:pt>
                <c:pt idx="25">
                  <c:v>5909844.4605524642</c:v>
                </c:pt>
              </c:numCache>
            </c:numRef>
          </c:val>
          <c:smooth val="0"/>
          <c:extLst>
            <c:ext xmlns:c16="http://schemas.microsoft.com/office/drawing/2014/chart" uri="{C3380CC4-5D6E-409C-BE32-E72D297353CC}">
              <c16:uniqueId val="{00000000-BC3A-4C1E-88F0-5312A0274A31}"/>
            </c:ext>
          </c:extLst>
        </c:ser>
        <c:ser>
          <c:idx val="1"/>
          <c:order val="1"/>
          <c:tx>
            <c:strRef>
              <c:f>ComplexStep3!$G$112</c:f>
              <c:strCache>
                <c:ptCount val="1"/>
                <c:pt idx="0">
                  <c:v>Estimate</c:v>
                </c:pt>
              </c:strCache>
            </c:strRef>
          </c:tx>
          <c:spPr>
            <a:ln w="38100">
              <a:solidFill>
                <a:schemeClr val="accent6"/>
              </a:solidFill>
            </a:ln>
          </c:spPr>
          <c:marker>
            <c:symbol val="none"/>
          </c:marker>
          <c:val>
            <c:numRef>
              <c:f>ComplexStep3!$K$121:$AJ$121</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01-BC3A-4C1E-88F0-5312A0274A31}"/>
            </c:ext>
          </c:extLst>
        </c:ser>
        <c:dLbls>
          <c:showLegendKey val="0"/>
          <c:showVal val="0"/>
          <c:showCatName val="0"/>
          <c:showSerName val="0"/>
          <c:showPercent val="0"/>
          <c:showBubbleSize val="0"/>
        </c:dLbls>
        <c:smooth val="0"/>
        <c:axId val="110204552"/>
        <c:axId val="110204944"/>
      </c:lineChart>
      <c:catAx>
        <c:axId val="110204552"/>
        <c:scaling>
          <c:orientation val="minMax"/>
        </c:scaling>
        <c:delete val="0"/>
        <c:axPos val="b"/>
        <c:title>
          <c:tx>
            <c:rich>
              <a:bodyPr/>
              <a:lstStyle/>
              <a:p>
                <a:pPr>
                  <a:defRPr/>
                </a:pPr>
                <a:r>
                  <a:rPr lang="en-GB"/>
                  <a:t>Year</a:t>
                </a:r>
              </a:p>
            </c:rich>
          </c:tx>
          <c:overlay val="0"/>
        </c:title>
        <c:numFmt formatCode="General" sourceLinked="1"/>
        <c:majorTickMark val="out"/>
        <c:minorTickMark val="none"/>
        <c:tickLblPos val="nextTo"/>
        <c:txPr>
          <a:bodyPr/>
          <a:lstStyle/>
          <a:p>
            <a:pPr>
              <a:defRPr sz="800"/>
            </a:pPr>
            <a:endParaRPr lang="en-US"/>
          </a:p>
        </c:txPr>
        <c:crossAx val="110204944"/>
        <c:crosses val="autoZero"/>
        <c:auto val="1"/>
        <c:lblAlgn val="ctr"/>
        <c:lblOffset val="100"/>
        <c:noMultiLvlLbl val="0"/>
      </c:catAx>
      <c:valAx>
        <c:axId val="110204944"/>
        <c:scaling>
          <c:orientation val="minMax"/>
        </c:scaling>
        <c:delete val="0"/>
        <c:axPos val="l"/>
        <c:title>
          <c:tx>
            <c:rich>
              <a:bodyPr rot="-5400000" vert="horz"/>
              <a:lstStyle/>
              <a:p>
                <a:pPr>
                  <a:defRPr/>
                </a:pPr>
                <a:r>
                  <a:rPr lang="en-GB"/>
                  <a:t>£</a:t>
                </a:r>
              </a:p>
            </c:rich>
          </c:tx>
          <c:layout>
            <c:manualLayout>
              <c:xMode val="edge"/>
              <c:yMode val="edge"/>
              <c:x val="4.7794196976511286E-2"/>
              <c:y val="0.1197066200058326"/>
            </c:manualLayout>
          </c:layout>
          <c:overlay val="0"/>
        </c:title>
        <c:numFmt formatCode="#,##0" sourceLinked="1"/>
        <c:majorTickMark val="out"/>
        <c:minorTickMark val="none"/>
        <c:tickLblPos val="nextTo"/>
        <c:txPr>
          <a:bodyPr/>
          <a:lstStyle/>
          <a:p>
            <a:pPr>
              <a:defRPr sz="800"/>
            </a:pPr>
            <a:endParaRPr lang="en-US"/>
          </a:p>
        </c:txPr>
        <c:crossAx val="110204552"/>
        <c:crosses val="autoZero"/>
        <c:crossBetween val="midCat"/>
      </c:valAx>
      <c:spPr>
        <a:ln>
          <a:solidFill>
            <a:schemeClr val="tx2"/>
          </a:solidFill>
        </a:ln>
      </c:spPr>
    </c:plotArea>
    <c:legend>
      <c:legendPos val="b"/>
      <c:layout>
        <c:manualLayout>
          <c:xMode val="edge"/>
          <c:yMode val="edge"/>
          <c:x val="0.38094847914149221"/>
          <c:y val="0.87360571595217262"/>
          <c:w val="0.49407356103777311"/>
          <c:h val="0.12639428404782735"/>
        </c:manualLayout>
      </c:layout>
      <c:overlay val="0"/>
    </c:legend>
    <c:plotVisOnly val="0"/>
    <c:dispBlanksAs val="gap"/>
    <c:showDLblsOverMax val="0"/>
  </c:chart>
  <c:spPr>
    <a:noFill/>
    <a:ln>
      <a:noFill/>
    </a:ln>
  </c:spPr>
  <c:txPr>
    <a:bodyPr/>
    <a:lstStyle/>
    <a:p>
      <a:pPr>
        <a:defRPr>
          <a:solidFill>
            <a:schemeClr val="tx2"/>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977822867330978"/>
          <c:y val="3.3092446777486149E-2"/>
          <c:w val="0.60013635108233154"/>
          <c:h val="0.52478390201224856"/>
        </c:manualLayout>
      </c:layout>
      <c:lineChart>
        <c:grouping val="standard"/>
        <c:varyColors val="0"/>
        <c:ser>
          <c:idx val="0"/>
          <c:order val="0"/>
          <c:tx>
            <c:strRef>
              <c:f>ComplexStep3!$G$101</c:f>
              <c:strCache>
                <c:ptCount val="1"/>
                <c:pt idx="0">
                  <c:v>Benchmark</c:v>
                </c:pt>
              </c:strCache>
            </c:strRef>
          </c:tx>
          <c:spPr>
            <a:ln w="6350">
              <a:solidFill>
                <a:schemeClr val="tx2"/>
              </a:solidFill>
            </a:ln>
          </c:spPr>
          <c:marker>
            <c:symbol val="none"/>
          </c:marker>
          <c:val>
            <c:numRef>
              <c:f>ComplexStep3!$K$105:$AJ$105</c:f>
              <c:numCache>
                <c:formatCode>#,##0</c:formatCode>
                <c:ptCount val="26"/>
                <c:pt idx="0">
                  <c:v>591762.20222500002</c:v>
                </c:pt>
                <c:pt idx="1">
                  <c:v>582591.77695824997</c:v>
                </c:pt>
                <c:pt idx="2">
                  <c:v>573696.46444950253</c:v>
                </c:pt>
                <c:pt idx="3">
                  <c:v>565068.01131601748</c:v>
                </c:pt>
                <c:pt idx="4">
                  <c:v>556698.41177653684</c:v>
                </c:pt>
                <c:pt idx="5">
                  <c:v>548579.90022324084</c:v>
                </c:pt>
                <c:pt idx="6">
                  <c:v>540704.94401654357</c:v>
                </c:pt>
                <c:pt idx="7">
                  <c:v>533066.23649604723</c:v>
                </c:pt>
                <c:pt idx="8">
                  <c:v>525656.69020116585</c:v>
                </c:pt>
                <c:pt idx="9">
                  <c:v>518469.43029513082</c:v>
                </c:pt>
                <c:pt idx="10">
                  <c:v>511497.78818627691</c:v>
                </c:pt>
                <c:pt idx="11">
                  <c:v>504735.29534068855</c:v>
                </c:pt>
                <c:pt idx="12">
                  <c:v>498175.67728046793</c:v>
                </c:pt>
                <c:pt idx="13">
                  <c:v>491812.84776205389</c:v>
                </c:pt>
                <c:pt idx="14">
                  <c:v>485640.90312919224</c:v>
                </c:pt>
                <c:pt idx="15">
                  <c:v>479654.11683531647</c:v>
                </c:pt>
                <c:pt idx="16">
                  <c:v>473846.934130257</c:v>
                </c:pt>
                <c:pt idx="17">
                  <c:v>468213.96690634929</c:v>
                </c:pt>
                <c:pt idx="18">
                  <c:v>462749.98869915877</c:v>
                </c:pt>
                <c:pt idx="19">
                  <c:v>457449.92983818403</c:v>
                </c:pt>
                <c:pt idx="20">
                  <c:v>452308.87274303846</c:v>
                </c:pt>
                <c:pt idx="21">
                  <c:v>447322.04736074735</c:v>
                </c:pt>
                <c:pt idx="22">
                  <c:v>442484.82673992496</c:v>
                </c:pt>
                <c:pt idx="23">
                  <c:v>437792.72273772716</c:v>
                </c:pt>
                <c:pt idx="24">
                  <c:v>433241.38185559539</c:v>
                </c:pt>
                <c:pt idx="25">
                  <c:v>428826.58119992749</c:v>
                </c:pt>
              </c:numCache>
            </c:numRef>
          </c:val>
          <c:smooth val="0"/>
          <c:extLst>
            <c:ext xmlns:c16="http://schemas.microsoft.com/office/drawing/2014/chart" uri="{C3380CC4-5D6E-409C-BE32-E72D297353CC}">
              <c16:uniqueId val="{00000000-D423-4184-AC80-F6D2B93A04A9}"/>
            </c:ext>
          </c:extLst>
        </c:ser>
        <c:ser>
          <c:idx val="1"/>
          <c:order val="1"/>
          <c:tx>
            <c:strRef>
              <c:f>ComplexStep3!$G$112</c:f>
              <c:strCache>
                <c:ptCount val="1"/>
                <c:pt idx="0">
                  <c:v>Estimate</c:v>
                </c:pt>
              </c:strCache>
            </c:strRef>
          </c:tx>
          <c:spPr>
            <a:ln w="38100">
              <a:solidFill>
                <a:schemeClr val="accent6"/>
              </a:solidFill>
            </a:ln>
          </c:spPr>
          <c:marker>
            <c:symbol val="none"/>
          </c:marker>
          <c:val>
            <c:numRef>
              <c:f>ComplexStep3!$K$116:$AJ$116</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01-D423-4184-AC80-F6D2B93A04A9}"/>
            </c:ext>
          </c:extLst>
        </c:ser>
        <c:dLbls>
          <c:showLegendKey val="0"/>
          <c:showVal val="0"/>
          <c:showCatName val="0"/>
          <c:showSerName val="0"/>
          <c:showPercent val="0"/>
          <c:showBubbleSize val="0"/>
        </c:dLbls>
        <c:smooth val="0"/>
        <c:axId val="110205728"/>
        <c:axId val="110206120"/>
      </c:lineChart>
      <c:catAx>
        <c:axId val="110205728"/>
        <c:scaling>
          <c:orientation val="minMax"/>
        </c:scaling>
        <c:delete val="0"/>
        <c:axPos val="b"/>
        <c:title>
          <c:tx>
            <c:rich>
              <a:bodyPr/>
              <a:lstStyle/>
              <a:p>
                <a:pPr>
                  <a:defRPr b="1"/>
                </a:pPr>
                <a:r>
                  <a:rPr lang="en-GB" b="1"/>
                  <a:t>Year</a:t>
                </a:r>
              </a:p>
            </c:rich>
          </c:tx>
          <c:overlay val="0"/>
        </c:title>
        <c:numFmt formatCode="General" sourceLinked="1"/>
        <c:majorTickMark val="out"/>
        <c:minorTickMark val="none"/>
        <c:tickLblPos val="nextTo"/>
        <c:txPr>
          <a:bodyPr/>
          <a:lstStyle/>
          <a:p>
            <a:pPr>
              <a:defRPr sz="800"/>
            </a:pPr>
            <a:endParaRPr lang="en-US"/>
          </a:p>
        </c:txPr>
        <c:crossAx val="110206120"/>
        <c:crosses val="autoZero"/>
        <c:auto val="1"/>
        <c:lblAlgn val="ctr"/>
        <c:lblOffset val="100"/>
        <c:noMultiLvlLbl val="0"/>
      </c:catAx>
      <c:valAx>
        <c:axId val="110206120"/>
        <c:scaling>
          <c:orientation val="minMax"/>
        </c:scaling>
        <c:delete val="0"/>
        <c:axPos val="l"/>
        <c:title>
          <c:tx>
            <c:rich>
              <a:bodyPr rot="-5400000" vert="horz"/>
              <a:lstStyle/>
              <a:p>
                <a:pPr>
                  <a:defRPr b="1"/>
                </a:pPr>
                <a:r>
                  <a:rPr lang="en-GB" b="1"/>
                  <a:t>kg CO2e</a:t>
                </a:r>
              </a:p>
            </c:rich>
          </c:tx>
          <c:layout>
            <c:manualLayout>
              <c:xMode val="edge"/>
              <c:yMode val="edge"/>
              <c:x val="4.8743091573171998E-2"/>
              <c:y val="0.10489180519101779"/>
            </c:manualLayout>
          </c:layout>
          <c:overlay val="0"/>
        </c:title>
        <c:numFmt formatCode="#,##0" sourceLinked="1"/>
        <c:majorTickMark val="out"/>
        <c:minorTickMark val="none"/>
        <c:tickLblPos val="nextTo"/>
        <c:txPr>
          <a:bodyPr/>
          <a:lstStyle/>
          <a:p>
            <a:pPr>
              <a:defRPr sz="800"/>
            </a:pPr>
            <a:endParaRPr lang="en-US"/>
          </a:p>
        </c:txPr>
        <c:crossAx val="110205728"/>
        <c:crosses val="autoZero"/>
        <c:crossBetween val="midCat"/>
      </c:valAx>
      <c:spPr>
        <a:ln>
          <a:solidFill>
            <a:schemeClr val="tx2"/>
          </a:solidFill>
        </a:ln>
      </c:spPr>
    </c:plotArea>
    <c:legend>
      <c:legendPos val="b"/>
      <c:layout>
        <c:manualLayout>
          <c:xMode val="edge"/>
          <c:yMode val="edge"/>
          <c:x val="0.37760823556635864"/>
          <c:y val="0.87360571595217262"/>
          <c:w val="0.49637660870860623"/>
          <c:h val="0.12639428404782735"/>
        </c:manualLayout>
      </c:layout>
      <c:overlay val="0"/>
    </c:legend>
    <c:plotVisOnly val="0"/>
    <c:dispBlanksAs val="gap"/>
    <c:showDLblsOverMax val="0"/>
  </c:chart>
  <c:spPr>
    <a:noFill/>
    <a:ln>
      <a:noFill/>
    </a:ln>
  </c:spPr>
  <c:txPr>
    <a:bodyPr/>
    <a:lstStyle/>
    <a:p>
      <a:pPr>
        <a:defRPr b="0">
          <a:solidFill>
            <a:schemeClr val="tx2"/>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621860047250617"/>
          <c:y val="3.3347856517935259E-2"/>
          <c:w val="0.6328750848826975"/>
          <c:h val="0.76692720909886269"/>
        </c:manualLayout>
      </c:layout>
      <c:lineChart>
        <c:grouping val="standard"/>
        <c:varyColors val="0"/>
        <c:ser>
          <c:idx val="0"/>
          <c:order val="0"/>
          <c:tx>
            <c:strRef>
              <c:f>SimpleStep2!$G$75</c:f>
              <c:strCache>
                <c:ptCount val="1"/>
                <c:pt idx="0">
                  <c:v>CURRENT (DO NOTHING)</c:v>
                </c:pt>
              </c:strCache>
            </c:strRef>
          </c:tx>
          <c:spPr>
            <a:ln w="6350">
              <a:solidFill>
                <a:schemeClr val="tx2"/>
              </a:solidFill>
            </a:ln>
          </c:spPr>
          <c:marker>
            <c:symbol val="none"/>
          </c:marker>
          <c:cat>
            <c:numRef>
              <c:f>SimpleBA!$K$71:$AJ$71</c:f>
              <c:numCache>
                <c:formatCode>General</c:formatCode>
                <c:ptCount val="2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numCache>
            </c:numRef>
          </c:cat>
          <c:val>
            <c:numRef>
              <c:f>SimpleStep2!$K$85:$AJ$85</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00-2F41-4AA7-B38C-6D812C3B78F2}"/>
            </c:ext>
          </c:extLst>
        </c:ser>
        <c:ser>
          <c:idx val="1"/>
          <c:order val="1"/>
          <c:tx>
            <c:strRef>
              <c:f>SimpleStep2!$G$87</c:f>
              <c:strCache>
                <c:ptCount val="1"/>
                <c:pt idx="0">
                  <c:v>PREFERRED OPTION</c:v>
                </c:pt>
              </c:strCache>
            </c:strRef>
          </c:tx>
          <c:spPr>
            <a:ln w="38100">
              <a:solidFill>
                <a:schemeClr val="accent6"/>
              </a:solidFill>
            </a:ln>
          </c:spPr>
          <c:marker>
            <c:symbol val="none"/>
          </c:marker>
          <c:cat>
            <c:numRef>
              <c:f>SimpleBA!$K$71:$AJ$71</c:f>
              <c:numCache>
                <c:formatCode>General</c:formatCode>
                <c:ptCount val="2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numCache>
            </c:numRef>
          </c:cat>
          <c:val>
            <c:numRef>
              <c:f>SimpleStep2!$K$97:$AJ$97</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01-2F41-4AA7-B38C-6D812C3B78F2}"/>
            </c:ext>
          </c:extLst>
        </c:ser>
        <c:ser>
          <c:idx val="2"/>
          <c:order val="2"/>
          <c:tx>
            <c:strRef>
              <c:f>SimpleBA!$G$138</c:f>
              <c:strCache>
                <c:ptCount val="1"/>
                <c:pt idx="0">
                  <c:v>SECOND OPTION</c:v>
                </c:pt>
              </c:strCache>
            </c:strRef>
          </c:tx>
          <c:spPr>
            <a:ln w="38100">
              <a:solidFill>
                <a:schemeClr val="accent1"/>
              </a:solidFill>
              <a:prstDash val="sysDot"/>
            </a:ln>
          </c:spPr>
          <c:marker>
            <c:symbol val="none"/>
          </c:marker>
          <c:cat>
            <c:numRef>
              <c:f>SimpleBA!$K$71:$AJ$71</c:f>
              <c:numCache>
                <c:formatCode>General</c:formatCode>
                <c:ptCount val="2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numCache>
            </c:numRef>
          </c:cat>
          <c:val>
            <c:numRef>
              <c:f>SimpleStep2!$K$109:$AJ$109</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02-2F41-4AA7-B38C-6D812C3B78F2}"/>
            </c:ext>
          </c:extLst>
        </c:ser>
        <c:dLbls>
          <c:showLegendKey val="0"/>
          <c:showVal val="0"/>
          <c:showCatName val="0"/>
          <c:showSerName val="0"/>
          <c:showPercent val="0"/>
          <c:showBubbleSize val="0"/>
        </c:dLbls>
        <c:smooth val="0"/>
        <c:axId val="191018192"/>
        <c:axId val="191017016"/>
      </c:lineChart>
      <c:catAx>
        <c:axId val="191018192"/>
        <c:scaling>
          <c:orientation val="minMax"/>
        </c:scaling>
        <c:delete val="0"/>
        <c:axPos val="b"/>
        <c:numFmt formatCode="General" sourceLinked="1"/>
        <c:majorTickMark val="out"/>
        <c:minorTickMark val="none"/>
        <c:tickLblPos val="nextTo"/>
        <c:crossAx val="191017016"/>
        <c:crosses val="autoZero"/>
        <c:auto val="0"/>
        <c:lblAlgn val="ctr"/>
        <c:lblOffset val="100"/>
        <c:tickLblSkip val="5"/>
        <c:tickMarkSkip val="1"/>
        <c:noMultiLvlLbl val="0"/>
      </c:catAx>
      <c:valAx>
        <c:axId val="191017016"/>
        <c:scaling>
          <c:orientation val="minMax"/>
        </c:scaling>
        <c:delete val="0"/>
        <c:axPos val="l"/>
        <c:title>
          <c:tx>
            <c:rich>
              <a:bodyPr rot="-5400000" vert="horz"/>
              <a:lstStyle/>
              <a:p>
                <a:pPr>
                  <a:defRPr/>
                </a:pPr>
                <a:r>
                  <a:rPr lang="en-GB"/>
                  <a:t>NPV (£)</a:t>
                </a:r>
              </a:p>
            </c:rich>
          </c:tx>
          <c:layout>
            <c:manualLayout>
              <c:xMode val="edge"/>
              <c:yMode val="edge"/>
              <c:x val="0"/>
              <c:y val="0.74075590551181103"/>
            </c:manualLayout>
          </c:layout>
          <c:overlay val="0"/>
        </c:title>
        <c:numFmt formatCode="#,##0" sourceLinked="1"/>
        <c:majorTickMark val="out"/>
        <c:minorTickMark val="none"/>
        <c:tickLblPos val="nextTo"/>
        <c:crossAx val="191018192"/>
        <c:crossesAt val="1"/>
        <c:crossBetween val="midCat"/>
      </c:valAx>
      <c:spPr>
        <a:ln>
          <a:solidFill>
            <a:schemeClr val="tx2"/>
          </a:solidFill>
        </a:ln>
      </c:spPr>
    </c:plotArea>
    <c:legend>
      <c:legendPos val="b"/>
      <c:layout>
        <c:manualLayout>
          <c:xMode val="edge"/>
          <c:yMode val="edge"/>
          <c:x val="0.1634615522125944"/>
          <c:y val="0.86658897637795274"/>
          <c:w val="0.66594550995570945"/>
          <c:h val="0.13341102362204724"/>
        </c:manualLayout>
      </c:layout>
      <c:overlay val="0"/>
      <c:txPr>
        <a:bodyPr/>
        <a:lstStyle/>
        <a:p>
          <a:pPr>
            <a:defRPr sz="800"/>
          </a:pPr>
          <a:endParaRPr lang="en-US"/>
        </a:p>
      </c:txPr>
    </c:legend>
    <c:plotVisOnly val="0"/>
    <c:dispBlanksAs val="gap"/>
    <c:showDLblsOverMax val="0"/>
  </c:chart>
  <c:spPr>
    <a:ln>
      <a:noFill/>
    </a:ln>
  </c:spPr>
  <c:txPr>
    <a:bodyPr/>
    <a:lstStyle/>
    <a:p>
      <a:pPr>
        <a:defRPr sz="800">
          <a:solidFill>
            <a:schemeClr val="tx2"/>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621860047250617"/>
          <c:y val="3.3347856517935259E-2"/>
          <c:w val="0.66560389809043474"/>
          <c:h val="0.76692720909886269"/>
        </c:manualLayout>
      </c:layout>
      <c:lineChart>
        <c:grouping val="standard"/>
        <c:varyColors val="0"/>
        <c:ser>
          <c:idx val="0"/>
          <c:order val="0"/>
          <c:tx>
            <c:strRef>
              <c:f>SimpleBA!$G$90</c:f>
              <c:strCache>
                <c:ptCount val="1"/>
                <c:pt idx="0">
                  <c:v>CURRENT (DO NOTHING)</c:v>
                </c:pt>
              </c:strCache>
            </c:strRef>
          </c:tx>
          <c:spPr>
            <a:ln w="12700">
              <a:solidFill>
                <a:schemeClr val="tx2"/>
              </a:solidFill>
            </a:ln>
          </c:spPr>
          <c:marker>
            <c:symbol val="none"/>
          </c:marker>
          <c:cat>
            <c:numRef>
              <c:f>SimpleBA!$K$71:$AJ$71</c:f>
              <c:numCache>
                <c:formatCode>General</c:formatCode>
                <c:ptCount val="2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numCache>
            </c:numRef>
          </c:cat>
          <c:val>
            <c:numRef>
              <c:f>SimpleBA!$K$112:$AJ$112</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00-2F41-4AA7-B38C-6D812C3B78F2}"/>
            </c:ext>
          </c:extLst>
        </c:ser>
        <c:ser>
          <c:idx val="1"/>
          <c:order val="1"/>
          <c:tx>
            <c:strRef>
              <c:f>SimpleBA!$G$114</c:f>
              <c:strCache>
                <c:ptCount val="1"/>
                <c:pt idx="0">
                  <c:v>PREFERRED OPTION</c:v>
                </c:pt>
              </c:strCache>
            </c:strRef>
          </c:tx>
          <c:spPr>
            <a:ln w="38100">
              <a:solidFill>
                <a:schemeClr val="accent6"/>
              </a:solidFill>
            </a:ln>
          </c:spPr>
          <c:marker>
            <c:symbol val="none"/>
          </c:marker>
          <c:cat>
            <c:numRef>
              <c:f>SimpleBA!$K$71:$AJ$71</c:f>
              <c:numCache>
                <c:formatCode>General</c:formatCode>
                <c:ptCount val="2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numCache>
            </c:numRef>
          </c:cat>
          <c:val>
            <c:numRef>
              <c:f>SimpleBA!$K$136:$AJ$136</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01-2F41-4AA7-B38C-6D812C3B78F2}"/>
            </c:ext>
          </c:extLst>
        </c:ser>
        <c:ser>
          <c:idx val="2"/>
          <c:order val="2"/>
          <c:tx>
            <c:strRef>
              <c:f>SimpleBA!$G$138</c:f>
              <c:strCache>
                <c:ptCount val="1"/>
                <c:pt idx="0">
                  <c:v>SECOND OPTION</c:v>
                </c:pt>
              </c:strCache>
            </c:strRef>
          </c:tx>
          <c:spPr>
            <a:ln w="38100">
              <a:solidFill>
                <a:schemeClr val="accent1"/>
              </a:solidFill>
              <a:prstDash val="sysDot"/>
            </a:ln>
          </c:spPr>
          <c:marker>
            <c:symbol val="none"/>
          </c:marker>
          <c:cat>
            <c:numRef>
              <c:f>SimpleBA!$K$71:$AJ$71</c:f>
              <c:numCache>
                <c:formatCode>General</c:formatCode>
                <c:ptCount val="2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numCache>
            </c:numRef>
          </c:cat>
          <c:val>
            <c:numRef>
              <c:f>SimpleBA!$K$160:$AJ$160</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02-2F41-4AA7-B38C-6D812C3B78F2}"/>
            </c:ext>
          </c:extLst>
        </c:ser>
        <c:dLbls>
          <c:showLegendKey val="0"/>
          <c:showVal val="0"/>
          <c:showCatName val="0"/>
          <c:showSerName val="0"/>
          <c:showPercent val="0"/>
          <c:showBubbleSize val="0"/>
        </c:dLbls>
        <c:smooth val="0"/>
        <c:axId val="423408192"/>
        <c:axId val="423407800"/>
      </c:lineChart>
      <c:catAx>
        <c:axId val="423408192"/>
        <c:scaling>
          <c:orientation val="minMax"/>
        </c:scaling>
        <c:delete val="0"/>
        <c:axPos val="b"/>
        <c:numFmt formatCode="General" sourceLinked="1"/>
        <c:majorTickMark val="out"/>
        <c:minorTickMark val="none"/>
        <c:tickLblPos val="nextTo"/>
        <c:crossAx val="423407800"/>
        <c:crosses val="autoZero"/>
        <c:auto val="0"/>
        <c:lblAlgn val="ctr"/>
        <c:lblOffset val="100"/>
        <c:tickLblSkip val="5"/>
        <c:tickMarkSkip val="1"/>
        <c:noMultiLvlLbl val="0"/>
      </c:catAx>
      <c:valAx>
        <c:axId val="423407800"/>
        <c:scaling>
          <c:orientation val="minMax"/>
        </c:scaling>
        <c:delete val="0"/>
        <c:axPos val="l"/>
        <c:title>
          <c:tx>
            <c:rich>
              <a:bodyPr rot="-5400000" vert="horz"/>
              <a:lstStyle/>
              <a:p>
                <a:pPr>
                  <a:defRPr/>
                </a:pPr>
                <a:r>
                  <a:rPr lang="en-GB"/>
                  <a:t>NPV (£)</a:t>
                </a:r>
              </a:p>
            </c:rich>
          </c:tx>
          <c:overlay val="0"/>
        </c:title>
        <c:numFmt formatCode="#,##0" sourceLinked="1"/>
        <c:majorTickMark val="out"/>
        <c:minorTickMark val="none"/>
        <c:tickLblPos val="nextTo"/>
        <c:crossAx val="423408192"/>
        <c:crossesAt val="1"/>
        <c:crossBetween val="midCat"/>
      </c:valAx>
      <c:spPr>
        <a:ln>
          <a:solidFill>
            <a:schemeClr val="tx2"/>
          </a:solidFill>
        </a:ln>
      </c:spPr>
    </c:plotArea>
    <c:legend>
      <c:legendPos val="b"/>
      <c:layout>
        <c:manualLayout>
          <c:xMode val="edge"/>
          <c:yMode val="edge"/>
          <c:x val="0.1634615522125944"/>
          <c:y val="0.86658897637795274"/>
          <c:w val="0.66594550995570945"/>
          <c:h val="0.13341102362204724"/>
        </c:manualLayout>
      </c:layout>
      <c:overlay val="0"/>
      <c:txPr>
        <a:bodyPr/>
        <a:lstStyle/>
        <a:p>
          <a:pPr>
            <a:defRPr sz="800"/>
          </a:pPr>
          <a:endParaRPr lang="en-US"/>
        </a:p>
      </c:txPr>
    </c:legend>
    <c:plotVisOnly val="0"/>
    <c:dispBlanksAs val="gap"/>
    <c:showDLblsOverMax val="0"/>
  </c:chart>
  <c:spPr>
    <a:ln>
      <a:noFill/>
    </a:ln>
  </c:spPr>
  <c:txPr>
    <a:bodyPr/>
    <a:lstStyle/>
    <a:p>
      <a:pPr>
        <a:defRPr sz="800">
          <a:solidFill>
            <a:schemeClr val="tx2"/>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621860047250617"/>
          <c:y val="3.3347856517935259E-2"/>
          <c:w val="0.66560389809043474"/>
          <c:h val="0.76692720909886269"/>
        </c:manualLayout>
      </c:layout>
      <c:lineChart>
        <c:grouping val="standard"/>
        <c:varyColors val="0"/>
        <c:ser>
          <c:idx val="0"/>
          <c:order val="0"/>
          <c:tx>
            <c:strRef>
              <c:f>SimpleBB!$G$90</c:f>
              <c:strCache>
                <c:ptCount val="1"/>
                <c:pt idx="0">
                  <c:v>CURRENT (DO NOTHING)</c:v>
                </c:pt>
              </c:strCache>
            </c:strRef>
          </c:tx>
          <c:spPr>
            <a:ln w="12700">
              <a:solidFill>
                <a:schemeClr val="tx2"/>
              </a:solidFill>
            </a:ln>
          </c:spPr>
          <c:marker>
            <c:symbol val="none"/>
          </c:marker>
          <c:cat>
            <c:numRef>
              <c:f>SimpleBB!$K$71:$AJ$71</c:f>
              <c:numCache>
                <c:formatCode>General</c:formatCode>
                <c:ptCount val="2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numCache>
            </c:numRef>
          </c:cat>
          <c:val>
            <c:numRef>
              <c:f>SimpleBB!$K$112:$AJ$112</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00-2F41-4AA7-B38C-6D812C3B78F2}"/>
            </c:ext>
          </c:extLst>
        </c:ser>
        <c:ser>
          <c:idx val="1"/>
          <c:order val="1"/>
          <c:tx>
            <c:strRef>
              <c:f>SimpleBB!$G$114</c:f>
              <c:strCache>
                <c:ptCount val="1"/>
                <c:pt idx="0">
                  <c:v>PREFERRED OPTION</c:v>
                </c:pt>
              </c:strCache>
            </c:strRef>
          </c:tx>
          <c:spPr>
            <a:ln w="38100">
              <a:solidFill>
                <a:schemeClr val="accent6"/>
              </a:solidFill>
            </a:ln>
          </c:spPr>
          <c:marker>
            <c:symbol val="none"/>
          </c:marker>
          <c:cat>
            <c:numRef>
              <c:f>SimpleBB!$K$71:$AJ$71</c:f>
              <c:numCache>
                <c:formatCode>General</c:formatCode>
                <c:ptCount val="2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numCache>
            </c:numRef>
          </c:cat>
          <c:val>
            <c:numRef>
              <c:f>SimpleBB!$K$136:$AJ$136</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01-2F41-4AA7-B38C-6D812C3B78F2}"/>
            </c:ext>
          </c:extLst>
        </c:ser>
        <c:ser>
          <c:idx val="2"/>
          <c:order val="2"/>
          <c:tx>
            <c:strRef>
              <c:f>SimpleBB!$G$138</c:f>
              <c:strCache>
                <c:ptCount val="1"/>
                <c:pt idx="0">
                  <c:v>SECOND OPTION</c:v>
                </c:pt>
              </c:strCache>
            </c:strRef>
          </c:tx>
          <c:spPr>
            <a:ln w="38100">
              <a:solidFill>
                <a:schemeClr val="accent1"/>
              </a:solidFill>
              <a:prstDash val="sysDot"/>
            </a:ln>
          </c:spPr>
          <c:marker>
            <c:symbol val="none"/>
          </c:marker>
          <c:cat>
            <c:numRef>
              <c:f>SimpleBB!$K$71:$AJ$71</c:f>
              <c:numCache>
                <c:formatCode>General</c:formatCode>
                <c:ptCount val="2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numCache>
            </c:numRef>
          </c:cat>
          <c:val>
            <c:numRef>
              <c:f>SimpleBB!$K$160:$AJ$160</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02-2F41-4AA7-B38C-6D812C3B78F2}"/>
            </c:ext>
          </c:extLst>
        </c:ser>
        <c:dLbls>
          <c:showLegendKey val="0"/>
          <c:showVal val="0"/>
          <c:showCatName val="0"/>
          <c:showSerName val="0"/>
          <c:showPercent val="0"/>
          <c:showBubbleSize val="0"/>
        </c:dLbls>
        <c:smooth val="0"/>
        <c:axId val="419449904"/>
        <c:axId val="419450296"/>
      </c:lineChart>
      <c:catAx>
        <c:axId val="419449904"/>
        <c:scaling>
          <c:orientation val="minMax"/>
        </c:scaling>
        <c:delete val="0"/>
        <c:axPos val="b"/>
        <c:numFmt formatCode="General" sourceLinked="1"/>
        <c:majorTickMark val="out"/>
        <c:minorTickMark val="none"/>
        <c:tickLblPos val="nextTo"/>
        <c:crossAx val="419450296"/>
        <c:crosses val="autoZero"/>
        <c:auto val="0"/>
        <c:lblAlgn val="ctr"/>
        <c:lblOffset val="100"/>
        <c:tickLblSkip val="5"/>
        <c:tickMarkSkip val="1"/>
        <c:noMultiLvlLbl val="0"/>
      </c:catAx>
      <c:valAx>
        <c:axId val="419450296"/>
        <c:scaling>
          <c:orientation val="minMax"/>
        </c:scaling>
        <c:delete val="0"/>
        <c:axPos val="l"/>
        <c:title>
          <c:tx>
            <c:rich>
              <a:bodyPr rot="-5400000" vert="horz"/>
              <a:lstStyle/>
              <a:p>
                <a:pPr>
                  <a:defRPr/>
                </a:pPr>
                <a:r>
                  <a:rPr lang="en-GB"/>
                  <a:t>NPV (£)</a:t>
                </a:r>
              </a:p>
            </c:rich>
          </c:tx>
          <c:overlay val="0"/>
        </c:title>
        <c:numFmt formatCode="#,##0" sourceLinked="1"/>
        <c:majorTickMark val="out"/>
        <c:minorTickMark val="none"/>
        <c:tickLblPos val="nextTo"/>
        <c:crossAx val="419449904"/>
        <c:crossesAt val="1"/>
        <c:crossBetween val="midCat"/>
      </c:valAx>
      <c:spPr>
        <a:ln>
          <a:solidFill>
            <a:schemeClr val="tx2"/>
          </a:solidFill>
        </a:ln>
      </c:spPr>
    </c:plotArea>
    <c:legend>
      <c:legendPos val="b"/>
      <c:layout>
        <c:manualLayout>
          <c:xMode val="edge"/>
          <c:yMode val="edge"/>
          <c:x val="0.1634615522125944"/>
          <c:y val="0.86658897637795274"/>
          <c:w val="0.66594550995570945"/>
          <c:h val="0.13341102362204724"/>
        </c:manualLayout>
      </c:layout>
      <c:overlay val="0"/>
      <c:txPr>
        <a:bodyPr/>
        <a:lstStyle/>
        <a:p>
          <a:pPr>
            <a:defRPr sz="800"/>
          </a:pPr>
          <a:endParaRPr lang="en-US"/>
        </a:p>
      </c:txPr>
    </c:legend>
    <c:plotVisOnly val="0"/>
    <c:dispBlanksAs val="gap"/>
    <c:showDLblsOverMax val="0"/>
  </c:chart>
  <c:spPr>
    <a:ln>
      <a:noFill/>
    </a:ln>
  </c:spPr>
  <c:txPr>
    <a:bodyPr/>
    <a:lstStyle/>
    <a:p>
      <a:pPr>
        <a:defRPr sz="800">
          <a:solidFill>
            <a:schemeClr val="tx2"/>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621860047250617"/>
          <c:y val="3.3347856517935259E-2"/>
          <c:w val="0.66560389809043474"/>
          <c:h val="0.76692720909886269"/>
        </c:manualLayout>
      </c:layout>
      <c:lineChart>
        <c:grouping val="standard"/>
        <c:varyColors val="0"/>
        <c:ser>
          <c:idx val="0"/>
          <c:order val="0"/>
          <c:tx>
            <c:strRef>
              <c:f>SimpleBC!$G$90</c:f>
              <c:strCache>
                <c:ptCount val="1"/>
                <c:pt idx="0">
                  <c:v>CURRENT (DO NOTHING)</c:v>
                </c:pt>
              </c:strCache>
            </c:strRef>
          </c:tx>
          <c:spPr>
            <a:ln w="12700">
              <a:solidFill>
                <a:schemeClr val="tx2"/>
              </a:solidFill>
            </a:ln>
          </c:spPr>
          <c:marker>
            <c:symbol val="none"/>
          </c:marker>
          <c:cat>
            <c:numRef>
              <c:f>SimpleBC!$K$71:$AJ$71</c:f>
              <c:numCache>
                <c:formatCode>General</c:formatCode>
                <c:ptCount val="2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numCache>
            </c:numRef>
          </c:cat>
          <c:val>
            <c:numRef>
              <c:f>SimpleBC!$K$112:$AJ$112</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00-2F41-4AA7-B38C-6D812C3B78F2}"/>
            </c:ext>
          </c:extLst>
        </c:ser>
        <c:ser>
          <c:idx val="1"/>
          <c:order val="1"/>
          <c:tx>
            <c:strRef>
              <c:f>SimpleBC!$G$114</c:f>
              <c:strCache>
                <c:ptCount val="1"/>
                <c:pt idx="0">
                  <c:v>PREFERRED OPTION</c:v>
                </c:pt>
              </c:strCache>
            </c:strRef>
          </c:tx>
          <c:spPr>
            <a:ln w="38100">
              <a:solidFill>
                <a:schemeClr val="accent6"/>
              </a:solidFill>
            </a:ln>
          </c:spPr>
          <c:marker>
            <c:symbol val="none"/>
          </c:marker>
          <c:cat>
            <c:numRef>
              <c:f>SimpleBC!$K$71:$AJ$71</c:f>
              <c:numCache>
                <c:formatCode>General</c:formatCode>
                <c:ptCount val="2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numCache>
            </c:numRef>
          </c:cat>
          <c:val>
            <c:numRef>
              <c:f>SimpleBC!$K$136:$AJ$136</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01-2F41-4AA7-B38C-6D812C3B78F2}"/>
            </c:ext>
          </c:extLst>
        </c:ser>
        <c:ser>
          <c:idx val="2"/>
          <c:order val="2"/>
          <c:tx>
            <c:strRef>
              <c:f>SimpleBC!$G$138</c:f>
              <c:strCache>
                <c:ptCount val="1"/>
                <c:pt idx="0">
                  <c:v>SECOND OPTION</c:v>
                </c:pt>
              </c:strCache>
            </c:strRef>
          </c:tx>
          <c:spPr>
            <a:ln w="38100">
              <a:solidFill>
                <a:schemeClr val="accent1"/>
              </a:solidFill>
              <a:prstDash val="sysDot"/>
            </a:ln>
          </c:spPr>
          <c:marker>
            <c:symbol val="none"/>
          </c:marker>
          <c:cat>
            <c:numRef>
              <c:f>SimpleBC!$K$71:$AJ$71</c:f>
              <c:numCache>
                <c:formatCode>General</c:formatCode>
                <c:ptCount val="2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numCache>
            </c:numRef>
          </c:cat>
          <c:val>
            <c:numRef>
              <c:f>SimpleBC!$K$160:$AJ$160</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02-2F41-4AA7-B38C-6D812C3B78F2}"/>
            </c:ext>
          </c:extLst>
        </c:ser>
        <c:dLbls>
          <c:showLegendKey val="0"/>
          <c:showVal val="0"/>
          <c:showCatName val="0"/>
          <c:showSerName val="0"/>
          <c:showPercent val="0"/>
          <c:showBubbleSize val="0"/>
        </c:dLbls>
        <c:smooth val="0"/>
        <c:axId val="419684136"/>
        <c:axId val="106745088"/>
      </c:lineChart>
      <c:catAx>
        <c:axId val="419684136"/>
        <c:scaling>
          <c:orientation val="minMax"/>
        </c:scaling>
        <c:delete val="0"/>
        <c:axPos val="b"/>
        <c:numFmt formatCode="General" sourceLinked="1"/>
        <c:majorTickMark val="out"/>
        <c:minorTickMark val="none"/>
        <c:tickLblPos val="nextTo"/>
        <c:crossAx val="106745088"/>
        <c:crosses val="autoZero"/>
        <c:auto val="0"/>
        <c:lblAlgn val="ctr"/>
        <c:lblOffset val="100"/>
        <c:tickLblSkip val="5"/>
        <c:tickMarkSkip val="1"/>
        <c:noMultiLvlLbl val="0"/>
      </c:catAx>
      <c:valAx>
        <c:axId val="106745088"/>
        <c:scaling>
          <c:orientation val="minMax"/>
        </c:scaling>
        <c:delete val="0"/>
        <c:axPos val="l"/>
        <c:title>
          <c:tx>
            <c:rich>
              <a:bodyPr rot="-5400000" vert="horz"/>
              <a:lstStyle/>
              <a:p>
                <a:pPr>
                  <a:defRPr/>
                </a:pPr>
                <a:r>
                  <a:rPr lang="en-GB"/>
                  <a:t>NPV (£)</a:t>
                </a:r>
              </a:p>
            </c:rich>
          </c:tx>
          <c:overlay val="0"/>
        </c:title>
        <c:numFmt formatCode="#,##0" sourceLinked="1"/>
        <c:majorTickMark val="out"/>
        <c:minorTickMark val="none"/>
        <c:tickLblPos val="nextTo"/>
        <c:crossAx val="419684136"/>
        <c:crossesAt val="1"/>
        <c:crossBetween val="midCat"/>
      </c:valAx>
      <c:spPr>
        <a:ln>
          <a:solidFill>
            <a:schemeClr val="tx2"/>
          </a:solidFill>
        </a:ln>
      </c:spPr>
    </c:plotArea>
    <c:legend>
      <c:legendPos val="b"/>
      <c:layout>
        <c:manualLayout>
          <c:xMode val="edge"/>
          <c:yMode val="edge"/>
          <c:x val="0.1634615522125944"/>
          <c:y val="0.86658897637795274"/>
          <c:w val="0.66594550995570945"/>
          <c:h val="0.13341102362204724"/>
        </c:manualLayout>
      </c:layout>
      <c:overlay val="0"/>
      <c:txPr>
        <a:bodyPr/>
        <a:lstStyle/>
        <a:p>
          <a:pPr>
            <a:defRPr sz="800"/>
          </a:pPr>
          <a:endParaRPr lang="en-US"/>
        </a:p>
      </c:txPr>
    </c:legend>
    <c:plotVisOnly val="0"/>
    <c:dispBlanksAs val="gap"/>
    <c:showDLblsOverMax val="0"/>
  </c:chart>
  <c:spPr>
    <a:ln>
      <a:noFill/>
    </a:ln>
  </c:spPr>
  <c:txPr>
    <a:bodyPr/>
    <a:lstStyle/>
    <a:p>
      <a:pPr>
        <a:defRPr sz="800">
          <a:solidFill>
            <a:schemeClr val="tx2"/>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796695078365986"/>
          <c:y val="3.3312685914260717E-2"/>
          <c:w val="0.66619733194175534"/>
          <c:h val="0.76696237970253722"/>
        </c:manualLayout>
      </c:layout>
      <c:lineChart>
        <c:grouping val="standard"/>
        <c:varyColors val="0"/>
        <c:ser>
          <c:idx val="0"/>
          <c:order val="0"/>
          <c:tx>
            <c:strRef>
              <c:f>SimpleF!$G$90</c:f>
              <c:strCache>
                <c:ptCount val="1"/>
                <c:pt idx="0">
                  <c:v>CURRENT (DO NOTHING)</c:v>
                </c:pt>
              </c:strCache>
            </c:strRef>
          </c:tx>
          <c:spPr>
            <a:ln w="12700">
              <a:solidFill>
                <a:schemeClr val="tx2"/>
              </a:solidFill>
            </a:ln>
          </c:spPr>
          <c:marker>
            <c:symbol val="none"/>
          </c:marker>
          <c:cat>
            <c:numRef>
              <c:f>SimpleF!$K$71:$AJ$71</c:f>
              <c:numCache>
                <c:formatCode>General</c:formatCode>
                <c:ptCount val="2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numCache>
            </c:numRef>
          </c:cat>
          <c:val>
            <c:numRef>
              <c:f>SimpleF!$K$112:$AJ$112</c:f>
              <c:numCache>
                <c:formatCode>#,##0</c:formatCode>
                <c:ptCount val="26"/>
                <c:pt idx="0">
                  <c:v>133180.82373600002</c:v>
                </c:pt>
                <c:pt idx="1">
                  <c:v>268757.86278017401</c:v>
                </c:pt>
                <c:pt idx="2">
                  <c:v>406800.89111776365</c:v>
                </c:pt>
                <c:pt idx="3">
                  <c:v>547381.19571353216</c:v>
                </c:pt>
                <c:pt idx="4">
                  <c:v>690571.6155554594</c:v>
                </c:pt>
                <c:pt idx="5">
                  <c:v>836446.58160531451</c:v>
                </c:pt>
                <c:pt idx="6">
                  <c:v>985082.15767853567</c:v>
                </c:pt>
                <c:pt idx="7">
                  <c:v>1136556.0822763813</c:v>
                </c:pt>
                <c:pt idx="8">
                  <c:v>1290947.811393864</c:v>
                </c:pt>
                <c:pt idx="9">
                  <c:v>1448338.5623275391</c:v>
                </c:pt>
                <c:pt idx="10">
                  <c:v>1608811.3585077936</c:v>
                </c:pt>
                <c:pt idx="11">
                  <c:v>1772451.0753808713</c:v>
                </c:pt>
                <c:pt idx="12">
                  <c:v>1939344.4873664677</c:v>
                </c:pt>
                <c:pt idx="13">
                  <c:v>2109580.3159173513</c:v>
                </c:pt>
                <c:pt idx="14">
                  <c:v>2283249.2787080957</c:v>
                </c:pt>
                <c:pt idx="15">
                  <c:v>2460444.139980657</c:v>
                </c:pt>
                <c:pt idx="16">
                  <c:v>2641259.7620751909</c:v>
                </c:pt>
                <c:pt idx="17">
                  <c:v>2825793.1581751881</c:v>
                </c:pt>
                <c:pt idx="18">
                  <c:v>3014143.5462966971</c:v>
                </c:pt>
                <c:pt idx="19">
                  <c:v>3206412.4045521226</c:v>
                </c:pt>
                <c:pt idx="20">
                  <c:v>3402703.5277198078</c:v>
                </c:pt>
                <c:pt idx="21">
                  <c:v>3603123.085151372</c:v>
                </c:pt>
                <c:pt idx="22">
                  <c:v>3807779.6800495214</c:v>
                </c:pt>
                <c:pt idx="23">
                  <c:v>4016784.4101498541</c:v>
                </c:pt>
                <c:pt idx="24">
                  <c:v>4230250.9298409708</c:v>
                </c:pt>
                <c:pt idx="25">
                  <c:v>4448295.5137580354</c:v>
                </c:pt>
              </c:numCache>
            </c:numRef>
          </c:val>
          <c:smooth val="0"/>
          <c:extLst>
            <c:ext xmlns:c16="http://schemas.microsoft.com/office/drawing/2014/chart" uri="{C3380CC4-5D6E-409C-BE32-E72D297353CC}">
              <c16:uniqueId val="{00000000-9478-430A-8763-576DF6E5FDF5}"/>
            </c:ext>
          </c:extLst>
        </c:ser>
        <c:ser>
          <c:idx val="1"/>
          <c:order val="1"/>
          <c:tx>
            <c:strRef>
              <c:f>SimpleF!$G$114</c:f>
              <c:strCache>
                <c:ptCount val="1"/>
                <c:pt idx="0">
                  <c:v>PREFERRED OPTION</c:v>
                </c:pt>
              </c:strCache>
            </c:strRef>
          </c:tx>
          <c:spPr>
            <a:ln w="38100">
              <a:solidFill>
                <a:srgbClr val="002855"/>
              </a:solidFill>
            </a:ln>
          </c:spPr>
          <c:marker>
            <c:symbol val="none"/>
          </c:marker>
          <c:val>
            <c:numRef>
              <c:f>SimpleF!$K$136:$AJ$136</c:f>
              <c:numCache>
                <c:formatCode>#,##0</c:formatCode>
                <c:ptCount val="26"/>
                <c:pt idx="0">
                  <c:v>93226.576615200029</c:v>
                </c:pt>
                <c:pt idx="1">
                  <c:v>188130.50394612181</c:v>
                </c:pt>
                <c:pt idx="2">
                  <c:v>284760.62378243456</c:v>
                </c:pt>
                <c:pt idx="3">
                  <c:v>383166.83699947252</c:v>
                </c:pt>
                <c:pt idx="4">
                  <c:v>483400.13088882156</c:v>
                </c:pt>
                <c:pt idx="5">
                  <c:v>585512.60712372011</c:v>
                </c:pt>
                <c:pt idx="6">
                  <c:v>689557.51037497493</c:v>
                </c:pt>
                <c:pt idx="7">
                  <c:v>795589.2575934669</c:v>
                </c:pt>
                <c:pt idx="8">
                  <c:v>903663.46797570481</c:v>
                </c:pt>
                <c:pt idx="9">
                  <c:v>1013836.9936292773</c:v>
                </c:pt>
                <c:pt idx="10">
                  <c:v>1126167.9509554557</c:v>
                </c:pt>
                <c:pt idx="11">
                  <c:v>1240715.7527666101</c:v>
                </c:pt>
                <c:pt idx="12">
                  <c:v>1357541.1411565277</c:v>
                </c:pt>
                <c:pt idx="13">
                  <c:v>1476706.2211421463</c:v>
                </c:pt>
                <c:pt idx="14">
                  <c:v>1598274.4950956674</c:v>
                </c:pt>
                <c:pt idx="15">
                  <c:v>1722310.8979864605</c:v>
                </c:pt>
                <c:pt idx="16">
                  <c:v>1848881.8334526343</c:v>
                </c:pt>
                <c:pt idx="17">
                  <c:v>1978055.2107226322</c:v>
                </c:pt>
                <c:pt idx="18">
                  <c:v>2109900.4824076886</c:v>
                </c:pt>
                <c:pt idx="19">
                  <c:v>2244488.6831864864</c:v>
                </c:pt>
                <c:pt idx="20">
                  <c:v>2381892.4694038662</c:v>
                </c:pt>
                <c:pt idx="21">
                  <c:v>2522186.1596059613</c:v>
                </c:pt>
                <c:pt idx="22">
                  <c:v>2665445.7760346658</c:v>
                </c:pt>
                <c:pt idx="23">
                  <c:v>2811749.0871048984</c:v>
                </c:pt>
                <c:pt idx="24">
                  <c:v>2961175.6508886805</c:v>
                </c:pt>
                <c:pt idx="25">
                  <c:v>3113806.8596306257</c:v>
                </c:pt>
              </c:numCache>
            </c:numRef>
          </c:val>
          <c:smooth val="0"/>
          <c:extLst>
            <c:ext xmlns:c16="http://schemas.microsoft.com/office/drawing/2014/chart" uri="{C3380CC4-5D6E-409C-BE32-E72D297353CC}">
              <c16:uniqueId val="{00000001-9478-430A-8763-576DF6E5FDF5}"/>
            </c:ext>
          </c:extLst>
        </c:ser>
        <c:ser>
          <c:idx val="2"/>
          <c:order val="2"/>
          <c:tx>
            <c:strRef>
              <c:f>SimpleF!$G$138</c:f>
              <c:strCache>
                <c:ptCount val="1"/>
                <c:pt idx="0">
                  <c:v>SECOND OPTION</c:v>
                </c:pt>
              </c:strCache>
            </c:strRef>
          </c:tx>
          <c:spPr>
            <a:ln w="38100">
              <a:solidFill>
                <a:schemeClr val="accent1"/>
              </a:solidFill>
              <a:prstDash val="sysDot"/>
            </a:ln>
          </c:spPr>
          <c:marker>
            <c:symbol val="none"/>
          </c:marker>
          <c:val>
            <c:numRef>
              <c:f>SimpleF!$K$160:$AJ$160</c:f>
              <c:numCache>
                <c:formatCode>#,##0</c:formatCode>
                <c:ptCount val="26"/>
                <c:pt idx="0">
                  <c:v>133180.82373600002</c:v>
                </c:pt>
                <c:pt idx="1">
                  <c:v>268757.86278017401</c:v>
                </c:pt>
                <c:pt idx="2">
                  <c:v>406800.89111776365</c:v>
                </c:pt>
                <c:pt idx="3">
                  <c:v>547381.19571353216</c:v>
                </c:pt>
                <c:pt idx="4">
                  <c:v>690571.6155554594</c:v>
                </c:pt>
                <c:pt idx="5">
                  <c:v>836446.58160531451</c:v>
                </c:pt>
                <c:pt idx="6">
                  <c:v>985082.15767853567</c:v>
                </c:pt>
                <c:pt idx="7">
                  <c:v>1136556.0822763813</c:v>
                </c:pt>
                <c:pt idx="8">
                  <c:v>1290947.811393864</c:v>
                </c:pt>
                <c:pt idx="9">
                  <c:v>1448338.5623275391</c:v>
                </c:pt>
                <c:pt idx="10">
                  <c:v>1608811.3585077936</c:v>
                </c:pt>
                <c:pt idx="11">
                  <c:v>1772451.0753808713</c:v>
                </c:pt>
                <c:pt idx="12">
                  <c:v>1939344.4873664677</c:v>
                </c:pt>
                <c:pt idx="13">
                  <c:v>2109580.3159173513</c:v>
                </c:pt>
                <c:pt idx="14">
                  <c:v>2283249.2787080957</c:v>
                </c:pt>
                <c:pt idx="15">
                  <c:v>2460444.139980657</c:v>
                </c:pt>
                <c:pt idx="16">
                  <c:v>2641259.7620751909</c:v>
                </c:pt>
                <c:pt idx="17">
                  <c:v>2825793.1581751881</c:v>
                </c:pt>
                <c:pt idx="18">
                  <c:v>3014143.5462966971</c:v>
                </c:pt>
                <c:pt idx="19">
                  <c:v>3206412.4045521226</c:v>
                </c:pt>
                <c:pt idx="20">
                  <c:v>3402703.5277198078</c:v>
                </c:pt>
                <c:pt idx="21">
                  <c:v>3603123.085151372</c:v>
                </c:pt>
                <c:pt idx="22">
                  <c:v>3807779.6800495214</c:v>
                </c:pt>
                <c:pt idx="23">
                  <c:v>4016784.4101498541</c:v>
                </c:pt>
                <c:pt idx="24">
                  <c:v>4230250.9298409708</c:v>
                </c:pt>
                <c:pt idx="25">
                  <c:v>4448295.5137580354</c:v>
                </c:pt>
              </c:numCache>
            </c:numRef>
          </c:val>
          <c:smooth val="0"/>
          <c:extLst>
            <c:ext xmlns:c16="http://schemas.microsoft.com/office/drawing/2014/chart" uri="{C3380CC4-5D6E-409C-BE32-E72D297353CC}">
              <c16:uniqueId val="{00000002-9478-430A-8763-576DF6E5FDF5}"/>
            </c:ext>
          </c:extLst>
        </c:ser>
        <c:dLbls>
          <c:showLegendKey val="0"/>
          <c:showVal val="0"/>
          <c:showCatName val="0"/>
          <c:showSerName val="0"/>
          <c:showPercent val="0"/>
          <c:showBubbleSize val="0"/>
        </c:dLbls>
        <c:smooth val="0"/>
        <c:axId val="106513800"/>
        <c:axId val="106514192"/>
      </c:lineChart>
      <c:catAx>
        <c:axId val="106513800"/>
        <c:scaling>
          <c:orientation val="minMax"/>
        </c:scaling>
        <c:delete val="0"/>
        <c:axPos val="b"/>
        <c:numFmt formatCode="General" sourceLinked="1"/>
        <c:majorTickMark val="out"/>
        <c:minorTickMark val="none"/>
        <c:tickLblPos val="nextTo"/>
        <c:crossAx val="106514192"/>
        <c:crosses val="autoZero"/>
        <c:auto val="1"/>
        <c:lblAlgn val="ctr"/>
        <c:lblOffset val="100"/>
        <c:tickLblSkip val="5"/>
        <c:tickMarkSkip val="1"/>
        <c:noMultiLvlLbl val="0"/>
      </c:catAx>
      <c:valAx>
        <c:axId val="106514192"/>
        <c:scaling>
          <c:orientation val="minMax"/>
        </c:scaling>
        <c:delete val="0"/>
        <c:axPos val="l"/>
        <c:title>
          <c:tx>
            <c:rich>
              <a:bodyPr rot="-5400000" vert="horz"/>
              <a:lstStyle/>
              <a:p>
                <a:pPr>
                  <a:defRPr/>
                </a:pPr>
                <a:r>
                  <a:rPr lang="en-GB"/>
                  <a:t>NPV (£)</a:t>
                </a:r>
              </a:p>
            </c:rich>
          </c:tx>
          <c:overlay val="0"/>
        </c:title>
        <c:numFmt formatCode="#,##0" sourceLinked="1"/>
        <c:majorTickMark val="out"/>
        <c:minorTickMark val="none"/>
        <c:tickLblPos val="nextTo"/>
        <c:crossAx val="106513800"/>
        <c:crossesAt val="1"/>
        <c:crossBetween val="midCat"/>
      </c:valAx>
      <c:spPr>
        <a:ln>
          <a:solidFill>
            <a:schemeClr val="tx2"/>
          </a:solidFill>
        </a:ln>
      </c:spPr>
    </c:plotArea>
    <c:legend>
      <c:legendPos val="b"/>
      <c:layout>
        <c:manualLayout>
          <c:xMode val="edge"/>
          <c:yMode val="edge"/>
          <c:x val="0.16571883754953542"/>
          <c:y val="0.86557655293088365"/>
          <c:w val="0.66492955994090785"/>
          <c:h val="0.13442344706911635"/>
        </c:manualLayout>
      </c:layout>
      <c:overlay val="0"/>
    </c:legend>
    <c:plotVisOnly val="0"/>
    <c:dispBlanksAs val="gap"/>
    <c:showDLblsOverMax val="0"/>
  </c:chart>
  <c:spPr>
    <a:ln>
      <a:noFill/>
    </a:ln>
  </c:spPr>
  <c:txPr>
    <a:bodyPr/>
    <a:lstStyle/>
    <a:p>
      <a:pPr>
        <a:defRPr sz="800">
          <a:solidFill>
            <a:schemeClr val="tx2"/>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803917506378269"/>
          <c:y val="3.4429746281714788E-2"/>
          <c:w val="0.66583984757208292"/>
          <c:h val="0.76652860892388452"/>
        </c:manualLayout>
      </c:layout>
      <c:lineChart>
        <c:grouping val="standard"/>
        <c:varyColors val="0"/>
        <c:ser>
          <c:idx val="0"/>
          <c:order val="0"/>
          <c:tx>
            <c:strRef>
              <c:f>SimpleV!$G$90</c:f>
              <c:strCache>
                <c:ptCount val="1"/>
                <c:pt idx="0">
                  <c:v>CURRENT (DO NOTHING)</c:v>
                </c:pt>
              </c:strCache>
            </c:strRef>
          </c:tx>
          <c:spPr>
            <a:ln w="12700">
              <a:solidFill>
                <a:schemeClr val="tx2"/>
              </a:solidFill>
            </a:ln>
          </c:spPr>
          <c:marker>
            <c:symbol val="none"/>
          </c:marker>
          <c:cat>
            <c:numRef>
              <c:f>SimpleV!$K$71:$AJ$71</c:f>
              <c:numCache>
                <c:formatCode>General</c:formatCode>
                <c:ptCount val="2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numCache>
            </c:numRef>
          </c:cat>
          <c:val>
            <c:numRef>
              <c:f>SimpleV!$K$112:$AJ$112</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00-6D51-4BC3-887C-29FF9374CB71}"/>
            </c:ext>
          </c:extLst>
        </c:ser>
        <c:ser>
          <c:idx val="1"/>
          <c:order val="1"/>
          <c:tx>
            <c:strRef>
              <c:f>SimpleV!$G$114</c:f>
              <c:strCache>
                <c:ptCount val="1"/>
                <c:pt idx="0">
                  <c:v>PREFERRED OPTION</c:v>
                </c:pt>
              </c:strCache>
            </c:strRef>
          </c:tx>
          <c:spPr>
            <a:ln w="38100">
              <a:solidFill>
                <a:schemeClr val="accent6"/>
              </a:solidFill>
            </a:ln>
          </c:spPr>
          <c:marker>
            <c:symbol val="none"/>
          </c:marker>
          <c:cat>
            <c:numRef>
              <c:f>SimpleV!$K$71:$AJ$71</c:f>
              <c:numCache>
                <c:formatCode>General</c:formatCode>
                <c:ptCount val="2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numCache>
            </c:numRef>
          </c:cat>
          <c:val>
            <c:numRef>
              <c:f>SimpleV!$K$136:$AJ$136</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01-6D51-4BC3-887C-29FF9374CB71}"/>
            </c:ext>
          </c:extLst>
        </c:ser>
        <c:ser>
          <c:idx val="2"/>
          <c:order val="2"/>
          <c:tx>
            <c:strRef>
              <c:f>SimpleV!$G$138</c:f>
              <c:strCache>
                <c:ptCount val="1"/>
                <c:pt idx="0">
                  <c:v>SECOND OPTION</c:v>
                </c:pt>
              </c:strCache>
            </c:strRef>
          </c:tx>
          <c:spPr>
            <a:ln w="38100">
              <a:solidFill>
                <a:schemeClr val="accent1"/>
              </a:solidFill>
              <a:prstDash val="sysDot"/>
            </a:ln>
          </c:spPr>
          <c:marker>
            <c:symbol val="none"/>
          </c:marker>
          <c:cat>
            <c:numRef>
              <c:f>SimpleV!$K$71:$AJ$71</c:f>
              <c:numCache>
                <c:formatCode>General</c:formatCode>
                <c:ptCount val="2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numCache>
            </c:numRef>
          </c:cat>
          <c:val>
            <c:numRef>
              <c:f>SimpleV!$K$160:$AJ$160</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02-6D51-4BC3-887C-29FF9374CB71}"/>
            </c:ext>
          </c:extLst>
        </c:ser>
        <c:dLbls>
          <c:showLegendKey val="0"/>
          <c:showVal val="0"/>
          <c:showCatName val="0"/>
          <c:showSerName val="0"/>
          <c:showPercent val="0"/>
          <c:showBubbleSize val="0"/>
        </c:dLbls>
        <c:smooth val="0"/>
        <c:axId val="108857000"/>
        <c:axId val="108857392"/>
      </c:lineChart>
      <c:catAx>
        <c:axId val="108857000"/>
        <c:scaling>
          <c:orientation val="minMax"/>
        </c:scaling>
        <c:delete val="0"/>
        <c:axPos val="b"/>
        <c:numFmt formatCode="General" sourceLinked="1"/>
        <c:majorTickMark val="out"/>
        <c:minorTickMark val="none"/>
        <c:tickLblPos val="nextTo"/>
        <c:crossAx val="108857392"/>
        <c:crosses val="autoZero"/>
        <c:auto val="1"/>
        <c:lblAlgn val="ctr"/>
        <c:lblOffset val="100"/>
        <c:tickLblSkip val="5"/>
        <c:tickMarkSkip val="1"/>
        <c:noMultiLvlLbl val="0"/>
      </c:catAx>
      <c:valAx>
        <c:axId val="108857392"/>
        <c:scaling>
          <c:orientation val="minMax"/>
        </c:scaling>
        <c:delete val="0"/>
        <c:axPos val="l"/>
        <c:title>
          <c:tx>
            <c:rich>
              <a:bodyPr rot="-5400000" vert="horz"/>
              <a:lstStyle/>
              <a:p>
                <a:pPr>
                  <a:defRPr/>
                </a:pPr>
                <a:r>
                  <a:rPr lang="en-GB"/>
                  <a:t>NPV (£)</a:t>
                </a:r>
              </a:p>
            </c:rich>
          </c:tx>
          <c:overlay val="0"/>
        </c:title>
        <c:numFmt formatCode="#,##0" sourceLinked="1"/>
        <c:majorTickMark val="out"/>
        <c:minorTickMark val="none"/>
        <c:tickLblPos val="nextTo"/>
        <c:crossAx val="108857000"/>
        <c:crossesAt val="1"/>
        <c:crossBetween val="midCat"/>
      </c:valAx>
      <c:spPr>
        <a:ln>
          <a:solidFill>
            <a:schemeClr val="tx2"/>
          </a:solidFill>
        </a:ln>
      </c:spPr>
    </c:plotArea>
    <c:legend>
      <c:legendPos val="b"/>
      <c:layout>
        <c:manualLayout>
          <c:xMode val="edge"/>
          <c:yMode val="edge"/>
          <c:x val="0.16547628940485576"/>
          <c:y val="0.86718425196850391"/>
          <c:w val="0.67640192294161539"/>
          <c:h val="0.13281574803149604"/>
        </c:manualLayout>
      </c:layout>
      <c:overlay val="0"/>
    </c:legend>
    <c:plotVisOnly val="0"/>
    <c:dispBlanksAs val="gap"/>
    <c:showDLblsOverMax val="0"/>
  </c:chart>
  <c:spPr>
    <a:ln>
      <a:noFill/>
    </a:ln>
  </c:spPr>
  <c:txPr>
    <a:bodyPr/>
    <a:lstStyle/>
    <a:p>
      <a:pPr>
        <a:defRPr sz="800">
          <a:solidFill>
            <a:schemeClr val="tx2"/>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803917506378269"/>
          <c:y val="3.4429746281714788E-2"/>
          <c:w val="0.66583984757208292"/>
          <c:h val="0.76652860892388452"/>
        </c:manualLayout>
      </c:layout>
      <c:lineChart>
        <c:grouping val="standard"/>
        <c:varyColors val="0"/>
        <c:ser>
          <c:idx val="0"/>
          <c:order val="0"/>
          <c:tx>
            <c:strRef>
              <c:f>SimpleH!$G$93</c:f>
              <c:strCache>
                <c:ptCount val="1"/>
                <c:pt idx="0">
                  <c:v>CURRENT (DO NOTHING)</c:v>
                </c:pt>
              </c:strCache>
            </c:strRef>
          </c:tx>
          <c:spPr>
            <a:ln w="12700">
              <a:solidFill>
                <a:schemeClr val="tx2"/>
              </a:solidFill>
            </a:ln>
          </c:spPr>
          <c:marker>
            <c:symbol val="none"/>
          </c:marker>
          <c:cat>
            <c:numRef>
              <c:f>SimpleV!$K$71:$AJ$71</c:f>
              <c:numCache>
                <c:formatCode>General</c:formatCode>
                <c:ptCount val="2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numCache>
            </c:numRef>
          </c:cat>
          <c:val>
            <c:numRef>
              <c:f>SimpleH!$K$115:$AJ$115</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00-6D51-4BC3-887C-29FF9374CB71}"/>
            </c:ext>
          </c:extLst>
        </c:ser>
        <c:ser>
          <c:idx val="1"/>
          <c:order val="1"/>
          <c:tx>
            <c:strRef>
              <c:f>SimpleV!$G$114</c:f>
              <c:strCache>
                <c:ptCount val="1"/>
                <c:pt idx="0">
                  <c:v>PREFERRED OPTION</c:v>
                </c:pt>
              </c:strCache>
            </c:strRef>
          </c:tx>
          <c:spPr>
            <a:ln w="38100">
              <a:solidFill>
                <a:schemeClr val="accent6"/>
              </a:solidFill>
            </a:ln>
          </c:spPr>
          <c:marker>
            <c:symbol val="none"/>
          </c:marker>
          <c:cat>
            <c:numRef>
              <c:f>SimpleV!$K$71:$AJ$71</c:f>
              <c:numCache>
                <c:formatCode>General</c:formatCode>
                <c:ptCount val="2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numCache>
            </c:numRef>
          </c:cat>
          <c:val>
            <c:numRef>
              <c:f>SimpleH!$K$139:$AJ$139</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01-6D51-4BC3-887C-29FF9374CB71}"/>
            </c:ext>
          </c:extLst>
        </c:ser>
        <c:ser>
          <c:idx val="2"/>
          <c:order val="2"/>
          <c:tx>
            <c:strRef>
              <c:f>SimpleH!$G$141</c:f>
              <c:strCache>
                <c:ptCount val="1"/>
                <c:pt idx="0">
                  <c:v>SECOND OPTION</c:v>
                </c:pt>
              </c:strCache>
            </c:strRef>
          </c:tx>
          <c:spPr>
            <a:ln w="38100">
              <a:solidFill>
                <a:schemeClr val="accent1"/>
              </a:solidFill>
              <a:prstDash val="sysDot"/>
            </a:ln>
          </c:spPr>
          <c:marker>
            <c:symbol val="none"/>
          </c:marker>
          <c:cat>
            <c:numRef>
              <c:f>SimpleV!$K$71:$AJ$71</c:f>
              <c:numCache>
                <c:formatCode>General</c:formatCode>
                <c:ptCount val="2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numCache>
            </c:numRef>
          </c:cat>
          <c:val>
            <c:numRef>
              <c:f>SimpleH!$K$163:$AJ$163</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02-6D51-4BC3-887C-29FF9374CB71}"/>
            </c:ext>
          </c:extLst>
        </c:ser>
        <c:dLbls>
          <c:showLegendKey val="0"/>
          <c:showVal val="0"/>
          <c:showCatName val="0"/>
          <c:showSerName val="0"/>
          <c:showPercent val="0"/>
          <c:showBubbleSize val="0"/>
        </c:dLbls>
        <c:smooth val="0"/>
        <c:axId val="419683744"/>
        <c:axId val="109046512"/>
      </c:lineChart>
      <c:catAx>
        <c:axId val="419683744"/>
        <c:scaling>
          <c:orientation val="minMax"/>
        </c:scaling>
        <c:delete val="0"/>
        <c:axPos val="b"/>
        <c:numFmt formatCode="General" sourceLinked="1"/>
        <c:majorTickMark val="out"/>
        <c:minorTickMark val="none"/>
        <c:tickLblPos val="nextTo"/>
        <c:crossAx val="109046512"/>
        <c:crosses val="autoZero"/>
        <c:auto val="1"/>
        <c:lblAlgn val="ctr"/>
        <c:lblOffset val="100"/>
        <c:tickLblSkip val="5"/>
        <c:tickMarkSkip val="1"/>
        <c:noMultiLvlLbl val="0"/>
      </c:catAx>
      <c:valAx>
        <c:axId val="109046512"/>
        <c:scaling>
          <c:orientation val="minMax"/>
        </c:scaling>
        <c:delete val="0"/>
        <c:axPos val="l"/>
        <c:title>
          <c:tx>
            <c:rich>
              <a:bodyPr rot="-5400000" vert="horz"/>
              <a:lstStyle/>
              <a:p>
                <a:pPr>
                  <a:defRPr/>
                </a:pPr>
                <a:r>
                  <a:rPr lang="en-GB"/>
                  <a:t>NPV (£)</a:t>
                </a:r>
              </a:p>
            </c:rich>
          </c:tx>
          <c:overlay val="0"/>
        </c:title>
        <c:numFmt formatCode="#,##0" sourceLinked="1"/>
        <c:majorTickMark val="out"/>
        <c:minorTickMark val="none"/>
        <c:tickLblPos val="nextTo"/>
        <c:crossAx val="419683744"/>
        <c:crossesAt val="1"/>
        <c:crossBetween val="midCat"/>
      </c:valAx>
      <c:spPr>
        <a:ln>
          <a:solidFill>
            <a:schemeClr val="tx2"/>
          </a:solidFill>
        </a:ln>
      </c:spPr>
    </c:plotArea>
    <c:legend>
      <c:legendPos val="b"/>
      <c:layout>
        <c:manualLayout>
          <c:xMode val="edge"/>
          <c:yMode val="edge"/>
          <c:x val="0.16547628940485576"/>
          <c:y val="0.86718425196850391"/>
          <c:w val="0.67640192294161539"/>
          <c:h val="0.13281574803149604"/>
        </c:manualLayout>
      </c:layout>
      <c:overlay val="0"/>
    </c:legend>
    <c:plotVisOnly val="0"/>
    <c:dispBlanksAs val="gap"/>
    <c:showDLblsOverMax val="0"/>
  </c:chart>
  <c:spPr>
    <a:ln>
      <a:noFill/>
    </a:ln>
  </c:spPr>
  <c:txPr>
    <a:bodyPr/>
    <a:lstStyle/>
    <a:p>
      <a:pPr>
        <a:defRPr sz="800">
          <a:solidFill>
            <a:schemeClr val="tx2"/>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558505094365905"/>
          <c:y val="3.3347856517935259E-2"/>
          <c:w val="0.66625002884087048"/>
          <c:h val="0.76573998250218722"/>
        </c:manualLayout>
      </c:layout>
      <c:lineChart>
        <c:grouping val="standard"/>
        <c:varyColors val="0"/>
        <c:ser>
          <c:idx val="0"/>
          <c:order val="0"/>
          <c:tx>
            <c:strRef>
              <c:f>SimpleH2!$G$90</c:f>
              <c:strCache>
                <c:ptCount val="1"/>
                <c:pt idx="0">
                  <c:v>CURRENT (DO NOTHING)</c:v>
                </c:pt>
              </c:strCache>
            </c:strRef>
          </c:tx>
          <c:spPr>
            <a:ln w="12700">
              <a:solidFill>
                <a:schemeClr val="tx2"/>
              </a:solidFill>
            </a:ln>
          </c:spPr>
          <c:marker>
            <c:symbol val="none"/>
          </c:marker>
          <c:cat>
            <c:numRef>
              <c:f>SimpleH2!$K$71:$AJ$71</c:f>
              <c:numCache>
                <c:formatCode>General</c:formatCode>
                <c:ptCount val="2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numCache>
            </c:numRef>
          </c:cat>
          <c:val>
            <c:numRef>
              <c:f>SimpleH2!$K$112:$AJ$112</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00-6360-4E75-90E6-C825B632D531}"/>
            </c:ext>
          </c:extLst>
        </c:ser>
        <c:ser>
          <c:idx val="1"/>
          <c:order val="1"/>
          <c:tx>
            <c:strRef>
              <c:f>SimpleH2!$G$114</c:f>
              <c:strCache>
                <c:ptCount val="1"/>
                <c:pt idx="0">
                  <c:v>PREFERRED OPTION</c:v>
                </c:pt>
              </c:strCache>
            </c:strRef>
          </c:tx>
          <c:spPr>
            <a:ln w="38100">
              <a:solidFill>
                <a:schemeClr val="accent6"/>
              </a:solidFill>
            </a:ln>
          </c:spPr>
          <c:marker>
            <c:symbol val="none"/>
          </c:marker>
          <c:cat>
            <c:numRef>
              <c:f>SimpleH2!$K$71:$AJ$71</c:f>
              <c:numCache>
                <c:formatCode>General</c:formatCode>
                <c:ptCount val="2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numCache>
            </c:numRef>
          </c:cat>
          <c:val>
            <c:numRef>
              <c:f>SimpleH2!$K$136:$AJ$136</c:f>
              <c:numCache>
                <c:formatCode>#,##0</c:formatCode>
                <c:ptCount val="2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val>
          <c:smooth val="0"/>
          <c:extLst>
            <c:ext xmlns:c16="http://schemas.microsoft.com/office/drawing/2014/chart" uri="{C3380CC4-5D6E-409C-BE32-E72D297353CC}">
              <c16:uniqueId val="{00000001-6360-4E75-90E6-C825B632D531}"/>
            </c:ext>
          </c:extLst>
        </c:ser>
        <c:ser>
          <c:idx val="2"/>
          <c:order val="2"/>
          <c:tx>
            <c:strRef>
              <c:f>SimpleH2!$G$138</c:f>
              <c:strCache>
                <c:ptCount val="1"/>
                <c:pt idx="0">
                  <c:v>SECOND OPTION</c:v>
                </c:pt>
              </c:strCache>
            </c:strRef>
          </c:tx>
          <c:spPr>
            <a:ln w="12700">
              <a:solidFill>
                <a:schemeClr val="accent6"/>
              </a:solidFill>
              <a:prstDash val="sysDash"/>
            </a:ln>
          </c:spPr>
          <c:marker>
            <c:symbol val="none"/>
          </c:marker>
          <c:cat>
            <c:numRef>
              <c:f>SimpleH2!$K$71:$AJ$71</c:f>
              <c:numCache>
                <c:formatCode>General</c:formatCode>
                <c:ptCount val="2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numCache>
            </c:numRef>
          </c:cat>
          <c:val>
            <c:numRef>
              <c:f>SimpleH2!$K$160:$AJ$160</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02-6360-4E75-90E6-C825B632D531}"/>
            </c:ext>
          </c:extLst>
        </c:ser>
        <c:dLbls>
          <c:showLegendKey val="0"/>
          <c:showVal val="0"/>
          <c:showCatName val="0"/>
          <c:showSerName val="0"/>
          <c:showPercent val="0"/>
          <c:showBubbleSize val="0"/>
        </c:dLbls>
        <c:smooth val="0"/>
        <c:axId val="108640816"/>
        <c:axId val="108641208"/>
      </c:lineChart>
      <c:catAx>
        <c:axId val="108640816"/>
        <c:scaling>
          <c:orientation val="minMax"/>
        </c:scaling>
        <c:delete val="0"/>
        <c:axPos val="b"/>
        <c:numFmt formatCode="General" sourceLinked="1"/>
        <c:majorTickMark val="out"/>
        <c:minorTickMark val="none"/>
        <c:tickLblPos val="nextTo"/>
        <c:crossAx val="108641208"/>
        <c:crosses val="autoZero"/>
        <c:auto val="1"/>
        <c:lblAlgn val="ctr"/>
        <c:lblOffset val="100"/>
        <c:tickLblSkip val="5"/>
        <c:tickMarkSkip val="1"/>
        <c:noMultiLvlLbl val="0"/>
      </c:catAx>
      <c:valAx>
        <c:axId val="108641208"/>
        <c:scaling>
          <c:orientation val="minMax"/>
        </c:scaling>
        <c:delete val="0"/>
        <c:axPos val="l"/>
        <c:title>
          <c:tx>
            <c:rich>
              <a:bodyPr rot="-5400000" vert="horz"/>
              <a:lstStyle/>
              <a:p>
                <a:pPr>
                  <a:defRPr/>
                </a:pPr>
                <a:r>
                  <a:rPr lang="en-GB"/>
                  <a:t>NPV (£)</a:t>
                </a:r>
              </a:p>
            </c:rich>
          </c:tx>
          <c:overlay val="0"/>
        </c:title>
        <c:numFmt formatCode="#,##0" sourceLinked="1"/>
        <c:majorTickMark val="out"/>
        <c:minorTickMark val="none"/>
        <c:tickLblPos val="nextTo"/>
        <c:crossAx val="108640816"/>
        <c:crosses val="autoZero"/>
        <c:crossBetween val="between"/>
      </c:valAx>
      <c:spPr>
        <a:ln>
          <a:solidFill>
            <a:schemeClr val="tx2"/>
          </a:solidFill>
        </a:ln>
      </c:spPr>
    </c:plotArea>
    <c:legend>
      <c:legendPos val="b"/>
      <c:layout>
        <c:manualLayout>
          <c:xMode val="edge"/>
          <c:yMode val="edge"/>
          <c:x val="0.16814458982305253"/>
          <c:y val="0.86594418197725287"/>
          <c:w val="0.66371053433193139"/>
          <c:h val="0.13405581802274716"/>
        </c:manualLayout>
      </c:layout>
      <c:overlay val="0"/>
    </c:legend>
    <c:plotVisOnly val="1"/>
    <c:dispBlanksAs val="gap"/>
    <c:showDLblsOverMax val="0"/>
  </c:chart>
  <c:spPr>
    <a:ln>
      <a:noFill/>
    </a:ln>
  </c:spPr>
  <c:txPr>
    <a:bodyPr/>
    <a:lstStyle/>
    <a:p>
      <a:pPr>
        <a:defRPr sz="800">
          <a:solidFill>
            <a:schemeClr val="tx2"/>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5.jpg"/><Relationship Id="rId3" Type="http://schemas.openxmlformats.org/officeDocument/2006/relationships/hyperlink" Target="mailto:j.marshall-cook@ucl.ac.uk" TargetMode="External"/><Relationship Id="rId7" Type="http://schemas.openxmlformats.org/officeDocument/2006/relationships/image" Target="../media/image4.jpeg"/><Relationship Id="rId2" Type="http://schemas.microsoft.com/office/2007/relationships/hdphoto" Target="../media/hdphoto1.wdp"/><Relationship Id="rId1" Type="http://schemas.openxmlformats.org/officeDocument/2006/relationships/image" Target="../media/image1.png"/><Relationship Id="rId6" Type="http://schemas.openxmlformats.org/officeDocument/2006/relationships/image" Target="../media/image3.png"/><Relationship Id="rId5" Type="http://schemas.openxmlformats.org/officeDocument/2006/relationships/image" Target="../media/image2.jpeg"/><Relationship Id="rId4" Type="http://schemas.openxmlformats.org/officeDocument/2006/relationships/hyperlink" Target="http://www.gnu.org/licenses" TargetMode="Externa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1.png"/><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1.png"/><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1.png"/><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s>
</file>

<file path=xl/drawings/_rels/drawing18.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microsoft.com/office/2007/relationships/hdphoto" Target="../media/hdphoto1.wdp"/><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1.png"/><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1.png"/><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1.png"/><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6.png"/><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1.png"/><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3" Type="http://schemas.openxmlformats.org/officeDocument/2006/relationships/chart" Target="../charts/chart8.xml"/><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4</xdr:col>
      <xdr:colOff>236270</xdr:colOff>
      <xdr:row>52</xdr:row>
      <xdr:rowOff>183572</xdr:rowOff>
    </xdr:to>
    <xdr:pic>
      <xdr:nvPicPr>
        <xdr:cNvPr id="17" name="Picture 16" descr="Image result for UCL logo">
          <a:extLst>
            <a:ext uri="{FF2B5EF4-FFF2-40B4-BE49-F238E27FC236}">
              <a16:creationId xmlns:a16="http://schemas.microsoft.com/office/drawing/2014/main" id="{00000000-0008-0000-0000-000011000000}"/>
            </a:ext>
          </a:extLst>
        </xdr:cNvPr>
        <xdr:cNvPicPr>
          <a:picLocks noChangeAspect="1" noChangeArrowheads="1"/>
        </xdr:cNvPicPr>
      </xdr:nvPicPr>
      <xdr:blipFill rotWithShape="1">
        <a:blip xmlns:r="http://schemas.openxmlformats.org/officeDocument/2006/relationships" r:embed="rId1">
          <a:duotone>
            <a:schemeClr val="accent6">
              <a:shade val="45000"/>
              <a:satMod val="135000"/>
            </a:schemeClr>
            <a:prstClr val="white"/>
          </a:duotone>
          <a:extLst>
            <a:ext uri="{BEBA8EAE-BF5A-486C-A8C5-ECC9F3942E4B}">
              <a14:imgProps xmlns:a14="http://schemas.microsoft.com/office/drawing/2010/main">
                <a14:imgLayer r:embed="rId2">
                  <a14:imgEffect>
                    <a14:sharpenSoften amount="50000"/>
                  </a14:imgEffect>
                  <a14:imgEffect>
                    <a14:saturation sat="0"/>
                  </a14:imgEffect>
                  <a14:imgEffect>
                    <a14:brightnessContrast bright="-40000" contrast="40000"/>
                  </a14:imgEffect>
                </a14:imgLayer>
              </a14:imgProps>
            </a:ext>
            <a:ext uri="{28A0092B-C50C-407E-A947-70E740481C1C}">
              <a14:useLocalDpi xmlns:a14="http://schemas.microsoft.com/office/drawing/2010/main" val="0"/>
            </a:ext>
          </a:extLst>
        </a:blip>
        <a:srcRect l="13677"/>
        <a:stretch/>
      </xdr:blipFill>
      <xdr:spPr bwMode="auto">
        <a:xfrm rot="16200000">
          <a:off x="-2120240" y="5739740"/>
          <a:ext cx="6477000" cy="2236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10</xdr:row>
      <xdr:rowOff>1</xdr:rowOff>
    </xdr:from>
    <xdr:to>
      <xdr:col>14</xdr:col>
      <xdr:colOff>0</xdr:colOff>
      <xdr:row>23</xdr:row>
      <xdr:rowOff>176893</xdr:rowOff>
    </xdr:to>
    <xdr:sp macro="" textlink="">
      <xdr:nvSpPr>
        <xdr:cNvPr id="22" name="TextBox 21">
          <a:extLst>
            <a:ext uri="{FF2B5EF4-FFF2-40B4-BE49-F238E27FC236}">
              <a16:creationId xmlns:a16="http://schemas.microsoft.com/office/drawing/2014/main" id="{00000000-0008-0000-0000-000016000000}"/>
            </a:ext>
          </a:extLst>
        </xdr:cNvPr>
        <xdr:cNvSpPr txBox="1"/>
      </xdr:nvSpPr>
      <xdr:spPr>
        <a:xfrm>
          <a:off x="2830286" y="1905001"/>
          <a:ext cx="4680857" cy="2653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accent6"/>
              </a:solidFill>
              <a:effectLst/>
              <a:latin typeface="Arial" panose="020B0604020202020204" pitchFamily="34" charset="0"/>
              <a:ea typeface="+mn-ea"/>
              <a:cs typeface="Arial" panose="020B0604020202020204" pitchFamily="34" charset="0"/>
            </a:rPr>
            <a:t>UCL has clear obligations to measure, monitor and report energy use and carbon emissions, and challenging targets to reduce them, as set out in our Carbon Management Plan.</a:t>
          </a:r>
        </a:p>
        <a:p>
          <a:endParaRPr lang="en-GB" sz="1100">
            <a:solidFill>
              <a:schemeClr val="accent6"/>
            </a:solidFill>
            <a:effectLst/>
            <a:latin typeface="Arial" panose="020B0604020202020204" pitchFamily="34" charset="0"/>
            <a:ea typeface="+mn-ea"/>
            <a:cs typeface="Arial" panose="020B0604020202020204" pitchFamily="34" charset="0"/>
          </a:endParaRPr>
        </a:p>
        <a:p>
          <a:r>
            <a:rPr lang="en-GB" sz="1100">
              <a:solidFill>
                <a:schemeClr val="accent6"/>
              </a:solidFill>
              <a:effectLst/>
              <a:latin typeface="Arial" panose="020B0604020202020204" pitchFamily="34" charset="0"/>
              <a:ea typeface="+mn-ea"/>
              <a:cs typeface="Arial" panose="020B0604020202020204" pitchFamily="34" charset="0"/>
            </a:rPr>
            <a:t>This tool helps PM's, UPO’s and consultants working with UCL to estimate and report on changes to energy consumption and carbon emissions as a result of improvements to, or expansion of, the estate’s built assets. The results are used to support the business </a:t>
          </a:r>
          <a:r>
            <a:rPr lang="en-GB" sz="1100">
              <a:solidFill>
                <a:schemeClr val="accent6"/>
              </a:solidFill>
              <a:effectLst/>
              <a:latin typeface="+mn-lt"/>
              <a:ea typeface="+mn-ea"/>
              <a:cs typeface="+mn-cs"/>
            </a:rPr>
            <a:t>case</a:t>
          </a:r>
          <a:r>
            <a:rPr lang="en-GB" sz="1100">
              <a:solidFill>
                <a:schemeClr val="accent6"/>
              </a:solidFill>
              <a:effectLst/>
              <a:latin typeface="Arial" panose="020B0604020202020204" pitchFamily="34" charset="0"/>
              <a:ea typeface="+mn-ea"/>
              <a:cs typeface="Arial" panose="020B0604020202020204" pitchFamily="34" charset="0"/>
            </a:rPr>
            <a:t> for investing in sustainable buildings, including the reduction of life cycle costs. </a:t>
          </a:r>
        </a:p>
        <a:p>
          <a:endParaRPr lang="en-GB" sz="1100">
            <a:solidFill>
              <a:schemeClr val="accent6"/>
            </a:solidFill>
            <a:effectLst/>
            <a:latin typeface="Arial" panose="020B0604020202020204" pitchFamily="34" charset="0"/>
            <a:ea typeface="+mn-ea"/>
            <a:cs typeface="Arial" panose="020B0604020202020204" pitchFamily="34" charset="0"/>
          </a:endParaRPr>
        </a:p>
        <a:p>
          <a:r>
            <a:rPr lang="en-GB" sz="1100">
              <a:solidFill>
                <a:schemeClr val="accent6"/>
              </a:solidFill>
              <a:effectLst/>
              <a:latin typeface="Arial" panose="020B0604020202020204" pitchFamily="34" charset="0"/>
              <a:ea typeface="+mn-ea"/>
              <a:cs typeface="Arial" panose="020B0604020202020204" pitchFamily="34" charset="0"/>
            </a:rPr>
            <a:t>The outputs are collated by the UCL Sustainability Team to help plan and manage overall carbon emissions against the targets.</a:t>
          </a:r>
        </a:p>
        <a:p>
          <a:endParaRPr lang="en-GB" sz="1100">
            <a:solidFill>
              <a:schemeClr val="accent6"/>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rgbClr val="003D4C"/>
              </a:solidFill>
              <a:effectLst/>
              <a:uLnTx/>
              <a:uFillTx/>
              <a:latin typeface="+mn-lt"/>
              <a:ea typeface="+mn-ea"/>
              <a:cs typeface="+mn-cs"/>
            </a:rPr>
            <a:t> </a:t>
          </a:r>
          <a:r>
            <a:rPr kumimoji="0" lang="en-GB" sz="1100" b="0" i="0" u="none" strike="noStrike" kern="0" cap="none" spc="0" normalizeH="0" baseline="0" noProof="0">
              <a:ln>
                <a:noFill/>
              </a:ln>
              <a:solidFill>
                <a:srgbClr val="003D4C"/>
              </a:solidFill>
              <a:effectLst/>
              <a:uLnTx/>
              <a:uFillTx/>
              <a:latin typeface="Arial" panose="020B0604020202020204" pitchFamily="34" charset="0"/>
              <a:ea typeface="+mn-ea"/>
              <a:cs typeface="Arial" panose="020B0604020202020204" pitchFamily="34" charset="0"/>
            </a:rPr>
            <a:t>If you have any questions, please contact </a:t>
          </a:r>
          <a:r>
            <a:rPr kumimoji="0" lang="en-GB" sz="1100" b="1" i="0" u="sng" strike="noStrike" kern="0" cap="none" spc="0" normalizeH="0" baseline="0" noProof="0">
              <a:ln>
                <a:noFill/>
              </a:ln>
              <a:solidFill>
                <a:srgbClr val="0097A9">
                  <a:lumMod val="60000"/>
                  <a:lumOff val="40000"/>
                </a:srgbClr>
              </a:solidFill>
              <a:effectLst/>
              <a:uLnTx/>
              <a:uFillTx/>
              <a:latin typeface="Arial" panose="020B0604020202020204" pitchFamily="34" charset="0"/>
              <a:ea typeface="+mn-ea"/>
              <a:cs typeface="Arial" panose="020B0604020202020204" pitchFamily="34" charset="0"/>
            </a:rPr>
            <a:t>Joanna-Marshall Cook</a:t>
          </a:r>
        </a:p>
        <a:p>
          <a:endParaRPr lang="en-GB" sz="1100">
            <a:solidFill>
              <a:schemeClr val="accent6"/>
            </a:solidFill>
            <a:effectLst/>
            <a:latin typeface="Arial" panose="020B0604020202020204" pitchFamily="34" charset="0"/>
            <a:ea typeface="+mn-ea"/>
            <a:cs typeface="Arial" panose="020B0604020202020204" pitchFamily="34" charset="0"/>
          </a:endParaRPr>
        </a:p>
      </xdr:txBody>
    </xdr:sp>
    <xdr:clientData/>
  </xdr:twoCellAnchor>
  <xdr:twoCellAnchor>
    <xdr:from>
      <xdr:col>16</xdr:col>
      <xdr:colOff>1679</xdr:colOff>
      <xdr:row>10</xdr:row>
      <xdr:rowOff>0</xdr:rowOff>
    </xdr:from>
    <xdr:to>
      <xdr:col>24</xdr:col>
      <xdr:colOff>0</xdr:colOff>
      <xdr:row>24</xdr:row>
      <xdr:rowOff>190499</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8683036" y="1905000"/>
          <a:ext cx="4679178" cy="2857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accent6"/>
              </a:solidFill>
              <a:effectLst/>
              <a:latin typeface="Arial" panose="020B0604020202020204" pitchFamily="34" charset="0"/>
              <a:ea typeface="+mn-ea"/>
              <a:cs typeface="Arial" panose="020B0604020202020204" pitchFamily="34" charset="0"/>
            </a:rPr>
            <a:t>This tool can be used to capture payback periods, carbon and energy performance data for simple upgrades through to major refurbishments and new buildings. </a:t>
          </a:r>
        </a:p>
        <a:p>
          <a:endParaRPr lang="en-GB" sz="1100">
            <a:solidFill>
              <a:schemeClr val="accent6"/>
            </a:solidFill>
            <a:effectLst/>
            <a:latin typeface="Arial" panose="020B0604020202020204" pitchFamily="34" charset="0"/>
            <a:ea typeface="+mn-ea"/>
            <a:cs typeface="Arial" panose="020B0604020202020204" pitchFamily="34" charset="0"/>
          </a:endParaRPr>
        </a:p>
        <a:p>
          <a:r>
            <a:rPr lang="en-GB" sz="1100">
              <a:solidFill>
                <a:schemeClr val="accent6"/>
              </a:solidFill>
              <a:effectLst/>
              <a:latin typeface="Arial" panose="020B0604020202020204" pitchFamily="34" charset="0"/>
              <a:ea typeface="+mn-ea"/>
              <a:cs typeface="Arial" panose="020B0604020202020204" pitchFamily="34" charset="0"/>
            </a:rPr>
            <a:t>For smaller and simpler projects, the engines within the tool will help you to calculate energy savings and payback periods. You can compare different proposals and then select the best approach for your building. There is also the option to use the Bespoke Engine if you are doing something a bit different. </a:t>
          </a:r>
        </a:p>
        <a:p>
          <a:endParaRPr lang="en-GB" sz="1100">
            <a:solidFill>
              <a:schemeClr val="accent6"/>
            </a:solidFill>
            <a:effectLst/>
            <a:latin typeface="Arial" panose="020B0604020202020204" pitchFamily="34" charset="0"/>
            <a:ea typeface="+mn-ea"/>
            <a:cs typeface="Arial" panose="020B0604020202020204" pitchFamily="34" charset="0"/>
          </a:endParaRPr>
        </a:p>
        <a:p>
          <a:r>
            <a:rPr lang="en-GB" sz="1100">
              <a:solidFill>
                <a:schemeClr val="accent6"/>
              </a:solidFill>
              <a:effectLst/>
              <a:latin typeface="Arial" panose="020B0604020202020204" pitchFamily="34" charset="0"/>
              <a:ea typeface="+mn-ea"/>
              <a:cs typeface="Arial" panose="020B0604020202020204" pitchFamily="34" charset="0"/>
            </a:rPr>
            <a:t>For complex projects, major refurbishments and new buildings, energy savings will need to be calculated outside this tool using conventional energy modelling tools for regulated and unregulated loads. The outputs can then be submitted through the Bespoke engine (Step 2).  In accordance with UCL Sustainability Guidance, estimates are required at RIBA stages 1, 2 and 3 .   </a:t>
          </a:r>
        </a:p>
      </xdr:txBody>
    </xdr:sp>
    <xdr:clientData/>
  </xdr:twoCellAnchor>
  <xdr:twoCellAnchor>
    <xdr:from>
      <xdr:col>5</xdr:col>
      <xdr:colOff>573181</xdr:colOff>
      <xdr:row>21</xdr:row>
      <xdr:rowOff>149677</xdr:rowOff>
    </xdr:from>
    <xdr:to>
      <xdr:col>13</xdr:col>
      <xdr:colOff>544286</xdr:colOff>
      <xdr:row>23</xdr:row>
      <xdr:rowOff>163284</xdr:rowOff>
    </xdr:to>
    <xdr:sp macro="" textlink="">
      <xdr:nvSpPr>
        <xdr:cNvPr id="13" name="TextBox 12">
          <a:hlinkClick xmlns:r="http://schemas.openxmlformats.org/officeDocument/2006/relationships" r:id="rId3"/>
          <a:extLst>
            <a:ext uri="{FF2B5EF4-FFF2-40B4-BE49-F238E27FC236}">
              <a16:creationId xmlns:a16="http://schemas.microsoft.com/office/drawing/2014/main" id="{00000000-0008-0000-0000-00000D000000}"/>
            </a:ext>
          </a:extLst>
        </xdr:cNvPr>
        <xdr:cNvSpPr txBox="1"/>
      </xdr:nvSpPr>
      <xdr:spPr>
        <a:xfrm>
          <a:off x="2818360" y="4150177"/>
          <a:ext cx="4651962" cy="3946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lvl="0"/>
          <a:endParaRPr lang="en-GB" sz="1100" b="1" u="sng">
            <a:solidFill>
              <a:schemeClr val="accent4">
                <a:lumMod val="60000"/>
                <a:lumOff val="40000"/>
              </a:schemeClr>
            </a:solidFill>
            <a:effectLst/>
            <a:latin typeface="Arial" panose="020B0604020202020204" pitchFamily="34" charset="0"/>
            <a:ea typeface="+mn-ea"/>
            <a:cs typeface="Arial" panose="020B0604020202020204" pitchFamily="34" charset="0"/>
          </a:endParaRPr>
        </a:p>
      </xdr:txBody>
    </xdr:sp>
    <xdr:clientData/>
  </xdr:twoCellAnchor>
  <xdr:twoCellAnchor>
    <xdr:from>
      <xdr:col>6</xdr:col>
      <xdr:colOff>0</xdr:colOff>
      <xdr:row>4</xdr:row>
      <xdr:rowOff>0</xdr:rowOff>
    </xdr:from>
    <xdr:to>
      <xdr:col>21</xdr:col>
      <xdr:colOff>0</xdr:colOff>
      <xdr:row>7</xdr:row>
      <xdr:rowOff>19050</xdr:rowOff>
    </xdr:to>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2830286" y="762000"/>
          <a:ext cx="8776607" cy="590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100" b="0" i="0">
              <a:solidFill>
                <a:schemeClr val="tx2"/>
              </a:solidFill>
              <a:effectLst/>
              <a:latin typeface="Arial" panose="020B0604020202020204" pitchFamily="34" charset="0"/>
              <a:ea typeface="+mn-ea"/>
              <a:cs typeface="Arial" panose="020B0604020202020204" pitchFamily="34" charset="0"/>
            </a:rPr>
            <a:t>Below is some information about this</a:t>
          </a:r>
          <a:r>
            <a:rPr lang="en-GB" sz="1100" b="0" i="0" baseline="0">
              <a:solidFill>
                <a:schemeClr val="tx2"/>
              </a:solidFill>
              <a:effectLst/>
              <a:latin typeface="Arial" panose="020B0604020202020204" pitchFamily="34" charset="0"/>
              <a:ea typeface="+mn-ea"/>
              <a:cs typeface="Arial" panose="020B0604020202020204" pitchFamily="34" charset="0"/>
            </a:rPr>
            <a:t> tool. If you have used the tool before or you have already begun to use this copy of the tool jump to an appropriate step using the left-hand navigation panel.</a:t>
          </a:r>
          <a:endParaRPr lang="en-GB" sz="1100" b="0" i="0">
            <a:solidFill>
              <a:schemeClr val="tx2"/>
            </a:solidFill>
            <a:latin typeface="Arial" panose="020B0604020202020204" pitchFamily="34" charset="0"/>
            <a:cs typeface="Arial" panose="020B0604020202020204" pitchFamily="34" charset="0"/>
          </a:endParaRPr>
        </a:p>
      </xdr:txBody>
    </xdr:sp>
    <xdr:clientData/>
  </xdr:twoCellAnchor>
  <xdr:twoCellAnchor>
    <xdr:from>
      <xdr:col>6</xdr:col>
      <xdr:colOff>0</xdr:colOff>
      <xdr:row>57</xdr:row>
      <xdr:rowOff>1</xdr:rowOff>
    </xdr:from>
    <xdr:to>
      <xdr:col>24</xdr:col>
      <xdr:colOff>0</xdr:colOff>
      <xdr:row>61</xdr:row>
      <xdr:rowOff>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2828925" y="10668001"/>
          <a:ext cx="10467975" cy="761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chemeClr val="tx2"/>
              </a:solidFill>
              <a:effectLst/>
              <a:latin typeface="Arial" panose="020B0604020202020204" pitchFamily="34" charset="0"/>
              <a:ea typeface="+mn-ea"/>
              <a:cs typeface="Arial" panose="020B0604020202020204" pitchFamily="34" charset="0"/>
            </a:rPr>
            <a:t>The UCL Cost &amp; Carbon</a:t>
          </a:r>
          <a:r>
            <a:rPr lang="en-GB" sz="1000" baseline="0">
              <a:solidFill>
                <a:schemeClr val="tx2"/>
              </a:solidFill>
              <a:effectLst/>
              <a:latin typeface="Arial" panose="020B0604020202020204" pitchFamily="34" charset="0"/>
              <a:ea typeface="+mn-ea"/>
              <a:cs typeface="Arial" panose="020B0604020202020204" pitchFamily="34" charset="0"/>
            </a:rPr>
            <a:t> Tool </a:t>
          </a:r>
          <a:r>
            <a:rPr lang="en-GB" sz="1000">
              <a:solidFill>
                <a:schemeClr val="tx2"/>
              </a:solidFill>
              <a:effectLst/>
              <a:latin typeface="Arial" panose="020B0604020202020204" pitchFamily="34" charset="0"/>
              <a:ea typeface="+mn-ea"/>
              <a:cs typeface="Arial" panose="020B0604020202020204" pitchFamily="34" charset="0"/>
            </a:rPr>
            <a:t>Copyright © 2016 Expedition Engineering Ltd. (D. Raymond, B. Cousins-Jenvey</a:t>
          </a:r>
          <a:r>
            <a:rPr lang="en-GB" sz="1000" baseline="0">
              <a:solidFill>
                <a:schemeClr val="tx2"/>
              </a:solidFill>
              <a:effectLst/>
              <a:latin typeface="Arial" panose="020B0604020202020204" pitchFamily="34" charset="0"/>
              <a:ea typeface="+mn-ea"/>
              <a:cs typeface="Arial" panose="020B0604020202020204" pitchFamily="34" charset="0"/>
            </a:rPr>
            <a:t> </a:t>
          </a:r>
          <a:r>
            <a:rPr lang="en-GB" sz="1000">
              <a:solidFill>
                <a:schemeClr val="tx2"/>
              </a:solidFill>
              <a:effectLst/>
              <a:latin typeface="Arial" panose="020B0604020202020204" pitchFamily="34" charset="0"/>
              <a:ea typeface="+mn-ea"/>
              <a:cs typeface="Arial" panose="020B0604020202020204" pitchFamily="34" charset="0"/>
            </a:rPr>
            <a:t>and J. Sykes) This program is free software: you can redistribute it and/or modify it under the terms of the GNU General Public License as published by the Free Software Foundation, either version 3 of the License, or (at your option) any later version. This program is distributed in the hope that it will be useful, but WITHOUT ANY WARRANTY; without even the implied warranty of MERCHANTABILITY</a:t>
          </a:r>
          <a:r>
            <a:rPr lang="en-GB" sz="1000" baseline="0">
              <a:solidFill>
                <a:schemeClr val="tx2"/>
              </a:solidFill>
              <a:effectLst/>
              <a:latin typeface="Arial" panose="020B0604020202020204" pitchFamily="34" charset="0"/>
              <a:ea typeface="+mn-ea"/>
              <a:cs typeface="Arial" panose="020B0604020202020204" pitchFamily="34" charset="0"/>
            </a:rPr>
            <a:t> </a:t>
          </a:r>
          <a:r>
            <a:rPr lang="en-GB" sz="1000">
              <a:solidFill>
                <a:schemeClr val="tx2"/>
              </a:solidFill>
              <a:effectLst/>
              <a:latin typeface="Arial" panose="020B0604020202020204" pitchFamily="34" charset="0"/>
              <a:ea typeface="+mn-ea"/>
              <a:cs typeface="Arial" panose="020B0604020202020204" pitchFamily="34" charset="0"/>
            </a:rPr>
            <a:t>or FITNESS FOR A PARTICULAR PURPOSE. Read more here:</a:t>
          </a:r>
        </a:p>
      </xdr:txBody>
    </xdr:sp>
    <xdr:clientData/>
  </xdr:twoCellAnchor>
  <xdr:twoCellAnchor>
    <xdr:from>
      <xdr:col>6</xdr:col>
      <xdr:colOff>0</xdr:colOff>
      <xdr:row>73</xdr:row>
      <xdr:rowOff>0</xdr:rowOff>
    </xdr:from>
    <xdr:to>
      <xdr:col>24</xdr:col>
      <xdr:colOff>0</xdr:colOff>
      <xdr:row>76</xdr:row>
      <xdr:rowOff>0</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2828925" y="12001500"/>
          <a:ext cx="10467975"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0" i="0">
              <a:solidFill>
                <a:schemeClr val="tx2"/>
              </a:solidFill>
              <a:effectLst/>
              <a:latin typeface="Arial" panose="020B0604020202020204" pitchFamily="34" charset="0"/>
              <a:ea typeface="+mn-ea"/>
              <a:cs typeface="Arial" panose="020B0604020202020204" pitchFamily="34" charset="0"/>
            </a:rPr>
            <a:t>The user assumes all responsibility for the use of these spreadsheets, modifications and outputs. Users agree to verify the accuracy of all outputs and to satisfy themselves that the results meet or exceed one's expectation of accuracy and performance.</a:t>
          </a:r>
        </a:p>
      </xdr:txBody>
    </xdr:sp>
    <xdr:clientData/>
  </xdr:twoCellAnchor>
  <xdr:twoCellAnchor>
    <xdr:from>
      <xdr:col>6</xdr:col>
      <xdr:colOff>0</xdr:colOff>
      <xdr:row>60</xdr:row>
      <xdr:rowOff>0</xdr:rowOff>
    </xdr:from>
    <xdr:to>
      <xdr:col>24</xdr:col>
      <xdr:colOff>0</xdr:colOff>
      <xdr:row>62</xdr:row>
      <xdr:rowOff>0</xdr:rowOff>
    </xdr:to>
    <xdr:sp macro="" textlink="">
      <xdr:nvSpPr>
        <xdr:cNvPr id="10" name="TextBox 9">
          <a:hlinkClick xmlns:r="http://schemas.openxmlformats.org/officeDocument/2006/relationships" r:id="rId4"/>
          <a:extLst>
            <a:ext uri="{FF2B5EF4-FFF2-40B4-BE49-F238E27FC236}">
              <a16:creationId xmlns:a16="http://schemas.microsoft.com/office/drawing/2014/main" id="{00000000-0008-0000-0000-00000A000000}"/>
            </a:ext>
          </a:extLst>
        </xdr:cNvPr>
        <xdr:cNvSpPr txBox="1"/>
      </xdr:nvSpPr>
      <xdr:spPr>
        <a:xfrm>
          <a:off x="2828925" y="11239500"/>
          <a:ext cx="1046797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000" b="1" u="sng">
              <a:solidFill>
                <a:schemeClr val="accent4">
                  <a:lumMod val="60000"/>
                  <a:lumOff val="40000"/>
                </a:schemeClr>
              </a:solidFill>
              <a:effectLst/>
              <a:latin typeface="Arial" panose="020B0604020202020204" pitchFamily="34" charset="0"/>
              <a:ea typeface="+mn-ea"/>
              <a:cs typeface="Arial" panose="020B0604020202020204" pitchFamily="34" charset="0"/>
            </a:rPr>
            <a:t>http://www.gnu.org/licenses</a:t>
          </a:r>
        </a:p>
      </xdr:txBody>
    </xdr:sp>
    <xdr:clientData/>
  </xdr:twoCellAnchor>
  <xdr:twoCellAnchor>
    <xdr:from>
      <xdr:col>6</xdr:col>
      <xdr:colOff>0</xdr:colOff>
      <xdr:row>62</xdr:row>
      <xdr:rowOff>13607</xdr:rowOff>
    </xdr:from>
    <xdr:to>
      <xdr:col>24</xdr:col>
      <xdr:colOff>0</xdr:colOff>
      <xdr:row>65</xdr:row>
      <xdr:rowOff>13607</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2830286" y="11824607"/>
          <a:ext cx="10531928"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a:solidFill>
                <a:schemeClr val="tx2"/>
              </a:solidFill>
              <a:effectLst/>
              <a:latin typeface="Arial" panose="020B0604020202020204" pitchFamily="34" charset="0"/>
              <a:ea typeface="+mn-ea"/>
              <a:cs typeface="Arial" panose="020B0604020202020204" pitchFamily="34" charset="0"/>
            </a:rPr>
            <a:t>The UCL Cost &amp; Carbon Tool is available only for non-profit making applications. These include research activities and the use of the tool by UCL and its collaborators</a:t>
          </a:r>
          <a:r>
            <a:rPr lang="en-GB" sz="1000" baseline="0">
              <a:solidFill>
                <a:schemeClr val="tx2"/>
              </a:solidFill>
              <a:effectLst/>
              <a:latin typeface="Arial" panose="020B0604020202020204" pitchFamily="34" charset="0"/>
              <a:ea typeface="+mn-ea"/>
              <a:cs typeface="Arial" panose="020B0604020202020204" pitchFamily="34" charset="0"/>
            </a:rPr>
            <a:t> to </a:t>
          </a:r>
          <a:r>
            <a:rPr lang="en-GB" sz="1000">
              <a:solidFill>
                <a:schemeClr val="tx2"/>
              </a:solidFill>
              <a:effectLst/>
              <a:latin typeface="Arial" panose="020B0604020202020204" pitchFamily="34" charset="0"/>
              <a:ea typeface="+mn-ea"/>
              <a:cs typeface="Arial" panose="020B0604020202020204" pitchFamily="34" charset="0"/>
            </a:rPr>
            <a:t>assess UCL operations but excludes the use by consulting and other organisations purely for the purposes of revenue generation (e.g. through consulting services). By using this spreadsheet</a:t>
          </a:r>
          <a:r>
            <a:rPr lang="en-GB" sz="1000" baseline="0">
              <a:solidFill>
                <a:schemeClr val="tx2"/>
              </a:solidFill>
              <a:effectLst/>
              <a:latin typeface="Arial" panose="020B0604020202020204" pitchFamily="34" charset="0"/>
              <a:ea typeface="+mn-ea"/>
              <a:cs typeface="Arial" panose="020B0604020202020204" pitchFamily="34" charset="0"/>
            </a:rPr>
            <a:t> </a:t>
          </a:r>
          <a:r>
            <a:rPr lang="en-GB" sz="1000">
              <a:solidFill>
                <a:schemeClr val="tx2"/>
              </a:solidFill>
              <a:effectLst/>
              <a:latin typeface="Arial" panose="020B0604020202020204" pitchFamily="34" charset="0"/>
              <a:ea typeface="+mn-ea"/>
              <a:cs typeface="Arial" panose="020B0604020202020204" pitchFamily="34" charset="0"/>
            </a:rPr>
            <a:t>you confirm that you agree with these terms and conditions.</a:t>
          </a:r>
        </a:p>
      </xdr:txBody>
    </xdr:sp>
    <xdr:clientData/>
  </xdr:twoCellAnchor>
  <xdr:twoCellAnchor>
    <xdr:from>
      <xdr:col>0</xdr:col>
      <xdr:colOff>0</xdr:colOff>
      <xdr:row>51</xdr:row>
      <xdr:rowOff>0</xdr:rowOff>
    </xdr:from>
    <xdr:to>
      <xdr:col>5</xdr:col>
      <xdr:colOff>0</xdr:colOff>
      <xdr:row>53</xdr:row>
      <xdr:rowOff>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0" y="9715500"/>
          <a:ext cx="2245179"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chemeClr val="bg1"/>
              </a:solidFill>
            </a:rPr>
            <a:t>© 2016 Expedition Engineering Ltd.</a:t>
          </a:r>
        </a:p>
      </xdr:txBody>
    </xdr:sp>
    <xdr:clientData/>
  </xdr:twoCellAnchor>
  <xdr:twoCellAnchor editAs="oneCell">
    <xdr:from>
      <xdr:col>16</xdr:col>
      <xdr:colOff>501140</xdr:colOff>
      <xdr:row>67</xdr:row>
      <xdr:rowOff>0</xdr:rowOff>
    </xdr:from>
    <xdr:to>
      <xdr:col>18</xdr:col>
      <xdr:colOff>340166</xdr:colOff>
      <xdr:row>71</xdr:row>
      <xdr:rowOff>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182497" y="12763500"/>
          <a:ext cx="1009240" cy="762000"/>
        </a:xfrm>
        <a:prstGeom prst="rect">
          <a:avLst/>
        </a:prstGeom>
      </xdr:spPr>
    </xdr:pic>
    <xdr:clientData/>
  </xdr:twoCellAnchor>
  <xdr:twoCellAnchor editAs="oneCell">
    <xdr:from>
      <xdr:col>6</xdr:col>
      <xdr:colOff>0</xdr:colOff>
      <xdr:row>26</xdr:row>
      <xdr:rowOff>0</xdr:rowOff>
    </xdr:from>
    <xdr:to>
      <xdr:col>24</xdr:col>
      <xdr:colOff>0</xdr:colOff>
      <xdr:row>47</xdr:row>
      <xdr:rowOff>47595</xdr:rowOff>
    </xdr:to>
    <xdr:pic>
      <xdr:nvPicPr>
        <xdr:cNvPr id="5" name="Picture 4">
          <a:extLst>
            <a:ext uri="{FF2B5EF4-FFF2-40B4-BE49-F238E27FC236}">
              <a16:creationId xmlns:a16="http://schemas.microsoft.com/office/drawing/2014/main" id="{6052D587-576B-43AF-BD20-E21AE6E6815D}"/>
            </a:ext>
          </a:extLst>
        </xdr:cNvPr>
        <xdr:cNvPicPr>
          <a:picLocks noChangeAspect="1"/>
        </xdr:cNvPicPr>
      </xdr:nvPicPr>
      <xdr:blipFill rotWithShape="1">
        <a:blip xmlns:r="http://schemas.openxmlformats.org/officeDocument/2006/relationships" r:embed="rId6">
          <a:duotone>
            <a:schemeClr val="accent6">
              <a:shade val="45000"/>
              <a:satMod val="135000"/>
            </a:schemeClr>
            <a:prstClr val="white"/>
          </a:duotone>
        </a:blip>
        <a:srcRect l="1" r="204"/>
        <a:stretch/>
      </xdr:blipFill>
      <xdr:spPr>
        <a:xfrm>
          <a:off x="2828925" y="4953000"/>
          <a:ext cx="10467975" cy="4048095"/>
        </a:xfrm>
        <a:prstGeom prst="rect">
          <a:avLst/>
        </a:prstGeom>
      </xdr:spPr>
    </xdr:pic>
    <xdr:clientData/>
  </xdr:twoCellAnchor>
  <xdr:twoCellAnchor editAs="oneCell">
    <xdr:from>
      <xdr:col>18</xdr:col>
      <xdr:colOff>528264</xdr:colOff>
      <xdr:row>67</xdr:row>
      <xdr:rowOff>93001</xdr:rowOff>
    </xdr:from>
    <xdr:to>
      <xdr:col>22</xdr:col>
      <xdr:colOff>27203</xdr:colOff>
      <xdr:row>70</xdr:row>
      <xdr:rowOff>97499</xdr:rowOff>
    </xdr:to>
    <xdr:pic>
      <xdr:nvPicPr>
        <xdr:cNvPr id="3" name="Picture 2">
          <a:extLst>
            <a:ext uri="{FF2B5EF4-FFF2-40B4-BE49-F238E27FC236}">
              <a16:creationId xmlns:a16="http://schemas.microsoft.com/office/drawing/2014/main" id="{44089C9F-52C5-4D83-88BE-264D9AB7AFFB}"/>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0379835" y="12856501"/>
          <a:ext cx="1839368" cy="575998"/>
        </a:xfrm>
        <a:prstGeom prst="rect">
          <a:avLst/>
        </a:prstGeom>
      </xdr:spPr>
    </xdr:pic>
    <xdr:clientData/>
  </xdr:twoCellAnchor>
  <xdr:twoCellAnchor editAs="oneCell">
    <xdr:from>
      <xdr:col>22</xdr:col>
      <xdr:colOff>365619</xdr:colOff>
      <xdr:row>66</xdr:row>
      <xdr:rowOff>0</xdr:rowOff>
    </xdr:from>
    <xdr:to>
      <xdr:col>24</xdr:col>
      <xdr:colOff>0</xdr:colOff>
      <xdr:row>71</xdr:row>
      <xdr:rowOff>0</xdr:rowOff>
    </xdr:to>
    <xdr:pic>
      <xdr:nvPicPr>
        <xdr:cNvPr id="6" name="Picture 5">
          <a:extLst>
            <a:ext uri="{FF2B5EF4-FFF2-40B4-BE49-F238E27FC236}">
              <a16:creationId xmlns:a16="http://schemas.microsoft.com/office/drawing/2014/main" id="{314A92D8-895C-4586-8118-E454240DDBAB}"/>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2557619" y="12573000"/>
          <a:ext cx="804595" cy="9525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18</xdr:col>
      <xdr:colOff>0</xdr:colOff>
      <xdr:row>10</xdr:row>
      <xdr:rowOff>0</xdr:rowOff>
    </xdr:from>
    <xdr:to>
      <xdr:col>24</xdr:col>
      <xdr:colOff>0</xdr:colOff>
      <xdr:row>38</xdr:row>
      <xdr:rowOff>0</xdr:rowOff>
    </xdr:to>
    <xdr:graphicFrame macro="">
      <xdr:nvGraphicFramePr>
        <xdr:cNvPr id="5" name="Chart 4">
          <a:extLst>
            <a:ext uri="{FF2B5EF4-FFF2-40B4-BE49-F238E27FC236}">
              <a16:creationId xmlns:a16="http://schemas.microsoft.com/office/drawing/2014/main"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7</xdr:col>
      <xdr:colOff>585106</xdr:colOff>
      <xdr:row>0</xdr:row>
      <xdr:rowOff>0</xdr:rowOff>
    </xdr:from>
    <xdr:to>
      <xdr:col>19</xdr:col>
      <xdr:colOff>581022</xdr:colOff>
      <xdr:row>3</xdr:row>
      <xdr:rowOff>0</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4000499" y="0"/>
          <a:ext cx="12323987"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2400">
              <a:solidFill>
                <a:schemeClr val="accent4"/>
              </a:solidFill>
              <a:latin typeface="Arial" panose="020B0604020202020204" pitchFamily="34" charset="0"/>
              <a:cs typeface="Arial" panose="020B0604020202020204" pitchFamily="34" charset="0"/>
            </a:rPr>
            <a:t>VRF/chiller tool</a:t>
          </a:r>
        </a:p>
      </xdr:txBody>
    </xdr:sp>
    <xdr:clientData/>
  </xdr:twoCellAnchor>
  <xdr:twoCellAnchor>
    <xdr:from>
      <xdr:col>6</xdr:col>
      <xdr:colOff>0</xdr:colOff>
      <xdr:row>0</xdr:row>
      <xdr:rowOff>0</xdr:rowOff>
    </xdr:from>
    <xdr:to>
      <xdr:col>8</xdr:col>
      <xdr:colOff>0</xdr:colOff>
      <xdr:row>3</xdr:row>
      <xdr:rowOff>0</xdr:rowOff>
    </xdr:to>
    <xdr:sp macro="" textlink="">
      <xdr:nvSpPr>
        <xdr:cNvPr id="5" name="TextBox 4">
          <a:extLst>
            <a:ext uri="{FF2B5EF4-FFF2-40B4-BE49-F238E27FC236}">
              <a16:creationId xmlns:a16="http://schemas.microsoft.com/office/drawing/2014/main" id="{00000000-0008-0000-0A00-000005000000}"/>
            </a:ext>
          </a:extLst>
        </xdr:cNvPr>
        <xdr:cNvSpPr txBox="1"/>
      </xdr:nvSpPr>
      <xdr:spPr>
        <a:xfrm>
          <a:off x="2830286" y="0"/>
          <a:ext cx="1170214"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2400" b="1">
              <a:solidFill>
                <a:schemeClr val="accent4"/>
              </a:solidFill>
              <a:latin typeface="Arial" panose="020B0604020202020204" pitchFamily="34" charset="0"/>
              <a:cs typeface="Arial" panose="020B0604020202020204" pitchFamily="34" charset="0"/>
            </a:rPr>
            <a:t>2.3:</a:t>
          </a:r>
        </a:p>
      </xdr:txBody>
    </xdr:sp>
    <xdr:clientData/>
  </xdr:twoCellAnchor>
  <xdr:twoCellAnchor>
    <xdr:from>
      <xdr:col>8</xdr:col>
      <xdr:colOff>36759</xdr:colOff>
      <xdr:row>3</xdr:row>
      <xdr:rowOff>103909</xdr:rowOff>
    </xdr:from>
    <xdr:to>
      <xdr:col>22</xdr:col>
      <xdr:colOff>527338</xdr:colOff>
      <xdr:row>7</xdr:row>
      <xdr:rowOff>138544</xdr:rowOff>
    </xdr:to>
    <xdr:sp macro="" textlink="">
      <xdr:nvSpPr>
        <xdr:cNvPr id="9" name="TextBox 8">
          <a:extLst>
            <a:ext uri="{FF2B5EF4-FFF2-40B4-BE49-F238E27FC236}">
              <a16:creationId xmlns:a16="http://schemas.microsoft.com/office/drawing/2014/main" id="{00000000-0008-0000-0A00-000009000000}"/>
            </a:ext>
          </a:extLst>
        </xdr:cNvPr>
        <xdr:cNvSpPr txBox="1"/>
      </xdr:nvSpPr>
      <xdr:spPr>
        <a:xfrm>
          <a:off x="4054577" y="675409"/>
          <a:ext cx="12024488" cy="796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1" u="none" strike="noStrike" kern="0" cap="none" spc="0" normalizeH="0" baseline="0" noProof="0">
              <a:ln>
                <a:noFill/>
              </a:ln>
              <a:solidFill>
                <a:srgbClr val="4E5B6F"/>
              </a:solidFill>
              <a:effectLst/>
              <a:uLnTx/>
              <a:uFillTx/>
              <a:latin typeface="Arial" panose="020B0604020202020204" pitchFamily="34" charset="0"/>
              <a:ea typeface="+mn-ea"/>
              <a:cs typeface="Arial" panose="020B0604020202020204" pitchFamily="34" charset="0"/>
            </a:rPr>
            <a:t>Use this tool when replacing or upgrading cooling systems. You can make a change to all or part of your cooling system by approximating the proportion of coolth supplied by the VRF/chiller. Enter the Coefficient of Performance (COP) for your system or select a system from the handy drop menu to populate this for you. Based on your selection, fan or pump energy will be calculated. Please note pump selection won’t effect cooling consumption. Finally, enter costs for the total works.</a:t>
          </a:r>
        </a:p>
      </xdr:txBody>
    </xdr:sp>
    <xdr:clientData/>
  </xdr:twoCellAnchor>
  <xdr:twoCellAnchor>
    <xdr:from>
      <xdr:col>18</xdr:col>
      <xdr:colOff>0</xdr:colOff>
      <xdr:row>10</xdr:row>
      <xdr:rowOff>0</xdr:rowOff>
    </xdr:from>
    <xdr:to>
      <xdr:col>24</xdr:col>
      <xdr:colOff>0</xdr:colOff>
      <xdr:row>38</xdr:row>
      <xdr:rowOff>0</xdr:rowOff>
    </xdr:to>
    <xdr:graphicFrame macro="">
      <xdr:nvGraphicFramePr>
        <xdr:cNvPr id="6" name="Chart 5">
          <a:extLst>
            <a:ext uri="{FF2B5EF4-FFF2-40B4-BE49-F238E27FC236}">
              <a16:creationId xmlns:a16="http://schemas.microsoft.com/office/drawing/2014/main" id="{00000000-0008-0000-0A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0</xdr:colOff>
      <xdr:row>0</xdr:row>
      <xdr:rowOff>0</xdr:rowOff>
    </xdr:from>
    <xdr:to>
      <xdr:col>22</xdr:col>
      <xdr:colOff>581397</xdr:colOff>
      <xdr:row>3</xdr:row>
      <xdr:rowOff>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4962909" y="0"/>
          <a:ext cx="1170215"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2400" i="0">
              <a:solidFill>
                <a:schemeClr val="accent1"/>
              </a:solidFill>
              <a:latin typeface="Arial" panose="020B0604020202020204" pitchFamily="34" charset="0"/>
              <a:cs typeface="Arial" panose="020B0604020202020204" pitchFamily="34" charset="0"/>
            </a:rPr>
            <a:t>BETA</a:t>
          </a:r>
        </a:p>
      </xdr:txBody>
    </xdr:sp>
    <xdr:clientData/>
  </xdr:twoCellAnchor>
  <xdr:twoCellAnchor editAs="oneCell">
    <xdr:from>
      <xdr:col>0</xdr:col>
      <xdr:colOff>0</xdr:colOff>
      <xdr:row>19</xdr:row>
      <xdr:rowOff>0</xdr:rowOff>
    </xdr:from>
    <xdr:to>
      <xdr:col>4</xdr:col>
      <xdr:colOff>236270</xdr:colOff>
      <xdr:row>53</xdr:row>
      <xdr:rowOff>0</xdr:rowOff>
    </xdr:to>
    <xdr:pic>
      <xdr:nvPicPr>
        <xdr:cNvPr id="8" name="Picture 7" descr="Image result for UCL logo">
          <a:extLst>
            <a:ext uri="{FF2B5EF4-FFF2-40B4-BE49-F238E27FC236}">
              <a16:creationId xmlns:a16="http://schemas.microsoft.com/office/drawing/2014/main" id="{00000000-0008-0000-0A00-000008000000}"/>
            </a:ext>
          </a:extLst>
        </xdr:cNvPr>
        <xdr:cNvPicPr>
          <a:picLocks noChangeAspect="1" noChangeArrowheads="1"/>
        </xdr:cNvPicPr>
      </xdr:nvPicPr>
      <xdr:blipFill rotWithShape="1">
        <a:blip xmlns:r="http://schemas.openxmlformats.org/officeDocument/2006/relationships" r:embed="rId2">
          <a:duotone>
            <a:schemeClr val="accent4">
              <a:shade val="45000"/>
              <a:satMod val="135000"/>
            </a:schemeClr>
            <a:prstClr val="white"/>
          </a:duotone>
          <a:extLst>
            <a:ext uri="{BEBA8EAE-BF5A-486C-A8C5-ECC9F3942E4B}">
              <a14:imgProps xmlns:a14="http://schemas.microsoft.com/office/drawing/2010/main">
                <a14:imgLayer r:embed="rId3">
                  <a14:imgEffect>
                    <a14:sharpenSoften amount="50000"/>
                  </a14:imgEffect>
                  <a14:imgEffect>
                    <a14:saturation sat="0"/>
                  </a14:imgEffect>
                  <a14:imgEffect>
                    <a14:brightnessContrast bright="-40000" contrast="40000"/>
                  </a14:imgEffect>
                </a14:imgLayer>
              </a14:imgProps>
            </a:ext>
            <a:ext uri="{28A0092B-C50C-407E-A947-70E740481C1C}">
              <a14:useLocalDpi xmlns:a14="http://schemas.microsoft.com/office/drawing/2010/main" val="0"/>
            </a:ext>
          </a:extLst>
        </a:blip>
        <a:srcRect l="13677"/>
        <a:stretch/>
      </xdr:blipFill>
      <xdr:spPr bwMode="auto">
        <a:xfrm rot="16200000">
          <a:off x="-2115910" y="5735410"/>
          <a:ext cx="6477000" cy="22451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51</xdr:row>
      <xdr:rowOff>0</xdr:rowOff>
    </xdr:from>
    <xdr:to>
      <xdr:col>5</xdr:col>
      <xdr:colOff>0</xdr:colOff>
      <xdr:row>53</xdr:row>
      <xdr:rowOff>0</xdr:rowOff>
    </xdr:to>
    <xdr:sp macro="" textlink="">
      <xdr:nvSpPr>
        <xdr:cNvPr id="10" name="TextBox 9">
          <a:extLst>
            <a:ext uri="{FF2B5EF4-FFF2-40B4-BE49-F238E27FC236}">
              <a16:creationId xmlns:a16="http://schemas.microsoft.com/office/drawing/2014/main" id="{00000000-0008-0000-0A00-00000A000000}"/>
            </a:ext>
          </a:extLst>
        </xdr:cNvPr>
        <xdr:cNvSpPr txBox="1"/>
      </xdr:nvSpPr>
      <xdr:spPr>
        <a:xfrm>
          <a:off x="0" y="9715500"/>
          <a:ext cx="2251364"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chemeClr val="bg1"/>
              </a:solidFill>
            </a:rPr>
            <a:t>© 2016 Expedition Engineering Ltd.</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0</xdr:colOff>
      <xdr:row>0</xdr:row>
      <xdr:rowOff>0</xdr:rowOff>
    </xdr:from>
    <xdr:to>
      <xdr:col>20</xdr:col>
      <xdr:colOff>0</xdr:colOff>
      <xdr:row>3</xdr:row>
      <xdr:rowOff>0</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4017818" y="0"/>
          <a:ext cx="12365182"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2400">
              <a:solidFill>
                <a:schemeClr val="accent3"/>
              </a:solidFill>
              <a:latin typeface="Arial" panose="020B0604020202020204" pitchFamily="34" charset="0"/>
              <a:cs typeface="Arial" panose="020B0604020202020204" pitchFamily="34" charset="0"/>
            </a:rPr>
            <a:t>lighting tool</a:t>
          </a:r>
        </a:p>
      </xdr:txBody>
    </xdr:sp>
    <xdr:clientData/>
  </xdr:twoCellAnchor>
  <xdr:twoCellAnchor>
    <xdr:from>
      <xdr:col>6</xdr:col>
      <xdr:colOff>0</xdr:colOff>
      <xdr:row>0</xdr:row>
      <xdr:rowOff>0</xdr:rowOff>
    </xdr:from>
    <xdr:to>
      <xdr:col>8</xdr:col>
      <xdr:colOff>0</xdr:colOff>
      <xdr:row>3</xdr:row>
      <xdr:rowOff>0</xdr:rowOff>
    </xdr:to>
    <xdr:sp macro="" textlink="">
      <xdr:nvSpPr>
        <xdr:cNvPr id="5" name="TextBox 4">
          <a:extLst>
            <a:ext uri="{FF2B5EF4-FFF2-40B4-BE49-F238E27FC236}">
              <a16:creationId xmlns:a16="http://schemas.microsoft.com/office/drawing/2014/main" id="{00000000-0008-0000-0B00-000005000000}"/>
            </a:ext>
          </a:extLst>
        </xdr:cNvPr>
        <xdr:cNvSpPr txBox="1"/>
      </xdr:nvSpPr>
      <xdr:spPr>
        <a:xfrm>
          <a:off x="2840182" y="0"/>
          <a:ext cx="1177636"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2400" b="1">
              <a:solidFill>
                <a:schemeClr val="accent3"/>
              </a:solidFill>
              <a:latin typeface="Arial" panose="020B0604020202020204" pitchFamily="34" charset="0"/>
              <a:cs typeface="Arial" panose="020B0604020202020204" pitchFamily="34" charset="0"/>
            </a:rPr>
            <a:t>2.4:</a:t>
          </a:r>
        </a:p>
      </xdr:txBody>
    </xdr:sp>
    <xdr:clientData/>
  </xdr:twoCellAnchor>
  <xdr:twoCellAnchor>
    <xdr:from>
      <xdr:col>8</xdr:col>
      <xdr:colOff>26865</xdr:colOff>
      <xdr:row>3</xdr:row>
      <xdr:rowOff>121227</xdr:rowOff>
    </xdr:from>
    <xdr:to>
      <xdr:col>22</xdr:col>
      <xdr:colOff>519546</xdr:colOff>
      <xdr:row>7</xdr:row>
      <xdr:rowOff>51954</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4044683" y="692727"/>
          <a:ext cx="12026590" cy="692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1" u="none" strike="noStrike" kern="0" cap="none" spc="0" normalizeH="0" baseline="0" noProof="0">
              <a:ln>
                <a:noFill/>
              </a:ln>
              <a:solidFill>
                <a:srgbClr val="4E5B6F"/>
              </a:solidFill>
              <a:effectLst/>
              <a:uLnTx/>
              <a:uFillTx/>
              <a:latin typeface="Arial" panose="020B0604020202020204" pitchFamily="34" charset="0"/>
              <a:ea typeface="+mn-ea"/>
              <a:cs typeface="Arial" panose="020B0604020202020204" pitchFamily="34" charset="0"/>
            </a:rPr>
            <a:t>Use this tool when replacing or upgrading lighting systems. Define total installed power by entering watts per fitting (existing and proposed) or use the handy drop down menu to select the type of light fittings. Estimate hours of use. This can be split between day and night time usage. Select if daylight or occupant control are present and finally enter costs for total works. Don’t forget to reduce the frequency of replacement costs for newer more efficient light fittings, like LEDs.</a:t>
          </a:r>
        </a:p>
      </xdr:txBody>
    </xdr:sp>
    <xdr:clientData/>
  </xdr:twoCellAnchor>
  <xdr:twoCellAnchor>
    <xdr:from>
      <xdr:col>18</xdr:col>
      <xdr:colOff>0</xdr:colOff>
      <xdr:row>10</xdr:row>
      <xdr:rowOff>0</xdr:rowOff>
    </xdr:from>
    <xdr:to>
      <xdr:col>24</xdr:col>
      <xdr:colOff>0</xdr:colOff>
      <xdr:row>38</xdr:row>
      <xdr:rowOff>0</xdr:rowOff>
    </xdr:to>
    <xdr:graphicFrame macro="">
      <xdr:nvGraphicFramePr>
        <xdr:cNvPr id="6" name="Chart 5">
          <a:extLst>
            <a:ext uri="{FF2B5EF4-FFF2-40B4-BE49-F238E27FC236}">
              <a16:creationId xmlns:a16="http://schemas.microsoft.com/office/drawing/2014/main" id="{00000000-0008-0000-0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0</xdr:colOff>
      <xdr:row>0</xdr:row>
      <xdr:rowOff>0</xdr:rowOff>
    </xdr:from>
    <xdr:to>
      <xdr:col>22</xdr:col>
      <xdr:colOff>581397</xdr:colOff>
      <xdr:row>3</xdr:row>
      <xdr:rowOff>0</xdr:rowOff>
    </xdr:to>
    <xdr:sp macro="" textlink="">
      <xdr:nvSpPr>
        <xdr:cNvPr id="8" name="TextBox 7">
          <a:extLst>
            <a:ext uri="{FF2B5EF4-FFF2-40B4-BE49-F238E27FC236}">
              <a16:creationId xmlns:a16="http://schemas.microsoft.com/office/drawing/2014/main" id="{00000000-0008-0000-0B00-000008000000}"/>
            </a:ext>
          </a:extLst>
        </xdr:cNvPr>
        <xdr:cNvSpPr txBox="1"/>
      </xdr:nvSpPr>
      <xdr:spPr>
        <a:xfrm>
          <a:off x="14962909" y="0"/>
          <a:ext cx="1170215"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2400" i="0">
              <a:solidFill>
                <a:schemeClr val="accent1"/>
              </a:solidFill>
              <a:latin typeface="Arial" panose="020B0604020202020204" pitchFamily="34" charset="0"/>
              <a:cs typeface="Arial" panose="020B0604020202020204" pitchFamily="34" charset="0"/>
            </a:rPr>
            <a:t>BETA</a:t>
          </a:r>
        </a:p>
      </xdr:txBody>
    </xdr:sp>
    <xdr:clientData/>
  </xdr:twoCellAnchor>
  <xdr:twoCellAnchor editAs="oneCell">
    <xdr:from>
      <xdr:col>0</xdr:col>
      <xdr:colOff>6184</xdr:colOff>
      <xdr:row>19</xdr:row>
      <xdr:rowOff>0</xdr:rowOff>
    </xdr:from>
    <xdr:to>
      <xdr:col>5</xdr:col>
      <xdr:colOff>4073</xdr:colOff>
      <xdr:row>53</xdr:row>
      <xdr:rowOff>0</xdr:rowOff>
    </xdr:to>
    <xdr:pic>
      <xdr:nvPicPr>
        <xdr:cNvPr id="9" name="Picture 8" descr="Image result for UCL logo">
          <a:extLst>
            <a:ext uri="{FF2B5EF4-FFF2-40B4-BE49-F238E27FC236}">
              <a16:creationId xmlns:a16="http://schemas.microsoft.com/office/drawing/2014/main" id="{00000000-0008-0000-0B00-000009000000}"/>
            </a:ext>
          </a:extLst>
        </xdr:cNvPr>
        <xdr:cNvPicPr>
          <a:picLocks noChangeAspect="1" noChangeArrowheads="1"/>
        </xdr:cNvPicPr>
      </xdr:nvPicPr>
      <xdr:blipFill rotWithShape="1">
        <a:blip xmlns:r="http://schemas.openxmlformats.org/officeDocument/2006/relationships" r:embed="rId2">
          <a:duotone>
            <a:schemeClr val="accent3">
              <a:shade val="45000"/>
              <a:satMod val="135000"/>
            </a:schemeClr>
            <a:prstClr val="white"/>
          </a:duotone>
          <a:extLst>
            <a:ext uri="{BEBA8EAE-BF5A-486C-A8C5-ECC9F3942E4B}">
              <a14:imgProps xmlns:a14="http://schemas.microsoft.com/office/drawing/2010/main">
                <a14:imgLayer r:embed="rId3">
                  <a14:imgEffect>
                    <a14:sharpenSoften amount="50000"/>
                  </a14:imgEffect>
                  <a14:imgEffect>
                    <a14:saturation sat="0"/>
                  </a14:imgEffect>
                  <a14:imgEffect>
                    <a14:brightnessContrast bright="-40000" contrast="40000"/>
                  </a14:imgEffect>
                </a14:imgLayer>
              </a14:imgProps>
            </a:ext>
            <a:ext uri="{28A0092B-C50C-407E-A947-70E740481C1C}">
              <a14:useLocalDpi xmlns:a14="http://schemas.microsoft.com/office/drawing/2010/main" val="0"/>
            </a:ext>
          </a:extLst>
        </a:blip>
        <a:srcRect l="13677"/>
        <a:stretch/>
      </xdr:blipFill>
      <xdr:spPr bwMode="auto">
        <a:xfrm rot="16200000">
          <a:off x="-2109726" y="5735410"/>
          <a:ext cx="6477000" cy="22451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15586</xdr:colOff>
      <xdr:row>51</xdr:row>
      <xdr:rowOff>0</xdr:rowOff>
    </xdr:from>
    <xdr:to>
      <xdr:col>5</xdr:col>
      <xdr:colOff>0</xdr:colOff>
      <xdr:row>53</xdr:row>
      <xdr:rowOff>0</xdr:rowOff>
    </xdr:to>
    <xdr:sp macro="" textlink="">
      <xdr:nvSpPr>
        <xdr:cNvPr id="10" name="TextBox 9">
          <a:extLst>
            <a:ext uri="{FF2B5EF4-FFF2-40B4-BE49-F238E27FC236}">
              <a16:creationId xmlns:a16="http://schemas.microsoft.com/office/drawing/2014/main" id="{00000000-0008-0000-0B00-00000A000000}"/>
            </a:ext>
          </a:extLst>
        </xdr:cNvPr>
        <xdr:cNvSpPr txBox="1"/>
      </xdr:nvSpPr>
      <xdr:spPr>
        <a:xfrm>
          <a:off x="15586" y="9715500"/>
          <a:ext cx="2235778"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chemeClr val="bg1"/>
              </a:solidFill>
            </a:rPr>
            <a:t>© 2016 Expedition Engineering Ltd.</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8</xdr:col>
      <xdr:colOff>0</xdr:colOff>
      <xdr:row>0</xdr:row>
      <xdr:rowOff>0</xdr:rowOff>
    </xdr:from>
    <xdr:to>
      <xdr:col>20</xdr:col>
      <xdr:colOff>0</xdr:colOff>
      <xdr:row>3</xdr:row>
      <xdr:rowOff>0</xdr:rowOff>
    </xdr:to>
    <xdr:sp macro="" textlink="">
      <xdr:nvSpPr>
        <xdr:cNvPr id="5" name="TextBox 4">
          <a:extLst>
            <a:ext uri="{FF2B5EF4-FFF2-40B4-BE49-F238E27FC236}">
              <a16:creationId xmlns:a16="http://schemas.microsoft.com/office/drawing/2014/main" id="{00000000-0008-0000-0D00-000005000000}"/>
            </a:ext>
          </a:extLst>
        </xdr:cNvPr>
        <xdr:cNvSpPr txBox="1"/>
      </xdr:nvSpPr>
      <xdr:spPr>
        <a:xfrm>
          <a:off x="3989294" y="0"/>
          <a:ext cx="6992471"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2400" i="0">
              <a:solidFill>
                <a:schemeClr val="tx2"/>
              </a:solidFill>
              <a:latin typeface="Arial" panose="020B0604020202020204" pitchFamily="34" charset="0"/>
              <a:cs typeface="Arial" panose="020B0604020202020204" pitchFamily="34" charset="0"/>
            </a:rPr>
            <a:t>results</a:t>
          </a:r>
        </a:p>
      </xdr:txBody>
    </xdr:sp>
    <xdr:clientData/>
  </xdr:twoCellAnchor>
  <xdr:twoCellAnchor>
    <xdr:from>
      <xdr:col>11</xdr:col>
      <xdr:colOff>0</xdr:colOff>
      <xdr:row>13</xdr:row>
      <xdr:rowOff>0</xdr:rowOff>
    </xdr:from>
    <xdr:to>
      <xdr:col>21</xdr:col>
      <xdr:colOff>0</xdr:colOff>
      <xdr:row>22</xdr:row>
      <xdr:rowOff>0</xdr:rowOff>
    </xdr:to>
    <xdr:graphicFrame macro="">
      <xdr:nvGraphicFramePr>
        <xdr:cNvPr id="11" name="Chart 10">
          <a:extLst>
            <a:ext uri="{FF2B5EF4-FFF2-40B4-BE49-F238E27FC236}">
              <a16:creationId xmlns:a16="http://schemas.microsoft.com/office/drawing/2014/main" id="{00000000-0008-0000-0D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585106</xdr:colOff>
      <xdr:row>4</xdr:row>
      <xdr:rowOff>0</xdr:rowOff>
    </xdr:from>
    <xdr:to>
      <xdr:col>18</xdr:col>
      <xdr:colOff>0</xdr:colOff>
      <xdr:row>7</xdr:row>
      <xdr:rowOff>0</xdr:rowOff>
    </xdr:to>
    <xdr:sp macro="" textlink="">
      <xdr:nvSpPr>
        <xdr:cNvPr id="16" name="TextBox 15">
          <a:extLst>
            <a:ext uri="{FF2B5EF4-FFF2-40B4-BE49-F238E27FC236}">
              <a16:creationId xmlns:a16="http://schemas.microsoft.com/office/drawing/2014/main" id="{00000000-0008-0000-0D00-000010000000}"/>
            </a:ext>
          </a:extLst>
        </xdr:cNvPr>
        <xdr:cNvSpPr txBox="1"/>
      </xdr:nvSpPr>
      <xdr:spPr>
        <a:xfrm>
          <a:off x="4585606" y="762000"/>
          <a:ext cx="5265965"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0" i="0">
              <a:solidFill>
                <a:schemeClr val="tx2"/>
              </a:solidFill>
              <a:effectLst/>
              <a:latin typeface="Arial" panose="020B0604020202020204" pitchFamily="34" charset="0"/>
              <a:ea typeface="+mn-ea"/>
              <a:cs typeface="Arial" panose="020B0604020202020204" pitchFamily="34" charset="0"/>
            </a:rPr>
            <a:t>Review the 'year one' energy savings </a:t>
          </a:r>
          <a:r>
            <a:rPr lang="en-GB" sz="1000" b="0" i="0" baseline="0">
              <a:solidFill>
                <a:schemeClr val="tx2"/>
              </a:solidFill>
              <a:effectLst/>
              <a:latin typeface="Arial" panose="020B0604020202020204" pitchFamily="34" charset="0"/>
              <a:ea typeface="+mn-ea"/>
              <a:cs typeface="Arial" panose="020B0604020202020204" pitchFamily="34" charset="0"/>
            </a:rPr>
            <a:t>and the 25 year cost and carbon projections.</a:t>
          </a:r>
          <a:endParaRPr lang="en-GB" sz="1000" b="0" i="0">
            <a:solidFill>
              <a:schemeClr val="tx2"/>
            </a:solidFill>
            <a:latin typeface="Arial" panose="020B0604020202020204" pitchFamily="34" charset="0"/>
            <a:cs typeface="Arial" panose="020B0604020202020204" pitchFamily="34" charset="0"/>
          </a:endParaRPr>
        </a:p>
      </xdr:txBody>
    </xdr:sp>
    <xdr:clientData/>
  </xdr:twoCellAnchor>
  <xdr:twoCellAnchor>
    <xdr:from>
      <xdr:col>11</xdr:col>
      <xdr:colOff>0</xdr:colOff>
      <xdr:row>28</xdr:row>
      <xdr:rowOff>163286</xdr:rowOff>
    </xdr:from>
    <xdr:to>
      <xdr:col>21</xdr:col>
      <xdr:colOff>0</xdr:colOff>
      <xdr:row>37</xdr:row>
      <xdr:rowOff>163286</xdr:rowOff>
    </xdr:to>
    <xdr:graphicFrame macro="">
      <xdr:nvGraphicFramePr>
        <xdr:cNvPr id="6" name="Chart 5">
          <a:extLst>
            <a:ext uri="{FF2B5EF4-FFF2-40B4-BE49-F238E27FC236}">
              <a16:creationId xmlns:a16="http://schemas.microsoft.com/office/drawing/2014/main" id="{00000000-0008-0000-0D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11</xdr:row>
      <xdr:rowOff>114300</xdr:rowOff>
    </xdr:from>
    <xdr:to>
      <xdr:col>12</xdr:col>
      <xdr:colOff>0</xdr:colOff>
      <xdr:row>50</xdr:row>
      <xdr:rowOff>0</xdr:rowOff>
    </xdr:to>
    <xdr:graphicFrame macro="">
      <xdr:nvGraphicFramePr>
        <xdr:cNvPr id="2" name="Chart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0</xdr:row>
      <xdr:rowOff>0</xdr:rowOff>
    </xdr:from>
    <xdr:to>
      <xdr:col>24</xdr:col>
      <xdr:colOff>1</xdr:colOff>
      <xdr:row>3</xdr:row>
      <xdr:rowOff>0</xdr:rowOff>
    </xdr:to>
    <xdr:sp macro="" textlink="">
      <xdr:nvSpPr>
        <xdr:cNvPr id="7" name="TextBox 6">
          <a:extLst>
            <a:ext uri="{FF2B5EF4-FFF2-40B4-BE49-F238E27FC236}">
              <a16:creationId xmlns:a16="http://schemas.microsoft.com/office/drawing/2014/main" id="{00000000-0008-0000-0D00-000007000000}"/>
            </a:ext>
          </a:extLst>
        </xdr:cNvPr>
        <xdr:cNvSpPr txBox="1"/>
      </xdr:nvSpPr>
      <xdr:spPr>
        <a:xfrm>
          <a:off x="12192000" y="0"/>
          <a:ext cx="1170215"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2400" i="0">
              <a:solidFill>
                <a:schemeClr val="accent1"/>
              </a:solidFill>
              <a:latin typeface="Arial" panose="020B0604020202020204" pitchFamily="34" charset="0"/>
              <a:cs typeface="Arial" panose="020B0604020202020204" pitchFamily="34" charset="0"/>
            </a:rPr>
            <a:t>BETA</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4</xdr:col>
      <xdr:colOff>236270</xdr:colOff>
      <xdr:row>53</xdr:row>
      <xdr:rowOff>0</xdr:rowOff>
    </xdr:to>
    <xdr:pic>
      <xdr:nvPicPr>
        <xdr:cNvPr id="8" name="Picture 7" descr="Image result for UCL logo">
          <a:extLst>
            <a:ext uri="{FF2B5EF4-FFF2-40B4-BE49-F238E27FC236}">
              <a16:creationId xmlns:a16="http://schemas.microsoft.com/office/drawing/2014/main" id="{00000000-0008-0000-0F00-000008000000}"/>
            </a:ext>
          </a:extLst>
        </xdr:cNvPr>
        <xdr:cNvPicPr>
          <a:picLocks noChangeAspect="1" noChangeArrowheads="1"/>
        </xdr:cNvPicPr>
      </xdr:nvPicPr>
      <xdr:blipFill rotWithShape="1">
        <a:blip xmlns:r="http://schemas.openxmlformats.org/officeDocument/2006/relationships" r:embed="rId1">
          <a:duotone>
            <a:schemeClr val="accent6">
              <a:shade val="45000"/>
              <a:satMod val="135000"/>
            </a:schemeClr>
            <a:prstClr val="white"/>
          </a:duotone>
          <a:extLst>
            <a:ext uri="{BEBA8EAE-BF5A-486C-A8C5-ECC9F3942E4B}">
              <a14:imgProps xmlns:a14="http://schemas.microsoft.com/office/drawing/2010/main">
                <a14:imgLayer r:embed="rId2">
                  <a14:imgEffect>
                    <a14:sharpenSoften amount="50000"/>
                  </a14:imgEffect>
                  <a14:imgEffect>
                    <a14:saturation sat="0"/>
                  </a14:imgEffect>
                  <a14:imgEffect>
                    <a14:brightnessContrast bright="-40000" contrast="40000"/>
                  </a14:imgEffect>
                </a14:imgLayer>
              </a14:imgProps>
            </a:ext>
            <a:ext uri="{28A0092B-C50C-407E-A947-70E740481C1C}">
              <a14:useLocalDpi xmlns:a14="http://schemas.microsoft.com/office/drawing/2010/main" val="0"/>
            </a:ext>
          </a:extLst>
        </a:blip>
        <a:srcRect l="13677"/>
        <a:stretch/>
      </xdr:blipFill>
      <xdr:spPr bwMode="auto">
        <a:xfrm rot="16200000">
          <a:off x="-2120240" y="5739740"/>
          <a:ext cx="6477000" cy="2236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4</xdr:row>
      <xdr:rowOff>0</xdr:rowOff>
    </xdr:from>
    <xdr:to>
      <xdr:col>14</xdr:col>
      <xdr:colOff>0</xdr:colOff>
      <xdr:row>5</xdr:row>
      <xdr:rowOff>95250</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4585607" y="762000"/>
          <a:ext cx="499382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0" i="0">
              <a:solidFill>
                <a:schemeClr val="tx2"/>
              </a:solidFill>
              <a:effectLst/>
              <a:latin typeface="Arial" panose="020B0604020202020204" pitchFamily="34" charset="0"/>
              <a:ea typeface="+mn-ea"/>
              <a:cs typeface="Arial" panose="020B0604020202020204" pitchFamily="34" charset="0"/>
            </a:rPr>
            <a:t>The tables below can</a:t>
          </a:r>
          <a:r>
            <a:rPr lang="en-GB" sz="1000" b="0" i="0" baseline="0">
              <a:solidFill>
                <a:schemeClr val="tx2"/>
              </a:solidFill>
              <a:effectLst/>
              <a:latin typeface="Arial" panose="020B0604020202020204" pitchFamily="34" charset="0"/>
              <a:ea typeface="+mn-ea"/>
              <a:cs typeface="Arial" panose="020B0604020202020204" pitchFamily="34" charset="0"/>
            </a:rPr>
            <a:t> be copied and pasted into your business case reports.</a:t>
          </a:r>
          <a:endParaRPr lang="en-GB" sz="1000" b="0" i="0">
            <a:solidFill>
              <a:schemeClr val="tx2"/>
            </a:solidFill>
            <a:latin typeface="Arial" panose="020B0604020202020204" pitchFamily="34" charset="0"/>
            <a:cs typeface="Arial" panose="020B0604020202020204" pitchFamily="34" charset="0"/>
          </a:endParaRPr>
        </a:p>
      </xdr:txBody>
    </xdr:sp>
    <xdr:clientData/>
  </xdr:twoCellAnchor>
  <xdr:twoCellAnchor>
    <xdr:from>
      <xdr:col>9</xdr:col>
      <xdr:colOff>0</xdr:colOff>
      <xdr:row>0</xdr:row>
      <xdr:rowOff>0</xdr:rowOff>
    </xdr:from>
    <xdr:to>
      <xdr:col>23</xdr:col>
      <xdr:colOff>0</xdr:colOff>
      <xdr:row>3</xdr:row>
      <xdr:rowOff>0</xdr:rowOff>
    </xdr:to>
    <xdr:sp macro="" textlink="">
      <xdr:nvSpPr>
        <xdr:cNvPr id="3" name="TextBox 2">
          <a:extLst>
            <a:ext uri="{FF2B5EF4-FFF2-40B4-BE49-F238E27FC236}">
              <a16:creationId xmlns:a16="http://schemas.microsoft.com/office/drawing/2014/main" id="{00000000-0008-0000-0F00-000003000000}"/>
            </a:ext>
          </a:extLst>
        </xdr:cNvPr>
        <xdr:cNvSpPr txBox="1"/>
      </xdr:nvSpPr>
      <xdr:spPr>
        <a:xfrm>
          <a:off x="4572000" y="0"/>
          <a:ext cx="8715375"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2400" i="0">
              <a:solidFill>
                <a:schemeClr val="tx2"/>
              </a:solidFill>
              <a:latin typeface="Arial" panose="020B0604020202020204" pitchFamily="34" charset="0"/>
              <a:cs typeface="Arial" panose="020B0604020202020204" pitchFamily="34" charset="0"/>
            </a:rPr>
            <a:t>copy</a:t>
          </a:r>
          <a:r>
            <a:rPr lang="en-GB" sz="2400" i="0" baseline="0">
              <a:solidFill>
                <a:schemeClr val="tx2"/>
              </a:solidFill>
              <a:latin typeface="Arial" panose="020B0604020202020204" pitchFamily="34" charset="0"/>
              <a:cs typeface="Arial" panose="020B0604020202020204" pitchFamily="34" charset="0"/>
            </a:rPr>
            <a:t> and paste tables</a:t>
          </a:r>
          <a:endParaRPr lang="en-GB" sz="2400" i="0">
            <a:solidFill>
              <a:schemeClr val="tx2"/>
            </a:solidFill>
            <a:latin typeface="Arial" panose="020B0604020202020204" pitchFamily="34" charset="0"/>
            <a:cs typeface="Arial" panose="020B0604020202020204" pitchFamily="34" charset="0"/>
          </a:endParaRPr>
        </a:p>
      </xdr:txBody>
    </xdr:sp>
    <xdr:clientData/>
  </xdr:twoCellAnchor>
  <xdr:twoCellAnchor>
    <xdr:from>
      <xdr:col>0</xdr:col>
      <xdr:colOff>0</xdr:colOff>
      <xdr:row>51</xdr:row>
      <xdr:rowOff>0</xdr:rowOff>
    </xdr:from>
    <xdr:to>
      <xdr:col>5</xdr:col>
      <xdr:colOff>0</xdr:colOff>
      <xdr:row>53</xdr:row>
      <xdr:rowOff>0</xdr:rowOff>
    </xdr:to>
    <xdr:sp macro="" textlink="">
      <xdr:nvSpPr>
        <xdr:cNvPr id="6" name="TextBox 5">
          <a:extLst>
            <a:ext uri="{FF2B5EF4-FFF2-40B4-BE49-F238E27FC236}">
              <a16:creationId xmlns:a16="http://schemas.microsoft.com/office/drawing/2014/main" id="{00000000-0008-0000-0F00-000006000000}"/>
            </a:ext>
          </a:extLst>
        </xdr:cNvPr>
        <xdr:cNvSpPr txBox="1"/>
      </xdr:nvSpPr>
      <xdr:spPr>
        <a:xfrm>
          <a:off x="0" y="9715500"/>
          <a:ext cx="2245179"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chemeClr val="bg1"/>
              </a:solidFill>
            </a:rPr>
            <a:t>© 2016 Expedition Engineering Ltd.</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8</xdr:col>
      <xdr:colOff>0</xdr:colOff>
      <xdr:row>0</xdr:row>
      <xdr:rowOff>0</xdr:rowOff>
    </xdr:from>
    <xdr:to>
      <xdr:col>19</xdr:col>
      <xdr:colOff>556292</xdr:colOff>
      <xdr:row>3</xdr:row>
      <xdr:rowOff>0</xdr:rowOff>
    </xdr:to>
    <xdr:sp macro="" textlink="">
      <xdr:nvSpPr>
        <xdr:cNvPr id="14" name="TextBox 13">
          <a:extLst>
            <a:ext uri="{FF2B5EF4-FFF2-40B4-BE49-F238E27FC236}">
              <a16:creationId xmlns:a16="http://schemas.microsoft.com/office/drawing/2014/main" id="{00000000-0008-0000-1000-00000E000000}"/>
            </a:ext>
          </a:extLst>
        </xdr:cNvPr>
        <xdr:cNvSpPr txBox="1"/>
      </xdr:nvSpPr>
      <xdr:spPr>
        <a:xfrm>
          <a:off x="4000500" y="0"/>
          <a:ext cx="9115185"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2400" i="0">
              <a:solidFill>
                <a:schemeClr val="tx2"/>
              </a:solidFill>
              <a:latin typeface="Arial" panose="020B0604020202020204" pitchFamily="34" charset="0"/>
              <a:cs typeface="Arial" panose="020B0604020202020204" pitchFamily="34" charset="0"/>
            </a:rPr>
            <a:t>exploring alternative options at RIBA Stage 2</a:t>
          </a:r>
        </a:p>
      </xdr:txBody>
    </xdr:sp>
    <xdr:clientData/>
  </xdr:twoCellAnchor>
  <xdr:twoCellAnchor>
    <xdr:from>
      <xdr:col>21</xdr:col>
      <xdr:colOff>0</xdr:colOff>
      <xdr:row>0</xdr:row>
      <xdr:rowOff>0</xdr:rowOff>
    </xdr:from>
    <xdr:to>
      <xdr:col>22</xdr:col>
      <xdr:colOff>581397</xdr:colOff>
      <xdr:row>3</xdr:row>
      <xdr:rowOff>0</xdr:rowOff>
    </xdr:to>
    <xdr:sp macro="" textlink="">
      <xdr:nvSpPr>
        <xdr:cNvPr id="6" name="TextBox 5">
          <a:extLst>
            <a:ext uri="{FF2B5EF4-FFF2-40B4-BE49-F238E27FC236}">
              <a16:creationId xmlns:a16="http://schemas.microsoft.com/office/drawing/2014/main" id="{00000000-0008-0000-1000-000006000000}"/>
            </a:ext>
          </a:extLst>
        </xdr:cNvPr>
        <xdr:cNvSpPr txBox="1"/>
      </xdr:nvSpPr>
      <xdr:spPr>
        <a:xfrm>
          <a:off x="14962909" y="0"/>
          <a:ext cx="1170215"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2400" i="0">
              <a:solidFill>
                <a:schemeClr val="accent1"/>
              </a:solidFill>
              <a:latin typeface="Arial" panose="020B0604020202020204" pitchFamily="34" charset="0"/>
              <a:cs typeface="Arial" panose="020B0604020202020204" pitchFamily="34" charset="0"/>
            </a:rPr>
            <a:t>BETA</a:t>
          </a:r>
        </a:p>
      </xdr:txBody>
    </xdr:sp>
    <xdr:clientData/>
  </xdr:twoCellAnchor>
  <xdr:twoCellAnchor>
    <xdr:from>
      <xdr:col>18</xdr:col>
      <xdr:colOff>0</xdr:colOff>
      <xdr:row>10</xdr:row>
      <xdr:rowOff>0</xdr:rowOff>
    </xdr:from>
    <xdr:to>
      <xdr:col>24</xdr:col>
      <xdr:colOff>0</xdr:colOff>
      <xdr:row>39</xdr:row>
      <xdr:rowOff>0</xdr:rowOff>
    </xdr:to>
    <xdr:graphicFrame macro="">
      <xdr:nvGraphicFramePr>
        <xdr:cNvPr id="7" name="Chart 6">
          <a:extLst>
            <a:ext uri="{FF2B5EF4-FFF2-40B4-BE49-F238E27FC236}">
              <a16:creationId xmlns:a16="http://schemas.microsoft.com/office/drawing/2014/main" id="{00000000-0008-0000-1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19</xdr:row>
      <xdr:rowOff>1</xdr:rowOff>
    </xdr:from>
    <xdr:to>
      <xdr:col>4</xdr:col>
      <xdr:colOff>236270</xdr:colOff>
      <xdr:row>53</xdr:row>
      <xdr:rowOff>1</xdr:rowOff>
    </xdr:to>
    <xdr:pic>
      <xdr:nvPicPr>
        <xdr:cNvPr id="8" name="Picture 7" descr="Image result for UCL logo">
          <a:extLst>
            <a:ext uri="{FF2B5EF4-FFF2-40B4-BE49-F238E27FC236}">
              <a16:creationId xmlns:a16="http://schemas.microsoft.com/office/drawing/2014/main" id="{00000000-0008-0000-1000-000008000000}"/>
            </a:ext>
          </a:extLst>
        </xdr:cNvPr>
        <xdr:cNvPicPr>
          <a:picLocks noChangeAspect="1" noChangeArrowheads="1"/>
        </xdr:cNvPicPr>
      </xdr:nvPicPr>
      <xdr:blipFill rotWithShape="1">
        <a:blip xmlns:r="http://schemas.openxmlformats.org/officeDocument/2006/relationships" r:embed="rId2">
          <a:duotone>
            <a:schemeClr val="accent6">
              <a:shade val="45000"/>
              <a:satMod val="135000"/>
            </a:schemeClr>
            <a:prstClr val="white"/>
          </a:duotone>
          <a:extLst>
            <a:ext uri="{BEBA8EAE-BF5A-486C-A8C5-ECC9F3942E4B}">
              <a14:imgProps xmlns:a14="http://schemas.microsoft.com/office/drawing/2010/main">
                <a14:imgLayer r:embed="rId3">
                  <a14:imgEffect>
                    <a14:sharpenSoften amount="50000"/>
                  </a14:imgEffect>
                  <a14:imgEffect>
                    <a14:saturation sat="0"/>
                  </a14:imgEffect>
                  <a14:imgEffect>
                    <a14:brightnessContrast bright="-40000" contrast="40000"/>
                  </a14:imgEffect>
                </a14:imgLayer>
              </a14:imgProps>
            </a:ext>
            <a:ext uri="{28A0092B-C50C-407E-A947-70E740481C1C}">
              <a14:useLocalDpi xmlns:a14="http://schemas.microsoft.com/office/drawing/2010/main" val="0"/>
            </a:ext>
          </a:extLst>
        </a:blip>
        <a:srcRect l="13677"/>
        <a:stretch/>
      </xdr:blipFill>
      <xdr:spPr bwMode="auto">
        <a:xfrm rot="16200000">
          <a:off x="-2115910" y="5735411"/>
          <a:ext cx="6477000" cy="22451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51</xdr:row>
      <xdr:rowOff>0</xdr:rowOff>
    </xdr:from>
    <xdr:to>
      <xdr:col>5</xdr:col>
      <xdr:colOff>0</xdr:colOff>
      <xdr:row>53</xdr:row>
      <xdr:rowOff>0</xdr:rowOff>
    </xdr:to>
    <xdr:sp macro="" textlink="">
      <xdr:nvSpPr>
        <xdr:cNvPr id="9" name="TextBox 8">
          <a:extLst>
            <a:ext uri="{FF2B5EF4-FFF2-40B4-BE49-F238E27FC236}">
              <a16:creationId xmlns:a16="http://schemas.microsoft.com/office/drawing/2014/main" id="{00000000-0008-0000-1000-000009000000}"/>
            </a:ext>
          </a:extLst>
        </xdr:cNvPr>
        <xdr:cNvSpPr txBox="1"/>
      </xdr:nvSpPr>
      <xdr:spPr>
        <a:xfrm>
          <a:off x="0" y="9715500"/>
          <a:ext cx="2251364"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chemeClr val="bg1"/>
              </a:solidFill>
            </a:rPr>
            <a:t>© 2016 Expedition Engineering Ltd.</a:t>
          </a:r>
        </a:p>
      </xdr:txBody>
    </xdr:sp>
    <xdr:clientData/>
  </xdr:twoCellAnchor>
  <xdr:twoCellAnchor>
    <xdr:from>
      <xdr:col>8</xdr:col>
      <xdr:colOff>27216</xdr:colOff>
      <xdr:row>3</xdr:row>
      <xdr:rowOff>0</xdr:rowOff>
    </xdr:from>
    <xdr:to>
      <xdr:col>20</xdr:col>
      <xdr:colOff>0</xdr:colOff>
      <xdr:row>8</xdr:row>
      <xdr:rowOff>0</xdr:rowOff>
    </xdr:to>
    <xdr:sp macro="" textlink="">
      <xdr:nvSpPr>
        <xdr:cNvPr id="10" name="TextBox 9">
          <a:extLst>
            <a:ext uri="{FF2B5EF4-FFF2-40B4-BE49-F238E27FC236}">
              <a16:creationId xmlns:a16="http://schemas.microsoft.com/office/drawing/2014/main" id="{63636B90-4EC3-4947-B024-B55B9E19D47D}"/>
            </a:ext>
          </a:extLst>
        </xdr:cNvPr>
        <xdr:cNvSpPr txBox="1"/>
      </xdr:nvSpPr>
      <xdr:spPr>
        <a:xfrm>
          <a:off x="4027716" y="571500"/>
          <a:ext cx="10286998" cy="95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100" b="0" i="0" baseline="0">
              <a:solidFill>
                <a:schemeClr val="tx2"/>
              </a:solidFill>
              <a:effectLst/>
              <a:latin typeface="Arial" panose="020B0604020202020204" pitchFamily="34" charset="0"/>
              <a:ea typeface="+mn-ea"/>
              <a:cs typeface="Arial" panose="020B0604020202020204" pitchFamily="34" charset="0"/>
            </a:rPr>
            <a:t>Use this tool to explore alternative design proposals</a:t>
          </a:r>
          <a:r>
            <a:rPr lang="en-GB" sz="1100" i="0">
              <a:solidFill>
                <a:schemeClr val="tx2"/>
              </a:solidFill>
              <a:effectLst/>
              <a:latin typeface="Arial" panose="020B0604020202020204" pitchFamily="34" charset="0"/>
              <a:ea typeface="+mn-ea"/>
              <a:cs typeface="Arial" panose="020B0604020202020204" pitchFamily="34" charset="0"/>
            </a:rPr>
            <a:t>. Enter the energy use of the options, select their energy source and define their costs. Two options can be compared against a Base Case. The tool illustrates </a:t>
          </a:r>
          <a:r>
            <a:rPr lang="en-GB" sz="1100" i="0" baseline="0">
              <a:solidFill>
                <a:schemeClr val="tx2"/>
              </a:solidFill>
              <a:effectLst/>
              <a:latin typeface="Arial" panose="020B0604020202020204" pitchFamily="34" charset="0"/>
              <a:ea typeface="+mn-ea"/>
              <a:cs typeface="Arial" panose="020B0604020202020204" pitchFamily="34" charset="0"/>
            </a:rPr>
            <a:t>the cumulative net present value (NPV) for each option and automatically generates payback periods to help with the decision making process. </a:t>
          </a:r>
          <a:r>
            <a:rPr kumimoji="0" lang="en-GB" sz="1100" b="0" i="0" u="none" strike="noStrike" kern="0" cap="none" spc="0" normalizeH="0" baseline="0" noProof="0">
              <a:ln>
                <a:noFill/>
              </a:ln>
              <a:solidFill>
                <a:srgbClr val="8C8278"/>
              </a:solidFill>
              <a:effectLst/>
              <a:uLnTx/>
              <a:uFillTx/>
              <a:latin typeface="Arial" panose="020B0604020202020204" pitchFamily="34" charset="0"/>
              <a:ea typeface="+mn-ea"/>
              <a:cs typeface="Arial" panose="020B0604020202020204" pitchFamily="34" charset="0"/>
            </a:rPr>
            <a:t>Note: if you wish to group a series energy savings together use separate bespoke to tools for savings associated with different energy sources. </a:t>
          </a:r>
          <a:endParaRPr lang="en-GB" sz="1100" i="0">
            <a:solidFill>
              <a:schemeClr val="tx2"/>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8</xdr:col>
      <xdr:colOff>1</xdr:colOff>
      <xdr:row>0</xdr:row>
      <xdr:rowOff>0</xdr:rowOff>
    </xdr:from>
    <xdr:to>
      <xdr:col>24</xdr:col>
      <xdr:colOff>1</xdr:colOff>
      <xdr:row>3</xdr:row>
      <xdr:rowOff>0</xdr:rowOff>
    </xdr:to>
    <xdr:sp macro="" textlink="">
      <xdr:nvSpPr>
        <xdr:cNvPr id="3" name="TextBox 2">
          <a:extLst>
            <a:ext uri="{FF2B5EF4-FFF2-40B4-BE49-F238E27FC236}">
              <a16:creationId xmlns:a16="http://schemas.microsoft.com/office/drawing/2014/main" id="{00000000-0008-0000-1100-000003000000}"/>
            </a:ext>
          </a:extLst>
        </xdr:cNvPr>
        <xdr:cNvSpPr txBox="1"/>
      </xdr:nvSpPr>
      <xdr:spPr>
        <a:xfrm>
          <a:off x="4000501" y="0"/>
          <a:ext cx="9361714"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2400" i="0">
              <a:solidFill>
                <a:schemeClr val="tx2"/>
              </a:solidFill>
              <a:latin typeface="Arial" panose="020B0604020202020204" pitchFamily="34" charset="0"/>
              <a:cs typeface="Arial" panose="020B0604020202020204" pitchFamily="34" charset="0"/>
            </a:rPr>
            <a:t>documenting</a:t>
          </a:r>
          <a:r>
            <a:rPr lang="en-GB" sz="2400" i="0" baseline="0">
              <a:solidFill>
                <a:schemeClr val="tx2"/>
              </a:solidFill>
              <a:latin typeface="Arial" panose="020B0604020202020204" pitchFamily="34" charset="0"/>
              <a:cs typeface="Arial" panose="020B0604020202020204" pitchFamily="34" charset="0"/>
            </a:rPr>
            <a:t> energy modelling at RIBA Stage 3+</a:t>
          </a:r>
          <a:endParaRPr lang="en-GB" sz="2400" i="0">
            <a:solidFill>
              <a:schemeClr val="tx2"/>
            </a:solidFill>
            <a:latin typeface="Arial" panose="020B0604020202020204" pitchFamily="34" charset="0"/>
            <a:cs typeface="Arial" panose="020B0604020202020204" pitchFamily="34" charset="0"/>
          </a:endParaRPr>
        </a:p>
      </xdr:txBody>
    </xdr:sp>
    <xdr:clientData/>
  </xdr:twoCellAnchor>
  <xdr:twoCellAnchor>
    <xdr:from>
      <xdr:col>9</xdr:col>
      <xdr:colOff>0</xdr:colOff>
      <xdr:row>4</xdr:row>
      <xdr:rowOff>0</xdr:rowOff>
    </xdr:from>
    <xdr:to>
      <xdr:col>20</xdr:col>
      <xdr:colOff>0</xdr:colOff>
      <xdr:row>7</xdr:row>
      <xdr:rowOff>0</xdr:rowOff>
    </xdr:to>
    <xdr:sp macro="" textlink="">
      <xdr:nvSpPr>
        <xdr:cNvPr id="5" name="TextBox 4">
          <a:extLst>
            <a:ext uri="{FF2B5EF4-FFF2-40B4-BE49-F238E27FC236}">
              <a16:creationId xmlns:a16="http://schemas.microsoft.com/office/drawing/2014/main" id="{00000000-0008-0000-1100-000005000000}"/>
            </a:ext>
          </a:extLst>
        </xdr:cNvPr>
        <xdr:cNvSpPr txBox="1"/>
      </xdr:nvSpPr>
      <xdr:spPr>
        <a:xfrm>
          <a:off x="4585607" y="762000"/>
          <a:ext cx="6436179"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0" i="0">
              <a:solidFill>
                <a:schemeClr val="tx2"/>
              </a:solidFill>
              <a:effectLst/>
              <a:latin typeface="Arial" panose="020B0604020202020204" pitchFamily="34" charset="0"/>
              <a:ea typeface="+mn-ea"/>
              <a:cs typeface="Arial" panose="020B0604020202020204" pitchFamily="34" charset="0"/>
            </a:rPr>
            <a:t>Use CIBSE Guide TM54 or similar to calculate operational energy use and enter the values below.</a:t>
          </a:r>
          <a:endParaRPr lang="en-GB" sz="1000" b="0" i="0">
            <a:solidFill>
              <a:schemeClr val="tx2"/>
            </a:solidFill>
            <a:latin typeface="Arial" panose="020B0604020202020204" pitchFamily="34" charset="0"/>
            <a:cs typeface="Arial" panose="020B0604020202020204" pitchFamily="34" charset="0"/>
          </a:endParaRPr>
        </a:p>
      </xdr:txBody>
    </xdr:sp>
    <xdr:clientData/>
  </xdr:twoCellAnchor>
  <xdr:twoCellAnchor>
    <xdr:from>
      <xdr:col>22</xdr:col>
      <xdr:colOff>0</xdr:colOff>
      <xdr:row>0</xdr:row>
      <xdr:rowOff>0</xdr:rowOff>
    </xdr:from>
    <xdr:to>
      <xdr:col>24</xdr:col>
      <xdr:colOff>1</xdr:colOff>
      <xdr:row>3</xdr:row>
      <xdr:rowOff>0</xdr:rowOff>
    </xdr:to>
    <xdr:sp macro="" textlink="">
      <xdr:nvSpPr>
        <xdr:cNvPr id="6" name="TextBox 5">
          <a:extLst>
            <a:ext uri="{FF2B5EF4-FFF2-40B4-BE49-F238E27FC236}">
              <a16:creationId xmlns:a16="http://schemas.microsoft.com/office/drawing/2014/main" id="{00000000-0008-0000-1100-000006000000}"/>
            </a:ext>
          </a:extLst>
        </xdr:cNvPr>
        <xdr:cNvSpPr txBox="1"/>
      </xdr:nvSpPr>
      <xdr:spPr>
        <a:xfrm>
          <a:off x="12192000" y="0"/>
          <a:ext cx="1170215"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2400" i="0">
              <a:solidFill>
                <a:schemeClr val="accent1"/>
              </a:solidFill>
              <a:latin typeface="Arial" panose="020B0604020202020204" pitchFamily="34" charset="0"/>
              <a:cs typeface="Arial" panose="020B0604020202020204" pitchFamily="34" charset="0"/>
            </a:rPr>
            <a:t>BETA</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8</xdr:col>
      <xdr:colOff>0</xdr:colOff>
      <xdr:row>0</xdr:row>
      <xdr:rowOff>0</xdr:rowOff>
    </xdr:from>
    <xdr:to>
      <xdr:col>20</xdr:col>
      <xdr:colOff>0</xdr:colOff>
      <xdr:row>3</xdr:row>
      <xdr:rowOff>0</xdr:rowOff>
    </xdr:to>
    <xdr:sp macro="" textlink="">
      <xdr:nvSpPr>
        <xdr:cNvPr id="3" name="TextBox 2">
          <a:extLst>
            <a:ext uri="{FF2B5EF4-FFF2-40B4-BE49-F238E27FC236}">
              <a16:creationId xmlns:a16="http://schemas.microsoft.com/office/drawing/2014/main" id="{00000000-0008-0000-1200-000003000000}"/>
            </a:ext>
          </a:extLst>
        </xdr:cNvPr>
        <xdr:cNvSpPr txBox="1"/>
      </xdr:nvSpPr>
      <xdr:spPr>
        <a:xfrm>
          <a:off x="3989294" y="0"/>
          <a:ext cx="6992471"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2400" i="0">
              <a:solidFill>
                <a:schemeClr val="tx2"/>
              </a:solidFill>
              <a:latin typeface="Arial" panose="020B0604020202020204" pitchFamily="34" charset="0"/>
              <a:cs typeface="Arial" panose="020B0604020202020204" pitchFamily="34" charset="0"/>
            </a:rPr>
            <a:t>results</a:t>
          </a:r>
        </a:p>
      </xdr:txBody>
    </xdr:sp>
    <xdr:clientData/>
  </xdr:twoCellAnchor>
  <xdr:twoCellAnchor>
    <xdr:from>
      <xdr:col>9</xdr:col>
      <xdr:colOff>0</xdr:colOff>
      <xdr:row>4</xdr:row>
      <xdr:rowOff>0</xdr:rowOff>
    </xdr:from>
    <xdr:to>
      <xdr:col>20</xdr:col>
      <xdr:colOff>0</xdr:colOff>
      <xdr:row>7</xdr:row>
      <xdr:rowOff>0</xdr:rowOff>
    </xdr:to>
    <xdr:sp macro="" textlink="">
      <xdr:nvSpPr>
        <xdr:cNvPr id="9" name="TextBox 8">
          <a:extLst>
            <a:ext uri="{FF2B5EF4-FFF2-40B4-BE49-F238E27FC236}">
              <a16:creationId xmlns:a16="http://schemas.microsoft.com/office/drawing/2014/main" id="{00000000-0008-0000-1200-000009000000}"/>
            </a:ext>
          </a:extLst>
        </xdr:cNvPr>
        <xdr:cNvSpPr txBox="1"/>
      </xdr:nvSpPr>
      <xdr:spPr>
        <a:xfrm>
          <a:off x="4585607" y="762000"/>
          <a:ext cx="6436179"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0" i="0">
              <a:solidFill>
                <a:schemeClr val="tx2"/>
              </a:solidFill>
              <a:effectLst/>
              <a:latin typeface="Arial" panose="020B0604020202020204" pitchFamily="34" charset="0"/>
              <a:ea typeface="+mn-ea"/>
              <a:cs typeface="Arial" panose="020B0604020202020204" pitchFamily="34" charset="0"/>
            </a:rPr>
            <a:t>Review the 'year one' energy savings </a:t>
          </a:r>
          <a:r>
            <a:rPr lang="en-GB" sz="1000" b="0" i="0" baseline="0">
              <a:solidFill>
                <a:schemeClr val="tx2"/>
              </a:solidFill>
              <a:effectLst/>
              <a:latin typeface="Arial" panose="020B0604020202020204" pitchFamily="34" charset="0"/>
              <a:ea typeface="+mn-ea"/>
              <a:cs typeface="Arial" panose="020B0604020202020204" pitchFamily="34" charset="0"/>
            </a:rPr>
            <a:t>and the 25 year cost and carbon projections.</a:t>
          </a:r>
          <a:endParaRPr lang="en-GB" sz="1000" i="0">
            <a:solidFill>
              <a:schemeClr val="tx2"/>
            </a:solidFill>
            <a:effectLst/>
            <a:latin typeface="Arial" panose="020B0604020202020204" pitchFamily="34" charset="0"/>
            <a:cs typeface="Arial" panose="020B0604020202020204" pitchFamily="34" charset="0"/>
          </a:endParaRPr>
        </a:p>
      </xdr:txBody>
    </xdr:sp>
    <xdr:clientData/>
  </xdr:twoCellAnchor>
  <xdr:twoCellAnchor>
    <xdr:from>
      <xdr:col>6</xdr:col>
      <xdr:colOff>0</xdr:colOff>
      <xdr:row>11</xdr:row>
      <xdr:rowOff>114300</xdr:rowOff>
    </xdr:from>
    <xdr:to>
      <xdr:col>12</xdr:col>
      <xdr:colOff>33617</xdr:colOff>
      <xdr:row>50</xdr:row>
      <xdr:rowOff>0</xdr:rowOff>
    </xdr:to>
    <xdr:graphicFrame macro="">
      <xdr:nvGraphicFramePr>
        <xdr:cNvPr id="7" name="Chart 6">
          <a:extLst>
            <a:ext uri="{FF2B5EF4-FFF2-40B4-BE49-F238E27FC236}">
              <a16:creationId xmlns:a16="http://schemas.microsoft.com/office/drawing/2014/main" id="{00000000-0008-0000-1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13</xdr:row>
      <xdr:rowOff>0</xdr:rowOff>
    </xdr:from>
    <xdr:to>
      <xdr:col>21</xdr:col>
      <xdr:colOff>0</xdr:colOff>
      <xdr:row>22</xdr:row>
      <xdr:rowOff>0</xdr:rowOff>
    </xdr:to>
    <xdr:graphicFrame macro="">
      <xdr:nvGraphicFramePr>
        <xdr:cNvPr id="5" name="Chart 4">
          <a:extLst>
            <a:ext uri="{FF2B5EF4-FFF2-40B4-BE49-F238E27FC236}">
              <a16:creationId xmlns:a16="http://schemas.microsoft.com/office/drawing/2014/main" id="{00000000-0008-0000-1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xdr:colOff>
      <xdr:row>28</xdr:row>
      <xdr:rowOff>176893</xdr:rowOff>
    </xdr:from>
    <xdr:to>
      <xdr:col>21</xdr:col>
      <xdr:colOff>1</xdr:colOff>
      <xdr:row>37</xdr:row>
      <xdr:rowOff>176893</xdr:rowOff>
    </xdr:to>
    <xdr:graphicFrame macro="">
      <xdr:nvGraphicFramePr>
        <xdr:cNvPr id="6" name="Chart 5">
          <a:extLst>
            <a:ext uri="{FF2B5EF4-FFF2-40B4-BE49-F238E27FC236}">
              <a16:creationId xmlns:a16="http://schemas.microsoft.com/office/drawing/2014/main" id="{00000000-0008-0000-1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0</xdr:row>
      <xdr:rowOff>0</xdr:rowOff>
    </xdr:from>
    <xdr:to>
      <xdr:col>24</xdr:col>
      <xdr:colOff>1</xdr:colOff>
      <xdr:row>3</xdr:row>
      <xdr:rowOff>0</xdr:rowOff>
    </xdr:to>
    <xdr:sp macro="" textlink="">
      <xdr:nvSpPr>
        <xdr:cNvPr id="8" name="TextBox 7">
          <a:extLst>
            <a:ext uri="{FF2B5EF4-FFF2-40B4-BE49-F238E27FC236}">
              <a16:creationId xmlns:a16="http://schemas.microsoft.com/office/drawing/2014/main" id="{00000000-0008-0000-1200-000008000000}"/>
            </a:ext>
          </a:extLst>
        </xdr:cNvPr>
        <xdr:cNvSpPr txBox="1"/>
      </xdr:nvSpPr>
      <xdr:spPr>
        <a:xfrm>
          <a:off x="12192000" y="0"/>
          <a:ext cx="1170215"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2400" i="0">
              <a:solidFill>
                <a:schemeClr val="accent1"/>
              </a:solidFill>
              <a:latin typeface="Arial" panose="020B0604020202020204" pitchFamily="34" charset="0"/>
              <a:cs typeface="Arial" panose="020B0604020202020204" pitchFamily="34" charset="0"/>
            </a:rPr>
            <a:t>BETA</a:t>
          </a: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19</xdr:row>
      <xdr:rowOff>27215</xdr:rowOff>
    </xdr:from>
    <xdr:to>
      <xdr:col>4</xdr:col>
      <xdr:colOff>236270</xdr:colOff>
      <xdr:row>53</xdr:row>
      <xdr:rowOff>27215</xdr:rowOff>
    </xdr:to>
    <xdr:pic>
      <xdr:nvPicPr>
        <xdr:cNvPr id="7" name="Picture 6" descr="Image result for UCL logo">
          <a:extLst>
            <a:ext uri="{FF2B5EF4-FFF2-40B4-BE49-F238E27FC236}">
              <a16:creationId xmlns:a16="http://schemas.microsoft.com/office/drawing/2014/main" id="{00000000-0008-0000-1300-000007000000}"/>
            </a:ext>
          </a:extLst>
        </xdr:cNvPr>
        <xdr:cNvPicPr>
          <a:picLocks noChangeAspect="1" noChangeArrowheads="1"/>
        </xdr:cNvPicPr>
      </xdr:nvPicPr>
      <xdr:blipFill rotWithShape="1">
        <a:blip xmlns:r="http://schemas.openxmlformats.org/officeDocument/2006/relationships" r:embed="rId1">
          <a:duotone>
            <a:schemeClr val="accent6">
              <a:shade val="45000"/>
              <a:satMod val="135000"/>
            </a:schemeClr>
            <a:prstClr val="white"/>
          </a:duotone>
          <a:extLst>
            <a:ext uri="{BEBA8EAE-BF5A-486C-A8C5-ECC9F3942E4B}">
              <a14:imgProps xmlns:a14="http://schemas.microsoft.com/office/drawing/2010/main">
                <a14:imgLayer r:embed="rId2">
                  <a14:imgEffect>
                    <a14:sharpenSoften amount="50000"/>
                  </a14:imgEffect>
                  <a14:imgEffect>
                    <a14:saturation sat="0"/>
                  </a14:imgEffect>
                  <a14:imgEffect>
                    <a14:brightnessContrast bright="-40000" contrast="40000"/>
                  </a14:imgEffect>
                </a14:imgLayer>
              </a14:imgProps>
            </a:ext>
            <a:ext uri="{28A0092B-C50C-407E-A947-70E740481C1C}">
              <a14:useLocalDpi xmlns:a14="http://schemas.microsoft.com/office/drawing/2010/main" val="0"/>
            </a:ext>
          </a:extLst>
        </a:blip>
        <a:srcRect l="13677"/>
        <a:stretch/>
      </xdr:blipFill>
      <xdr:spPr bwMode="auto">
        <a:xfrm rot="16200000">
          <a:off x="-2120240" y="5766955"/>
          <a:ext cx="6477000" cy="2236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4</xdr:row>
      <xdr:rowOff>0</xdr:rowOff>
    </xdr:from>
    <xdr:to>
      <xdr:col>14</xdr:col>
      <xdr:colOff>0</xdr:colOff>
      <xdr:row>7</xdr:row>
      <xdr:rowOff>0</xdr:rowOff>
    </xdr:to>
    <xdr:sp macro="" textlink="">
      <xdr:nvSpPr>
        <xdr:cNvPr id="2" name="TextBox 1">
          <a:extLst>
            <a:ext uri="{FF2B5EF4-FFF2-40B4-BE49-F238E27FC236}">
              <a16:creationId xmlns:a16="http://schemas.microsoft.com/office/drawing/2014/main" id="{00000000-0008-0000-1300-000002000000}"/>
            </a:ext>
          </a:extLst>
        </xdr:cNvPr>
        <xdr:cNvSpPr txBox="1"/>
      </xdr:nvSpPr>
      <xdr:spPr>
        <a:xfrm>
          <a:off x="4572000" y="762000"/>
          <a:ext cx="4572000"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0" i="0">
              <a:solidFill>
                <a:schemeClr val="tx2"/>
              </a:solidFill>
              <a:effectLst/>
              <a:latin typeface="Arial" panose="020B0604020202020204" pitchFamily="34" charset="0"/>
              <a:ea typeface="+mn-ea"/>
              <a:cs typeface="Arial" panose="020B0604020202020204" pitchFamily="34" charset="0"/>
            </a:rPr>
            <a:t>The tables below can</a:t>
          </a:r>
          <a:r>
            <a:rPr lang="en-GB" sz="1000" b="0" i="0" baseline="0">
              <a:solidFill>
                <a:schemeClr val="tx2"/>
              </a:solidFill>
              <a:effectLst/>
              <a:latin typeface="Arial" panose="020B0604020202020204" pitchFamily="34" charset="0"/>
              <a:ea typeface="+mn-ea"/>
              <a:cs typeface="Arial" panose="020B0604020202020204" pitchFamily="34" charset="0"/>
            </a:rPr>
            <a:t> be copied and pasted into your business case reports.</a:t>
          </a:r>
          <a:endParaRPr lang="en-GB" sz="1000" b="0" i="0">
            <a:solidFill>
              <a:schemeClr val="tx2"/>
            </a:solidFill>
            <a:latin typeface="Arial" panose="020B0604020202020204" pitchFamily="34" charset="0"/>
            <a:cs typeface="Arial" panose="020B0604020202020204" pitchFamily="34" charset="0"/>
          </a:endParaRPr>
        </a:p>
      </xdr:txBody>
    </xdr:sp>
    <xdr:clientData/>
  </xdr:twoCellAnchor>
  <xdr:twoCellAnchor>
    <xdr:from>
      <xdr:col>9</xdr:col>
      <xdr:colOff>0</xdr:colOff>
      <xdr:row>0</xdr:row>
      <xdr:rowOff>0</xdr:rowOff>
    </xdr:from>
    <xdr:to>
      <xdr:col>23</xdr:col>
      <xdr:colOff>0</xdr:colOff>
      <xdr:row>3</xdr:row>
      <xdr:rowOff>0</xdr:rowOff>
    </xdr:to>
    <xdr:sp macro="" textlink="">
      <xdr:nvSpPr>
        <xdr:cNvPr id="3" name="TextBox 2">
          <a:extLst>
            <a:ext uri="{FF2B5EF4-FFF2-40B4-BE49-F238E27FC236}">
              <a16:creationId xmlns:a16="http://schemas.microsoft.com/office/drawing/2014/main" id="{00000000-0008-0000-1300-000003000000}"/>
            </a:ext>
          </a:extLst>
        </xdr:cNvPr>
        <xdr:cNvSpPr txBox="1"/>
      </xdr:nvSpPr>
      <xdr:spPr>
        <a:xfrm>
          <a:off x="4572000" y="0"/>
          <a:ext cx="9801225"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2400" i="0">
              <a:solidFill>
                <a:schemeClr val="tx2"/>
              </a:solidFill>
              <a:latin typeface="Arial" panose="020B0604020202020204" pitchFamily="34" charset="0"/>
              <a:cs typeface="Arial" panose="020B0604020202020204" pitchFamily="34" charset="0"/>
            </a:rPr>
            <a:t>copy</a:t>
          </a:r>
          <a:r>
            <a:rPr lang="en-GB" sz="2400" i="0" baseline="0">
              <a:solidFill>
                <a:schemeClr val="tx2"/>
              </a:solidFill>
              <a:latin typeface="Arial" panose="020B0604020202020204" pitchFamily="34" charset="0"/>
              <a:cs typeface="Arial" panose="020B0604020202020204" pitchFamily="34" charset="0"/>
            </a:rPr>
            <a:t> and paste tables</a:t>
          </a:r>
          <a:endParaRPr lang="en-GB" sz="2400" i="0">
            <a:solidFill>
              <a:schemeClr val="tx2"/>
            </a:solidFill>
            <a:latin typeface="Arial" panose="020B0604020202020204" pitchFamily="34" charset="0"/>
            <a:cs typeface="Arial" panose="020B0604020202020204" pitchFamily="34" charset="0"/>
          </a:endParaRPr>
        </a:p>
      </xdr:txBody>
    </xdr:sp>
    <xdr:clientData/>
  </xdr:twoCellAnchor>
  <xdr:twoCellAnchor>
    <xdr:from>
      <xdr:col>0</xdr:col>
      <xdr:colOff>0</xdr:colOff>
      <xdr:row>55</xdr:row>
      <xdr:rowOff>0</xdr:rowOff>
    </xdr:from>
    <xdr:to>
      <xdr:col>5</xdr:col>
      <xdr:colOff>0</xdr:colOff>
      <xdr:row>57</xdr:row>
      <xdr:rowOff>0</xdr:rowOff>
    </xdr:to>
    <xdr:sp macro="" textlink="">
      <xdr:nvSpPr>
        <xdr:cNvPr id="6" name="TextBox 5">
          <a:extLst>
            <a:ext uri="{FF2B5EF4-FFF2-40B4-BE49-F238E27FC236}">
              <a16:creationId xmlns:a16="http://schemas.microsoft.com/office/drawing/2014/main" id="{00000000-0008-0000-1300-000006000000}"/>
            </a:ext>
          </a:extLst>
        </xdr:cNvPr>
        <xdr:cNvSpPr txBox="1"/>
      </xdr:nvSpPr>
      <xdr:spPr>
        <a:xfrm>
          <a:off x="0" y="9715500"/>
          <a:ext cx="2245179"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chemeClr val="bg1"/>
              </a:solidFill>
            </a:rPr>
            <a:t>© 2016 Expedition Engineering Ltd.</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9</xdr:col>
      <xdr:colOff>0</xdr:colOff>
      <xdr:row>4</xdr:row>
      <xdr:rowOff>0</xdr:rowOff>
    </xdr:from>
    <xdr:to>
      <xdr:col>20</xdr:col>
      <xdr:colOff>1</xdr:colOff>
      <xdr:row>7</xdr:row>
      <xdr:rowOff>0</xdr:rowOff>
    </xdr:to>
    <xdr:sp macro="" textlink="">
      <xdr:nvSpPr>
        <xdr:cNvPr id="7" name="TextBox 6">
          <a:extLst>
            <a:ext uri="{FF2B5EF4-FFF2-40B4-BE49-F238E27FC236}">
              <a16:creationId xmlns:a16="http://schemas.microsoft.com/office/drawing/2014/main" id="{00000000-0008-0000-1400-000007000000}"/>
            </a:ext>
          </a:extLst>
        </xdr:cNvPr>
        <xdr:cNvSpPr txBox="1"/>
      </xdr:nvSpPr>
      <xdr:spPr>
        <a:xfrm>
          <a:off x="4610100" y="571500"/>
          <a:ext cx="6426201"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0" i="0">
              <a:solidFill>
                <a:schemeClr val="tx2"/>
              </a:solidFill>
              <a:effectLst/>
              <a:latin typeface="Arial" panose="020B0604020202020204" pitchFamily="34" charset="0"/>
              <a:ea typeface="+mn-ea"/>
              <a:cs typeface="Arial" panose="020B0604020202020204" pitchFamily="34" charset="0"/>
            </a:rPr>
            <a:t>Review and update the values used in the tool.</a:t>
          </a:r>
          <a:endParaRPr lang="en-GB" sz="1000" b="0" i="0">
            <a:solidFill>
              <a:schemeClr val="tx2"/>
            </a:solidFill>
            <a:latin typeface="Arial" panose="020B0604020202020204" pitchFamily="34" charset="0"/>
            <a:cs typeface="Arial" panose="020B0604020202020204" pitchFamily="34" charset="0"/>
          </a:endParaRPr>
        </a:p>
      </xdr:txBody>
    </xdr:sp>
    <xdr:clientData/>
  </xdr:twoCellAnchor>
  <xdr:twoCellAnchor>
    <xdr:from>
      <xdr:col>9</xdr:col>
      <xdr:colOff>0</xdr:colOff>
      <xdr:row>0</xdr:row>
      <xdr:rowOff>0</xdr:rowOff>
    </xdr:from>
    <xdr:to>
      <xdr:col>24</xdr:col>
      <xdr:colOff>0</xdr:colOff>
      <xdr:row>3</xdr:row>
      <xdr:rowOff>0</xdr:rowOff>
    </xdr:to>
    <xdr:sp macro="" textlink="">
      <xdr:nvSpPr>
        <xdr:cNvPr id="11" name="TextBox 10">
          <a:extLst>
            <a:ext uri="{FF2B5EF4-FFF2-40B4-BE49-F238E27FC236}">
              <a16:creationId xmlns:a16="http://schemas.microsoft.com/office/drawing/2014/main" id="{00000000-0008-0000-1400-00000B000000}"/>
            </a:ext>
          </a:extLst>
        </xdr:cNvPr>
        <xdr:cNvSpPr txBox="1"/>
      </xdr:nvSpPr>
      <xdr:spPr>
        <a:xfrm>
          <a:off x="4595813" y="0"/>
          <a:ext cx="8751093"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2400" i="0">
              <a:solidFill>
                <a:schemeClr val="tx2"/>
              </a:solidFill>
              <a:latin typeface="Arial" panose="020B0604020202020204" pitchFamily="34" charset="0"/>
              <a:cs typeface="Arial" panose="020B0604020202020204" pitchFamily="34" charset="0"/>
            </a:rPr>
            <a:t>underlying assumptions for advanced users</a:t>
          </a:r>
        </a:p>
      </xdr:txBody>
    </xdr:sp>
    <xdr:clientData/>
  </xdr:twoCellAnchor>
  <xdr:twoCellAnchor>
    <xdr:from>
      <xdr:col>21</xdr:col>
      <xdr:colOff>585106</xdr:colOff>
      <xdr:row>0</xdr:row>
      <xdr:rowOff>0</xdr:rowOff>
    </xdr:from>
    <xdr:to>
      <xdr:col>24</xdr:col>
      <xdr:colOff>0</xdr:colOff>
      <xdr:row>3</xdr:row>
      <xdr:rowOff>0</xdr:rowOff>
    </xdr:to>
    <xdr:sp macro="" textlink="">
      <xdr:nvSpPr>
        <xdr:cNvPr id="4" name="TextBox 3">
          <a:extLst>
            <a:ext uri="{FF2B5EF4-FFF2-40B4-BE49-F238E27FC236}">
              <a16:creationId xmlns:a16="http://schemas.microsoft.com/office/drawing/2014/main" id="{00000000-0008-0000-1400-000004000000}"/>
            </a:ext>
          </a:extLst>
        </xdr:cNvPr>
        <xdr:cNvSpPr txBox="1"/>
      </xdr:nvSpPr>
      <xdr:spPr>
        <a:xfrm>
          <a:off x="12191999" y="0"/>
          <a:ext cx="1170215"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2400" i="0">
              <a:solidFill>
                <a:schemeClr val="accent1"/>
              </a:solidFill>
              <a:latin typeface="Arial" panose="020B0604020202020204" pitchFamily="34" charset="0"/>
              <a:cs typeface="Arial" panose="020B0604020202020204" pitchFamily="34" charset="0"/>
            </a:rPr>
            <a:t>BETA</a:t>
          </a:r>
        </a:p>
      </xdr:txBody>
    </xdr:sp>
    <xdr:clientData/>
  </xdr:twoCellAnchor>
  <xdr:twoCellAnchor editAs="oneCell">
    <xdr:from>
      <xdr:col>0</xdr:col>
      <xdr:colOff>0</xdr:colOff>
      <xdr:row>19</xdr:row>
      <xdr:rowOff>1</xdr:rowOff>
    </xdr:from>
    <xdr:to>
      <xdr:col>4</xdr:col>
      <xdr:colOff>236270</xdr:colOff>
      <xdr:row>53</xdr:row>
      <xdr:rowOff>1</xdr:rowOff>
    </xdr:to>
    <xdr:pic>
      <xdr:nvPicPr>
        <xdr:cNvPr id="8" name="Picture 7" descr="Image result for UCL logo">
          <a:extLst>
            <a:ext uri="{FF2B5EF4-FFF2-40B4-BE49-F238E27FC236}">
              <a16:creationId xmlns:a16="http://schemas.microsoft.com/office/drawing/2014/main" id="{00000000-0008-0000-1400-000008000000}"/>
            </a:ext>
          </a:extLst>
        </xdr:cNvPr>
        <xdr:cNvPicPr>
          <a:picLocks noChangeAspect="1" noChangeArrowheads="1"/>
        </xdr:cNvPicPr>
      </xdr:nvPicPr>
      <xdr:blipFill rotWithShape="1">
        <a:blip xmlns:r="http://schemas.openxmlformats.org/officeDocument/2006/relationships" r:embed="rId1">
          <a:duotone>
            <a:schemeClr val="accent6">
              <a:shade val="45000"/>
              <a:satMod val="135000"/>
            </a:schemeClr>
            <a:prstClr val="white"/>
          </a:duotone>
          <a:extLst>
            <a:ext uri="{BEBA8EAE-BF5A-486C-A8C5-ECC9F3942E4B}">
              <a14:imgProps xmlns:a14="http://schemas.microsoft.com/office/drawing/2010/main">
                <a14:imgLayer r:embed="rId2">
                  <a14:imgEffect>
                    <a14:sharpenSoften amount="50000"/>
                  </a14:imgEffect>
                  <a14:imgEffect>
                    <a14:saturation sat="0"/>
                  </a14:imgEffect>
                  <a14:imgEffect>
                    <a14:brightnessContrast bright="-40000" contrast="40000"/>
                  </a14:imgEffect>
                </a14:imgLayer>
              </a14:imgProps>
            </a:ext>
            <a:ext uri="{28A0092B-C50C-407E-A947-70E740481C1C}">
              <a14:useLocalDpi xmlns:a14="http://schemas.microsoft.com/office/drawing/2010/main" val="0"/>
            </a:ext>
          </a:extLst>
        </a:blip>
        <a:srcRect l="13677"/>
        <a:stretch/>
      </xdr:blipFill>
      <xdr:spPr bwMode="auto">
        <a:xfrm rot="16200000">
          <a:off x="-2115910" y="5735411"/>
          <a:ext cx="6477000" cy="22451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51</xdr:row>
      <xdr:rowOff>0</xdr:rowOff>
    </xdr:from>
    <xdr:to>
      <xdr:col>5</xdr:col>
      <xdr:colOff>0</xdr:colOff>
      <xdr:row>53</xdr:row>
      <xdr:rowOff>0</xdr:rowOff>
    </xdr:to>
    <xdr:sp macro="" textlink="">
      <xdr:nvSpPr>
        <xdr:cNvPr id="9" name="TextBox 8">
          <a:extLst>
            <a:ext uri="{FF2B5EF4-FFF2-40B4-BE49-F238E27FC236}">
              <a16:creationId xmlns:a16="http://schemas.microsoft.com/office/drawing/2014/main" id="{00000000-0008-0000-1400-000009000000}"/>
            </a:ext>
          </a:extLst>
        </xdr:cNvPr>
        <xdr:cNvSpPr txBox="1"/>
      </xdr:nvSpPr>
      <xdr:spPr>
        <a:xfrm>
          <a:off x="0" y="9715500"/>
          <a:ext cx="2245179"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chemeClr val="bg1"/>
              </a:solidFill>
            </a:rPr>
            <a:t>© 2016 Expedition Engineering Ltd.</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4</xdr:col>
      <xdr:colOff>236270</xdr:colOff>
      <xdr:row>53</xdr:row>
      <xdr:rowOff>0</xdr:rowOff>
    </xdr:to>
    <xdr:pic>
      <xdr:nvPicPr>
        <xdr:cNvPr id="10" name="Picture 9" descr="Image result for UCL logo">
          <a:extLst>
            <a:ext uri="{FF2B5EF4-FFF2-40B4-BE49-F238E27FC236}">
              <a16:creationId xmlns:a16="http://schemas.microsoft.com/office/drawing/2014/main" id="{00000000-0008-0000-0100-00000A000000}"/>
            </a:ext>
          </a:extLst>
        </xdr:cNvPr>
        <xdr:cNvPicPr>
          <a:picLocks noChangeAspect="1" noChangeArrowheads="1"/>
        </xdr:cNvPicPr>
      </xdr:nvPicPr>
      <xdr:blipFill rotWithShape="1">
        <a:blip xmlns:r="http://schemas.openxmlformats.org/officeDocument/2006/relationships" r:embed="rId1">
          <a:duotone>
            <a:schemeClr val="accent6">
              <a:shade val="45000"/>
              <a:satMod val="135000"/>
            </a:schemeClr>
            <a:prstClr val="white"/>
          </a:duotone>
          <a:extLst>
            <a:ext uri="{BEBA8EAE-BF5A-486C-A8C5-ECC9F3942E4B}">
              <a14:imgProps xmlns:a14="http://schemas.microsoft.com/office/drawing/2010/main">
                <a14:imgLayer r:embed="rId2">
                  <a14:imgEffect>
                    <a14:sharpenSoften amount="50000"/>
                  </a14:imgEffect>
                  <a14:imgEffect>
                    <a14:saturation sat="0"/>
                  </a14:imgEffect>
                  <a14:imgEffect>
                    <a14:brightnessContrast bright="-40000" contrast="40000"/>
                  </a14:imgEffect>
                </a14:imgLayer>
              </a14:imgProps>
            </a:ext>
            <a:ext uri="{28A0092B-C50C-407E-A947-70E740481C1C}">
              <a14:useLocalDpi xmlns:a14="http://schemas.microsoft.com/office/drawing/2010/main" val="0"/>
            </a:ext>
          </a:extLst>
        </a:blip>
        <a:srcRect l="13677"/>
        <a:stretch/>
      </xdr:blipFill>
      <xdr:spPr bwMode="auto">
        <a:xfrm rot="16200000">
          <a:off x="-2120240" y="5739740"/>
          <a:ext cx="6477000" cy="2236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0</xdr:colOff>
      <xdr:row>16</xdr:row>
      <xdr:rowOff>0</xdr:rowOff>
    </xdr:from>
    <xdr:to>
      <xdr:col>20</xdr:col>
      <xdr:colOff>0</xdr:colOff>
      <xdr:row>30</xdr:row>
      <xdr:rowOff>0</xdr:rowOff>
    </xdr:to>
    <xdr:graphicFrame macro="">
      <xdr:nvGraphicFramePr>
        <xdr:cNvPr id="5" name="Chart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0</xdr:row>
      <xdr:rowOff>0</xdr:rowOff>
    </xdr:from>
    <xdr:to>
      <xdr:col>20</xdr:col>
      <xdr:colOff>0</xdr:colOff>
      <xdr:row>3</xdr:row>
      <xdr:rowOff>0</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3989294" y="0"/>
          <a:ext cx="6992471"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2400" i="0">
              <a:solidFill>
                <a:schemeClr val="tx2"/>
              </a:solidFill>
              <a:latin typeface="Arial" panose="020B0604020202020204" pitchFamily="34" charset="0"/>
              <a:cs typeface="Arial" panose="020B0604020202020204" pitchFamily="34" charset="0"/>
            </a:rPr>
            <a:t>defining and benchmarking the project</a:t>
          </a:r>
        </a:p>
      </xdr:txBody>
    </xdr:sp>
    <xdr:clientData/>
  </xdr:twoCellAnchor>
  <xdr:twoCellAnchor>
    <xdr:from>
      <xdr:col>8</xdr:col>
      <xdr:colOff>585106</xdr:colOff>
      <xdr:row>4</xdr:row>
      <xdr:rowOff>11206</xdr:rowOff>
    </xdr:from>
    <xdr:to>
      <xdr:col>20</xdr:col>
      <xdr:colOff>-1</xdr:colOff>
      <xdr:row>7</xdr:row>
      <xdr:rowOff>0</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4585606" y="773206"/>
          <a:ext cx="6436179" cy="560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i="0">
              <a:solidFill>
                <a:schemeClr val="tx2"/>
              </a:solidFill>
              <a:effectLst/>
              <a:latin typeface="Arial" panose="020B0604020202020204" pitchFamily="34" charset="0"/>
              <a:ea typeface="+mn-ea"/>
              <a:cs typeface="Arial" panose="020B0604020202020204" pitchFamily="34" charset="0"/>
            </a:rPr>
            <a:t>Use this step to define your project and review an estimated breakdown of annual</a:t>
          </a:r>
          <a:r>
            <a:rPr lang="en-GB" sz="1100" b="0" i="0" baseline="0">
              <a:solidFill>
                <a:schemeClr val="tx2"/>
              </a:solidFill>
              <a:effectLst/>
              <a:latin typeface="Arial" panose="020B0604020202020204" pitchFamily="34" charset="0"/>
              <a:ea typeface="+mn-ea"/>
              <a:cs typeface="Arial" panose="020B0604020202020204" pitchFamily="34" charset="0"/>
            </a:rPr>
            <a:t> energy consumption.</a:t>
          </a:r>
          <a:endParaRPr lang="en-GB" sz="1100" b="0" i="0">
            <a:solidFill>
              <a:schemeClr val="tx2"/>
            </a:solidFill>
            <a:effectLst/>
            <a:latin typeface="Arial" panose="020B0604020202020204" pitchFamily="34" charset="0"/>
            <a:ea typeface="+mn-ea"/>
            <a:cs typeface="Arial" panose="020B0604020202020204" pitchFamily="34" charset="0"/>
          </a:endParaRPr>
        </a:p>
      </xdr:txBody>
    </xdr:sp>
    <xdr:clientData/>
  </xdr:twoCellAnchor>
  <xdr:twoCellAnchor>
    <xdr:from>
      <xdr:col>16</xdr:col>
      <xdr:colOff>0</xdr:colOff>
      <xdr:row>19</xdr:row>
      <xdr:rowOff>0</xdr:rowOff>
    </xdr:from>
    <xdr:to>
      <xdr:col>20</xdr:col>
      <xdr:colOff>0</xdr:colOff>
      <xdr:row>26</xdr:row>
      <xdr:rowOff>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8662147" y="3238500"/>
          <a:ext cx="2330824" cy="1333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b="1" i="0">
              <a:solidFill>
                <a:schemeClr val="tx2"/>
              </a:solidFill>
              <a:latin typeface="Arial" panose="020B0604020202020204" pitchFamily="34" charset="0"/>
              <a:cs typeface="Arial" panose="020B0604020202020204" pitchFamily="34" charset="0"/>
            </a:rPr>
            <a:t>BENCHMARK </a:t>
          </a:r>
        </a:p>
        <a:p>
          <a:pPr algn="ctr"/>
          <a:r>
            <a:rPr lang="en-GB" sz="1000" b="1" i="0">
              <a:solidFill>
                <a:schemeClr val="tx2"/>
              </a:solidFill>
              <a:latin typeface="Arial" panose="020B0604020202020204" pitchFamily="34" charset="0"/>
              <a:cs typeface="Arial" panose="020B0604020202020204" pitchFamily="34" charset="0"/>
            </a:rPr>
            <a:t>BASED</a:t>
          </a:r>
        </a:p>
        <a:p>
          <a:pPr algn="ctr"/>
          <a:r>
            <a:rPr lang="en-GB" sz="1000" b="1" i="0">
              <a:solidFill>
                <a:schemeClr val="tx2"/>
              </a:solidFill>
              <a:latin typeface="Arial" panose="020B0604020202020204" pitchFamily="34" charset="0"/>
              <a:cs typeface="Arial" panose="020B0604020202020204" pitchFamily="34" charset="0"/>
            </a:rPr>
            <a:t>ENERGY</a:t>
          </a:r>
        </a:p>
        <a:p>
          <a:pPr algn="ctr"/>
          <a:r>
            <a:rPr lang="en-GB" sz="1000" b="1" i="0">
              <a:solidFill>
                <a:schemeClr val="tx2"/>
              </a:solidFill>
              <a:latin typeface="Arial" panose="020B0604020202020204" pitchFamily="34" charset="0"/>
              <a:cs typeface="Arial" panose="020B0604020202020204" pitchFamily="34" charset="0"/>
            </a:rPr>
            <a:t>COST</a:t>
          </a:r>
          <a:r>
            <a:rPr lang="en-GB" sz="1000" b="1" i="0" baseline="0">
              <a:solidFill>
                <a:schemeClr val="tx2"/>
              </a:solidFill>
              <a:latin typeface="Arial" panose="020B0604020202020204" pitchFamily="34" charset="0"/>
              <a:cs typeface="Arial" panose="020B0604020202020204" pitchFamily="34" charset="0"/>
            </a:rPr>
            <a:t> </a:t>
          </a:r>
          <a:r>
            <a:rPr lang="en-GB" sz="1000" b="1" i="0">
              <a:solidFill>
                <a:schemeClr val="tx2"/>
              </a:solidFill>
              <a:latin typeface="Arial" panose="020B0604020202020204" pitchFamily="34" charset="0"/>
              <a:cs typeface="Arial" panose="020B0604020202020204" pitchFamily="34" charset="0"/>
            </a:rPr>
            <a:t>SPLIT</a:t>
          </a:r>
        </a:p>
      </xdr:txBody>
    </xdr:sp>
    <xdr:clientData/>
  </xdr:twoCellAnchor>
  <xdr:twoCellAnchor>
    <xdr:from>
      <xdr:col>22</xdr:col>
      <xdr:colOff>0</xdr:colOff>
      <xdr:row>0</xdr:row>
      <xdr:rowOff>0</xdr:rowOff>
    </xdr:from>
    <xdr:to>
      <xdr:col>24</xdr:col>
      <xdr:colOff>1</xdr:colOff>
      <xdr:row>3</xdr:row>
      <xdr:rowOff>0</xdr:rowOff>
    </xdr:to>
    <xdr:sp macro="" textlink="">
      <xdr:nvSpPr>
        <xdr:cNvPr id="11" name="TextBox 10">
          <a:extLst>
            <a:ext uri="{FF2B5EF4-FFF2-40B4-BE49-F238E27FC236}">
              <a16:creationId xmlns:a16="http://schemas.microsoft.com/office/drawing/2014/main" id="{00000000-0008-0000-0100-00000B000000}"/>
            </a:ext>
          </a:extLst>
        </xdr:cNvPr>
        <xdr:cNvSpPr txBox="1"/>
      </xdr:nvSpPr>
      <xdr:spPr>
        <a:xfrm>
          <a:off x="12192000" y="0"/>
          <a:ext cx="1170215"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2400" i="0">
              <a:solidFill>
                <a:schemeClr val="accent1"/>
              </a:solidFill>
              <a:latin typeface="Arial" panose="020B0604020202020204" pitchFamily="34" charset="0"/>
              <a:cs typeface="Arial" panose="020B0604020202020204" pitchFamily="34" charset="0"/>
            </a:rPr>
            <a:t>BETA</a:t>
          </a:r>
        </a:p>
      </xdr:txBody>
    </xdr:sp>
    <xdr:clientData/>
  </xdr:twoCellAnchor>
  <xdr:twoCellAnchor>
    <xdr:from>
      <xdr:col>0</xdr:col>
      <xdr:colOff>0</xdr:colOff>
      <xdr:row>51</xdr:row>
      <xdr:rowOff>0</xdr:rowOff>
    </xdr:from>
    <xdr:to>
      <xdr:col>5</xdr:col>
      <xdr:colOff>0</xdr:colOff>
      <xdr:row>53</xdr:row>
      <xdr:rowOff>0</xdr:rowOff>
    </xdr:to>
    <xdr:sp macro="" textlink="">
      <xdr:nvSpPr>
        <xdr:cNvPr id="15" name="TextBox 14">
          <a:extLst>
            <a:ext uri="{FF2B5EF4-FFF2-40B4-BE49-F238E27FC236}">
              <a16:creationId xmlns:a16="http://schemas.microsoft.com/office/drawing/2014/main" id="{00000000-0008-0000-0100-00000F000000}"/>
            </a:ext>
          </a:extLst>
        </xdr:cNvPr>
        <xdr:cNvSpPr txBox="1"/>
      </xdr:nvSpPr>
      <xdr:spPr>
        <a:xfrm>
          <a:off x="0" y="9715500"/>
          <a:ext cx="2245179"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chemeClr val="bg1"/>
              </a:solidFill>
            </a:rPr>
            <a:t>© 2016 Expedition Engineering Ltd.</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0</xdr:row>
      <xdr:rowOff>0</xdr:rowOff>
    </xdr:from>
    <xdr:to>
      <xdr:col>21</xdr:col>
      <xdr:colOff>0</xdr:colOff>
      <xdr:row>3</xdr:row>
      <xdr:rowOff>0</xdr:rowOff>
    </xdr:to>
    <xdr:sp macro="" textlink="">
      <xdr:nvSpPr>
        <xdr:cNvPr id="33" name="TextBox 32">
          <a:extLst>
            <a:ext uri="{FF2B5EF4-FFF2-40B4-BE49-F238E27FC236}">
              <a16:creationId xmlns:a16="http://schemas.microsoft.com/office/drawing/2014/main" id="{00000000-0008-0000-0200-000021000000}"/>
            </a:ext>
          </a:extLst>
        </xdr:cNvPr>
        <xdr:cNvSpPr txBox="1"/>
      </xdr:nvSpPr>
      <xdr:spPr>
        <a:xfrm>
          <a:off x="3989294" y="0"/>
          <a:ext cx="7575177"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2400" i="0">
              <a:solidFill>
                <a:schemeClr val="tx2"/>
              </a:solidFill>
              <a:latin typeface="Arial" panose="020B0604020202020204" pitchFamily="34" charset="0"/>
              <a:cs typeface="Arial" panose="020B0604020202020204" pitchFamily="34" charset="0"/>
            </a:rPr>
            <a:t>calculating, exploring and selecting changes</a:t>
          </a:r>
        </a:p>
      </xdr:txBody>
    </xdr:sp>
    <xdr:clientData/>
  </xdr:twoCellAnchor>
  <xdr:twoCellAnchor>
    <xdr:from>
      <xdr:col>9</xdr:col>
      <xdr:colOff>1698</xdr:colOff>
      <xdr:row>4</xdr:row>
      <xdr:rowOff>0</xdr:rowOff>
    </xdr:from>
    <xdr:to>
      <xdr:col>20</xdr:col>
      <xdr:colOff>585106</xdr:colOff>
      <xdr:row>9</xdr:row>
      <xdr:rowOff>107156</xdr:rowOff>
    </xdr:to>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4587305" y="762000"/>
          <a:ext cx="7019587" cy="1059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i="0">
              <a:solidFill>
                <a:schemeClr val="tx2"/>
              </a:solidFill>
              <a:effectLst/>
              <a:latin typeface="Arial" panose="020B0604020202020204" pitchFamily="34" charset="0"/>
              <a:ea typeface="+mn-ea"/>
              <a:cs typeface="Arial" panose="020B0604020202020204" pitchFamily="34" charset="0"/>
            </a:rPr>
            <a:t>Use</a:t>
          </a:r>
          <a:r>
            <a:rPr lang="en-GB" sz="1100" b="0" i="0" baseline="0">
              <a:solidFill>
                <a:schemeClr val="tx2"/>
              </a:solidFill>
              <a:effectLst/>
              <a:latin typeface="Arial" panose="020B0604020202020204" pitchFamily="34" charset="0"/>
              <a:ea typeface="+mn-ea"/>
              <a:cs typeface="Arial" panose="020B0604020202020204" pitchFamily="34" charset="0"/>
            </a:rPr>
            <a:t> the built in tools to help you calculate energy savings and payback periods of common interventions. You can compare different and then select the best approach for your building. Instant feedback on carbon and cost savings is provided, for your preferred option, as you select changes for your project.</a:t>
          </a:r>
          <a:endParaRPr lang="en-GB" sz="1100" b="0" i="0">
            <a:solidFill>
              <a:schemeClr val="tx2"/>
            </a:solidFill>
            <a:latin typeface="Arial" panose="020B0604020202020204" pitchFamily="34" charset="0"/>
            <a:cs typeface="Arial" panose="020B0604020202020204" pitchFamily="34" charset="0"/>
          </a:endParaRPr>
        </a:p>
      </xdr:txBody>
    </xdr:sp>
    <xdr:clientData/>
  </xdr:twoCellAnchor>
  <xdr:twoCellAnchor>
    <xdr:from>
      <xdr:col>5</xdr:col>
      <xdr:colOff>582705</xdr:colOff>
      <xdr:row>12</xdr:row>
      <xdr:rowOff>190499</xdr:rowOff>
    </xdr:from>
    <xdr:to>
      <xdr:col>12</xdr:col>
      <xdr:colOff>0</xdr:colOff>
      <xdr:row>16</xdr:row>
      <xdr:rowOff>0</xdr:rowOff>
    </xdr:to>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2827884" y="2476499"/>
          <a:ext cx="3513045" cy="571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0" i="1" u="none" strike="noStrike" baseline="0">
              <a:solidFill>
                <a:schemeClr val="tx2"/>
              </a:solidFill>
              <a:latin typeface="Arial" panose="020B0604020202020204" pitchFamily="34" charset="0"/>
              <a:ea typeface="+mn-ea"/>
              <a:cs typeface="Arial" panose="020B0604020202020204" pitchFamily="34" charset="0"/>
            </a:rPr>
            <a:t>Use this tool to make changes to the building envelope.</a:t>
          </a:r>
          <a:endParaRPr lang="en-GB" sz="1000" i="1">
            <a:solidFill>
              <a:schemeClr val="tx2"/>
            </a:solidFill>
            <a:latin typeface="Arial" panose="020B0604020202020204" pitchFamily="34" charset="0"/>
            <a:cs typeface="Arial" panose="020B0604020202020204" pitchFamily="34" charset="0"/>
          </a:endParaRPr>
        </a:p>
      </xdr:txBody>
    </xdr:sp>
    <xdr:clientData/>
  </xdr:twoCellAnchor>
  <xdr:twoCellAnchor>
    <xdr:from>
      <xdr:col>5</xdr:col>
      <xdr:colOff>582705</xdr:colOff>
      <xdr:row>22</xdr:row>
      <xdr:rowOff>190499</xdr:rowOff>
    </xdr:from>
    <xdr:to>
      <xdr:col>12</xdr:col>
      <xdr:colOff>0</xdr:colOff>
      <xdr:row>26</xdr:row>
      <xdr:rowOff>0</xdr:rowOff>
    </xdr:to>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2827884" y="4381499"/>
          <a:ext cx="3513045" cy="571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0" i="1" u="none" strike="noStrike" baseline="0">
              <a:solidFill>
                <a:schemeClr val="tx2"/>
              </a:solidFill>
              <a:latin typeface="Arial" panose="020B0604020202020204" pitchFamily="34" charset="0"/>
              <a:ea typeface="+mn-ea"/>
              <a:cs typeface="Arial" panose="020B0604020202020204" pitchFamily="34" charset="0"/>
            </a:rPr>
            <a:t>Use this tool when replacing or upgrading existing natural gas boilers. </a:t>
          </a:r>
          <a:endParaRPr lang="en-GB" sz="1000" i="1">
            <a:solidFill>
              <a:schemeClr val="tx2"/>
            </a:solidFill>
            <a:latin typeface="Arial" panose="020B0604020202020204" pitchFamily="34" charset="0"/>
            <a:cs typeface="Arial" panose="020B0604020202020204" pitchFamily="34" charset="0"/>
          </a:endParaRPr>
        </a:p>
      </xdr:txBody>
    </xdr:sp>
    <xdr:clientData/>
  </xdr:twoCellAnchor>
  <xdr:twoCellAnchor>
    <xdr:from>
      <xdr:col>5</xdr:col>
      <xdr:colOff>582705</xdr:colOff>
      <xdr:row>27</xdr:row>
      <xdr:rowOff>190499</xdr:rowOff>
    </xdr:from>
    <xdr:to>
      <xdr:col>12</xdr:col>
      <xdr:colOff>0</xdr:colOff>
      <xdr:row>31</xdr:row>
      <xdr:rowOff>0</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2827884" y="5333999"/>
          <a:ext cx="3513045" cy="571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0" i="1" u="none" strike="noStrike" baseline="0">
              <a:solidFill>
                <a:schemeClr val="tx2"/>
              </a:solidFill>
              <a:latin typeface="Arial" panose="020B0604020202020204" pitchFamily="34" charset="0"/>
              <a:ea typeface="+mn-ea"/>
              <a:cs typeface="Arial" panose="020B0604020202020204" pitchFamily="34" charset="0"/>
            </a:rPr>
            <a:t>Use this tool when replacing or upgrading cooling systems.</a:t>
          </a:r>
          <a:endParaRPr lang="en-GB" sz="1000" i="1">
            <a:solidFill>
              <a:schemeClr val="tx2"/>
            </a:solidFill>
            <a:latin typeface="Arial" panose="020B0604020202020204" pitchFamily="34" charset="0"/>
            <a:cs typeface="Arial" panose="020B0604020202020204" pitchFamily="34" charset="0"/>
          </a:endParaRPr>
        </a:p>
      </xdr:txBody>
    </xdr:sp>
    <xdr:clientData/>
  </xdr:twoCellAnchor>
  <xdr:twoCellAnchor>
    <xdr:from>
      <xdr:col>5</xdr:col>
      <xdr:colOff>582705</xdr:colOff>
      <xdr:row>32</xdr:row>
      <xdr:rowOff>190499</xdr:rowOff>
    </xdr:from>
    <xdr:to>
      <xdr:col>12</xdr:col>
      <xdr:colOff>0</xdr:colOff>
      <xdr:row>36</xdr:row>
      <xdr:rowOff>0</xdr:rowOff>
    </xdr:to>
    <xdr:sp macro="" textlink="">
      <xdr:nvSpPr>
        <xdr:cNvPr id="11" name="TextBox 10">
          <a:extLst>
            <a:ext uri="{FF2B5EF4-FFF2-40B4-BE49-F238E27FC236}">
              <a16:creationId xmlns:a16="http://schemas.microsoft.com/office/drawing/2014/main" id="{00000000-0008-0000-0200-00000B000000}"/>
            </a:ext>
          </a:extLst>
        </xdr:cNvPr>
        <xdr:cNvSpPr txBox="1"/>
      </xdr:nvSpPr>
      <xdr:spPr>
        <a:xfrm>
          <a:off x="2844893" y="6286499"/>
          <a:ext cx="3501138" cy="571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0" i="1" u="none" strike="noStrike" baseline="0">
              <a:solidFill>
                <a:schemeClr val="tx2"/>
              </a:solidFill>
              <a:latin typeface="Arial" panose="020B0604020202020204" pitchFamily="34" charset="0"/>
              <a:ea typeface="+mn-ea"/>
              <a:cs typeface="Arial" panose="020B0604020202020204" pitchFamily="34" charset="0"/>
            </a:rPr>
            <a:t>Use this tool when replacing or upgrading lighting systems, including the provision of daylight and occupant control.</a:t>
          </a:r>
          <a:endParaRPr lang="en-GB" sz="1000" i="1">
            <a:solidFill>
              <a:schemeClr val="tx2"/>
            </a:solidFill>
            <a:latin typeface="Arial" panose="020B0604020202020204" pitchFamily="34" charset="0"/>
            <a:cs typeface="Arial" panose="020B0604020202020204" pitchFamily="34" charset="0"/>
          </a:endParaRPr>
        </a:p>
      </xdr:txBody>
    </xdr:sp>
    <xdr:clientData/>
  </xdr:twoCellAnchor>
  <xdr:twoCellAnchor>
    <xdr:from>
      <xdr:col>5</xdr:col>
      <xdr:colOff>582705</xdr:colOff>
      <xdr:row>17</xdr:row>
      <xdr:rowOff>190499</xdr:rowOff>
    </xdr:from>
    <xdr:to>
      <xdr:col>12</xdr:col>
      <xdr:colOff>0</xdr:colOff>
      <xdr:row>21</xdr:row>
      <xdr:rowOff>0</xdr:rowOff>
    </xdr:to>
    <xdr:sp macro="" textlink="">
      <xdr:nvSpPr>
        <xdr:cNvPr id="12" name="TextBox 11">
          <a:extLst>
            <a:ext uri="{FF2B5EF4-FFF2-40B4-BE49-F238E27FC236}">
              <a16:creationId xmlns:a16="http://schemas.microsoft.com/office/drawing/2014/main" id="{00000000-0008-0000-0200-00000C000000}"/>
            </a:ext>
          </a:extLst>
        </xdr:cNvPr>
        <xdr:cNvSpPr txBox="1"/>
      </xdr:nvSpPr>
      <xdr:spPr>
        <a:xfrm>
          <a:off x="2827884" y="3428999"/>
          <a:ext cx="3513045" cy="571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0" i="1" u="none" strike="noStrike" baseline="0">
              <a:solidFill>
                <a:schemeClr val="tx2"/>
              </a:solidFill>
              <a:latin typeface="Arial" panose="020B0604020202020204" pitchFamily="34" charset="0"/>
              <a:ea typeface="+mn-ea"/>
              <a:cs typeface="Arial" panose="020B0604020202020204" pitchFamily="34" charset="0"/>
            </a:rPr>
            <a:t>Use this tool to compare and/or amend natural and mechanical ventilation strategies.</a:t>
          </a:r>
        </a:p>
      </xdr:txBody>
    </xdr:sp>
    <xdr:clientData/>
  </xdr:twoCellAnchor>
  <xdr:twoCellAnchor>
    <xdr:from>
      <xdr:col>5</xdr:col>
      <xdr:colOff>582705</xdr:colOff>
      <xdr:row>37</xdr:row>
      <xdr:rowOff>163285</xdr:rowOff>
    </xdr:from>
    <xdr:to>
      <xdr:col>12</xdr:col>
      <xdr:colOff>0</xdr:colOff>
      <xdr:row>40</xdr:row>
      <xdr:rowOff>163286</xdr:rowOff>
    </xdr:to>
    <xdr:sp macro="" textlink="">
      <xdr:nvSpPr>
        <xdr:cNvPr id="15" name="TextBox 14">
          <a:extLst>
            <a:ext uri="{FF2B5EF4-FFF2-40B4-BE49-F238E27FC236}">
              <a16:creationId xmlns:a16="http://schemas.microsoft.com/office/drawing/2014/main" id="{00000000-0008-0000-0200-00000F000000}"/>
            </a:ext>
          </a:extLst>
        </xdr:cNvPr>
        <xdr:cNvSpPr txBox="1"/>
      </xdr:nvSpPr>
      <xdr:spPr>
        <a:xfrm>
          <a:off x="2844893" y="7211785"/>
          <a:ext cx="3501138" cy="571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0" i="1" u="none" strike="noStrike" baseline="0">
              <a:solidFill>
                <a:schemeClr val="tx2"/>
              </a:solidFill>
              <a:latin typeface="Arial" panose="020B0604020202020204" pitchFamily="34" charset="0"/>
              <a:ea typeface="+mn-ea"/>
              <a:cs typeface="Arial" panose="020B0604020202020204" pitchFamily="34" charset="0"/>
            </a:rPr>
            <a:t>Use this tool if you want to do something slightly different and have already calculated the energy savings .</a:t>
          </a:r>
          <a:endParaRPr lang="en-GB" sz="1000" i="1">
            <a:solidFill>
              <a:schemeClr val="tx2"/>
            </a:solidFill>
            <a:latin typeface="Arial" panose="020B0604020202020204" pitchFamily="34" charset="0"/>
            <a:cs typeface="Arial" panose="020B0604020202020204" pitchFamily="34" charset="0"/>
          </a:endParaRPr>
        </a:p>
      </xdr:txBody>
    </xdr:sp>
    <xdr:clientData/>
  </xdr:twoCellAnchor>
  <xdr:twoCellAnchor>
    <xdr:from>
      <xdr:col>22</xdr:col>
      <xdr:colOff>0</xdr:colOff>
      <xdr:row>0</xdr:row>
      <xdr:rowOff>0</xdr:rowOff>
    </xdr:from>
    <xdr:to>
      <xdr:col>24</xdr:col>
      <xdr:colOff>1</xdr:colOff>
      <xdr:row>3</xdr:row>
      <xdr:rowOff>0</xdr:rowOff>
    </xdr:to>
    <xdr:sp macro="" textlink="">
      <xdr:nvSpPr>
        <xdr:cNvPr id="13" name="TextBox 12">
          <a:extLst>
            <a:ext uri="{FF2B5EF4-FFF2-40B4-BE49-F238E27FC236}">
              <a16:creationId xmlns:a16="http://schemas.microsoft.com/office/drawing/2014/main" id="{00000000-0008-0000-0200-00000D000000}"/>
            </a:ext>
          </a:extLst>
        </xdr:cNvPr>
        <xdr:cNvSpPr txBox="1"/>
      </xdr:nvSpPr>
      <xdr:spPr>
        <a:xfrm>
          <a:off x="12192000" y="0"/>
          <a:ext cx="1170215"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2400" i="0">
              <a:solidFill>
                <a:schemeClr val="accent1"/>
              </a:solidFill>
              <a:latin typeface="Arial" panose="020B0604020202020204" pitchFamily="34" charset="0"/>
              <a:cs typeface="Arial" panose="020B0604020202020204" pitchFamily="34" charset="0"/>
            </a:rPr>
            <a:t>BETA</a:t>
          </a:r>
        </a:p>
      </xdr:txBody>
    </xdr:sp>
    <xdr:clientData/>
  </xdr:twoCellAnchor>
  <xdr:twoCellAnchor>
    <xdr:from>
      <xdr:col>5</xdr:col>
      <xdr:colOff>582705</xdr:colOff>
      <xdr:row>42</xdr:row>
      <xdr:rowOff>163285</xdr:rowOff>
    </xdr:from>
    <xdr:to>
      <xdr:col>12</xdr:col>
      <xdr:colOff>0</xdr:colOff>
      <xdr:row>45</xdr:row>
      <xdr:rowOff>163286</xdr:rowOff>
    </xdr:to>
    <xdr:sp macro="" textlink="">
      <xdr:nvSpPr>
        <xdr:cNvPr id="16" name="TextBox 15">
          <a:extLst>
            <a:ext uri="{FF2B5EF4-FFF2-40B4-BE49-F238E27FC236}">
              <a16:creationId xmlns:a16="http://schemas.microsoft.com/office/drawing/2014/main" id="{00000000-0008-0000-0200-000010000000}"/>
            </a:ext>
          </a:extLst>
        </xdr:cNvPr>
        <xdr:cNvSpPr txBox="1"/>
      </xdr:nvSpPr>
      <xdr:spPr>
        <a:xfrm>
          <a:off x="2827884" y="7211785"/>
          <a:ext cx="3771580" cy="571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0" i="1" u="none" strike="noStrike" baseline="0">
              <a:solidFill>
                <a:schemeClr val="tx2"/>
              </a:solidFill>
              <a:latin typeface="Arial" panose="020B0604020202020204" pitchFamily="34" charset="0"/>
              <a:ea typeface="+mn-ea"/>
              <a:cs typeface="Arial" panose="020B0604020202020204" pitchFamily="34" charset="0"/>
            </a:rPr>
            <a:t>Use this tool if you want to do something slightly different and have already calculated the energy savings .</a:t>
          </a:r>
          <a:endParaRPr lang="en-GB" sz="1000" i="1">
            <a:solidFill>
              <a:schemeClr val="tx2"/>
            </a:solidFill>
            <a:latin typeface="Arial" panose="020B0604020202020204" pitchFamily="34" charset="0"/>
            <a:cs typeface="Arial" panose="020B0604020202020204" pitchFamily="34" charset="0"/>
          </a:endParaRPr>
        </a:p>
      </xdr:txBody>
    </xdr:sp>
    <xdr:clientData/>
  </xdr:twoCellAnchor>
  <xdr:twoCellAnchor>
    <xdr:from>
      <xdr:col>5</xdr:col>
      <xdr:colOff>582705</xdr:colOff>
      <xdr:row>47</xdr:row>
      <xdr:rowOff>163285</xdr:rowOff>
    </xdr:from>
    <xdr:to>
      <xdr:col>12</xdr:col>
      <xdr:colOff>0</xdr:colOff>
      <xdr:row>50</xdr:row>
      <xdr:rowOff>163286</xdr:rowOff>
    </xdr:to>
    <xdr:sp macro="" textlink="">
      <xdr:nvSpPr>
        <xdr:cNvPr id="17" name="TextBox 16">
          <a:extLst>
            <a:ext uri="{FF2B5EF4-FFF2-40B4-BE49-F238E27FC236}">
              <a16:creationId xmlns:a16="http://schemas.microsoft.com/office/drawing/2014/main" id="{00000000-0008-0000-0200-000011000000}"/>
            </a:ext>
          </a:extLst>
        </xdr:cNvPr>
        <xdr:cNvSpPr txBox="1"/>
      </xdr:nvSpPr>
      <xdr:spPr>
        <a:xfrm>
          <a:off x="2827884" y="7211785"/>
          <a:ext cx="3771580" cy="571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0" i="1" u="none" strike="noStrike" baseline="0">
              <a:solidFill>
                <a:schemeClr val="tx2"/>
              </a:solidFill>
              <a:latin typeface="Arial" panose="020B0604020202020204" pitchFamily="34" charset="0"/>
              <a:ea typeface="+mn-ea"/>
              <a:cs typeface="Arial" panose="020B0604020202020204" pitchFamily="34" charset="0"/>
            </a:rPr>
            <a:t>Use this tool if you want to do something slightly different and have already calculated the energy savings .</a:t>
          </a:r>
          <a:endParaRPr lang="en-GB" sz="1000" i="1">
            <a:solidFill>
              <a:schemeClr val="tx2"/>
            </a:solidFill>
            <a:latin typeface="Arial" panose="020B0604020202020204" pitchFamily="34" charset="0"/>
            <a:cs typeface="Arial" panose="020B0604020202020204" pitchFamily="34" charset="0"/>
          </a:endParaRPr>
        </a:p>
      </xdr:txBody>
    </xdr:sp>
    <xdr:clientData/>
  </xdr:twoCellAnchor>
  <xdr:twoCellAnchor>
    <xdr:from>
      <xdr:col>15</xdr:col>
      <xdr:colOff>396154</xdr:colOff>
      <xdr:row>12</xdr:row>
      <xdr:rowOff>0</xdr:rowOff>
    </xdr:from>
    <xdr:to>
      <xdr:col>21</xdr:col>
      <xdr:colOff>0</xdr:colOff>
      <xdr:row>42</xdr:row>
      <xdr:rowOff>0</xdr:rowOff>
    </xdr:to>
    <xdr:graphicFrame macro="">
      <xdr:nvGraphicFramePr>
        <xdr:cNvPr id="18" name="Chart 17">
          <a:extLst>
            <a:ext uri="{FF2B5EF4-FFF2-40B4-BE49-F238E27FC236}">
              <a16:creationId xmlns:a16="http://schemas.microsoft.com/office/drawing/2014/main" id="{00000000-0008-0000-02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0</xdr:colOff>
      <xdr:row>0</xdr:row>
      <xdr:rowOff>0</xdr:rowOff>
    </xdr:from>
    <xdr:to>
      <xdr:col>15</xdr:col>
      <xdr:colOff>0</xdr:colOff>
      <xdr:row>3</xdr:row>
      <xdr:rowOff>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4017818" y="0"/>
          <a:ext cx="8901546"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2400" baseline="0">
              <a:solidFill>
                <a:schemeClr val="tx2"/>
              </a:solidFill>
              <a:latin typeface="Arial" panose="020B0604020202020204" pitchFamily="34" charset="0"/>
              <a:cs typeface="Arial" panose="020B0604020202020204" pitchFamily="34" charset="0"/>
            </a:rPr>
            <a:t>bespoke tool A</a:t>
          </a:r>
          <a:endParaRPr lang="en-GB" sz="2400">
            <a:solidFill>
              <a:schemeClr val="tx2"/>
            </a:solidFill>
            <a:latin typeface="Arial" panose="020B0604020202020204" pitchFamily="34" charset="0"/>
            <a:cs typeface="Arial" panose="020B0604020202020204" pitchFamily="34" charset="0"/>
          </a:endParaRPr>
        </a:p>
      </xdr:txBody>
    </xdr:sp>
    <xdr:clientData/>
  </xdr:twoCellAnchor>
  <xdr:twoCellAnchor>
    <xdr:from>
      <xdr:col>8</xdr:col>
      <xdr:colOff>23812</xdr:colOff>
      <xdr:row>3</xdr:row>
      <xdr:rowOff>130969</xdr:rowOff>
    </xdr:from>
    <xdr:to>
      <xdr:col>23</xdr:col>
      <xdr:colOff>23812</xdr:colOff>
      <xdr:row>7</xdr:row>
      <xdr:rowOff>0</xdr:rowOff>
    </xdr:to>
    <xdr:sp macro="" textlink="">
      <xdr:nvSpPr>
        <xdr:cNvPr id="9" name="TextBox 8">
          <a:extLst>
            <a:ext uri="{FF2B5EF4-FFF2-40B4-BE49-F238E27FC236}">
              <a16:creationId xmlns:a16="http://schemas.microsoft.com/office/drawing/2014/main" id="{00000000-0008-0000-0300-000009000000}"/>
            </a:ext>
          </a:extLst>
        </xdr:cNvPr>
        <xdr:cNvSpPr txBox="1"/>
      </xdr:nvSpPr>
      <xdr:spPr>
        <a:xfrm>
          <a:off x="4036218" y="702469"/>
          <a:ext cx="12061032" cy="631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100" b="0" i="0" baseline="0">
              <a:solidFill>
                <a:schemeClr val="tx2"/>
              </a:solidFill>
              <a:effectLst/>
              <a:latin typeface="Arial" panose="020B0604020202020204" pitchFamily="34" charset="0"/>
              <a:ea typeface="+mn-ea"/>
              <a:cs typeface="Arial" panose="020B0604020202020204" pitchFamily="34" charset="0"/>
            </a:rPr>
            <a:t>Use this tool if you have already know the energy savings of a proposed change</a:t>
          </a:r>
          <a:r>
            <a:rPr lang="en-GB" sz="1100" i="0">
              <a:solidFill>
                <a:schemeClr val="tx2"/>
              </a:solidFill>
              <a:effectLst/>
              <a:latin typeface="Arial" panose="020B0604020202020204" pitchFamily="34" charset="0"/>
              <a:ea typeface="+mn-ea"/>
              <a:cs typeface="Arial" panose="020B0604020202020204" pitchFamily="34" charset="0"/>
            </a:rPr>
            <a:t>. Enter the energy use of the options, select their energy source and define their costs. Two options can be compared against a ‘Current’ scenario i.e. the base case. The tool illustrates </a:t>
          </a:r>
          <a:r>
            <a:rPr lang="en-GB" sz="1100" i="0" baseline="0">
              <a:solidFill>
                <a:schemeClr val="tx2"/>
              </a:solidFill>
              <a:effectLst/>
              <a:latin typeface="Arial" panose="020B0604020202020204" pitchFamily="34" charset="0"/>
              <a:ea typeface="+mn-ea"/>
              <a:cs typeface="Arial" panose="020B0604020202020204" pitchFamily="34" charset="0"/>
            </a:rPr>
            <a:t>the cumulative net present value (NPV) for each option and automatically generates payback periods to help with the decision making process. Note: if you wish to group a series energy savings together use separate bespoke to tools for savings associated with different energy sources. </a:t>
          </a:r>
          <a:endParaRPr lang="en-GB" sz="1100" i="0">
            <a:solidFill>
              <a:schemeClr val="tx2"/>
            </a:solidFill>
            <a:effectLst/>
            <a:latin typeface="Arial" panose="020B0604020202020204" pitchFamily="34" charset="0"/>
            <a:ea typeface="+mn-ea"/>
            <a:cs typeface="Arial" panose="020B0604020202020204" pitchFamily="34" charset="0"/>
          </a:endParaRPr>
        </a:p>
      </xdr:txBody>
    </xdr:sp>
    <xdr:clientData/>
  </xdr:twoCellAnchor>
  <xdr:twoCellAnchor>
    <xdr:from>
      <xdr:col>18</xdr:col>
      <xdr:colOff>0</xdr:colOff>
      <xdr:row>10</xdr:row>
      <xdr:rowOff>0</xdr:rowOff>
    </xdr:from>
    <xdr:to>
      <xdr:col>24</xdr:col>
      <xdr:colOff>0</xdr:colOff>
      <xdr:row>38</xdr:row>
      <xdr:rowOff>0</xdr:rowOff>
    </xdr:to>
    <xdr:graphicFrame macro="">
      <xdr:nvGraphicFramePr>
        <xdr:cNvPr id="6" name="Chart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0</xdr:row>
      <xdr:rowOff>17318</xdr:rowOff>
    </xdr:from>
    <xdr:to>
      <xdr:col>8</xdr:col>
      <xdr:colOff>0</xdr:colOff>
      <xdr:row>3</xdr:row>
      <xdr:rowOff>0</xdr:rowOff>
    </xdr:to>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2840182" y="17318"/>
          <a:ext cx="1177636" cy="5541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2400" b="1">
              <a:solidFill>
                <a:schemeClr val="tx2"/>
              </a:solidFill>
              <a:latin typeface="Arial" panose="020B0604020202020204" pitchFamily="34" charset="0"/>
              <a:cs typeface="Arial" panose="020B0604020202020204" pitchFamily="34" charset="0"/>
            </a:rPr>
            <a:t>2.0:</a:t>
          </a:r>
        </a:p>
      </xdr:txBody>
    </xdr:sp>
    <xdr:clientData/>
  </xdr:twoCellAnchor>
  <xdr:twoCellAnchor>
    <xdr:from>
      <xdr:col>21</xdr:col>
      <xdr:colOff>0</xdr:colOff>
      <xdr:row>0</xdr:row>
      <xdr:rowOff>0</xdr:rowOff>
    </xdr:from>
    <xdr:to>
      <xdr:col>22</xdr:col>
      <xdr:colOff>581397</xdr:colOff>
      <xdr:row>3</xdr:row>
      <xdr:rowOff>0</xdr:rowOff>
    </xdr:to>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14962909" y="0"/>
          <a:ext cx="1170215"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2400" i="0">
              <a:solidFill>
                <a:schemeClr val="accent1"/>
              </a:solidFill>
              <a:latin typeface="Arial" panose="020B0604020202020204" pitchFamily="34" charset="0"/>
              <a:cs typeface="Arial" panose="020B0604020202020204" pitchFamily="34" charset="0"/>
            </a:rPr>
            <a:t>BETA</a:t>
          </a:r>
        </a:p>
      </xdr:txBody>
    </xdr:sp>
    <xdr:clientData/>
  </xdr:twoCellAnchor>
  <xdr:twoCellAnchor editAs="oneCell">
    <xdr:from>
      <xdr:col>0</xdr:col>
      <xdr:colOff>0</xdr:colOff>
      <xdr:row>19</xdr:row>
      <xdr:rowOff>0</xdr:rowOff>
    </xdr:from>
    <xdr:to>
      <xdr:col>4</xdr:col>
      <xdr:colOff>236270</xdr:colOff>
      <xdr:row>53</xdr:row>
      <xdr:rowOff>0</xdr:rowOff>
    </xdr:to>
    <xdr:pic>
      <xdr:nvPicPr>
        <xdr:cNvPr id="10" name="Picture 9" descr="Image result for UCL logo">
          <a:extLst>
            <a:ext uri="{FF2B5EF4-FFF2-40B4-BE49-F238E27FC236}">
              <a16:creationId xmlns:a16="http://schemas.microsoft.com/office/drawing/2014/main" id="{00000000-0008-0000-0300-00000A000000}"/>
            </a:ext>
          </a:extLst>
        </xdr:cNvPr>
        <xdr:cNvPicPr>
          <a:picLocks noChangeAspect="1" noChangeArrowheads="1"/>
        </xdr:cNvPicPr>
      </xdr:nvPicPr>
      <xdr:blipFill rotWithShape="1">
        <a:blip xmlns:r="http://schemas.openxmlformats.org/officeDocument/2006/relationships" r:embed="rId2">
          <a:duotone>
            <a:schemeClr val="accent6">
              <a:shade val="45000"/>
              <a:satMod val="135000"/>
            </a:schemeClr>
            <a:prstClr val="white"/>
          </a:duotone>
          <a:extLst>
            <a:ext uri="{BEBA8EAE-BF5A-486C-A8C5-ECC9F3942E4B}">
              <a14:imgProps xmlns:a14="http://schemas.microsoft.com/office/drawing/2010/main">
                <a14:imgLayer r:embed="rId3">
                  <a14:imgEffect>
                    <a14:sharpenSoften amount="50000"/>
                  </a14:imgEffect>
                  <a14:imgEffect>
                    <a14:saturation sat="0"/>
                  </a14:imgEffect>
                  <a14:imgEffect>
                    <a14:brightnessContrast bright="-40000" contrast="40000"/>
                  </a14:imgEffect>
                </a14:imgLayer>
              </a14:imgProps>
            </a:ext>
            <a:ext uri="{28A0092B-C50C-407E-A947-70E740481C1C}">
              <a14:useLocalDpi xmlns:a14="http://schemas.microsoft.com/office/drawing/2010/main" val="0"/>
            </a:ext>
          </a:extLst>
        </a:blip>
        <a:srcRect l="13677"/>
        <a:stretch/>
      </xdr:blipFill>
      <xdr:spPr bwMode="auto">
        <a:xfrm rot="16200000">
          <a:off x="-2115910" y="5735410"/>
          <a:ext cx="6477000" cy="22451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51</xdr:row>
      <xdr:rowOff>0</xdr:rowOff>
    </xdr:from>
    <xdr:to>
      <xdr:col>5</xdr:col>
      <xdr:colOff>0</xdr:colOff>
      <xdr:row>53</xdr:row>
      <xdr:rowOff>0</xdr:rowOff>
    </xdr:to>
    <xdr:sp macro="" textlink="">
      <xdr:nvSpPr>
        <xdr:cNvPr id="11" name="TextBox 10">
          <a:extLst>
            <a:ext uri="{FF2B5EF4-FFF2-40B4-BE49-F238E27FC236}">
              <a16:creationId xmlns:a16="http://schemas.microsoft.com/office/drawing/2014/main" id="{00000000-0008-0000-0300-00000B000000}"/>
            </a:ext>
          </a:extLst>
        </xdr:cNvPr>
        <xdr:cNvSpPr txBox="1"/>
      </xdr:nvSpPr>
      <xdr:spPr>
        <a:xfrm>
          <a:off x="0" y="9715500"/>
          <a:ext cx="2251364"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chemeClr val="bg1"/>
              </a:solidFill>
            </a:rPr>
            <a:t>© 2016 Expedition Engineering Ltd.</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0</xdr:row>
      <xdr:rowOff>0</xdr:rowOff>
    </xdr:from>
    <xdr:to>
      <xdr:col>15</xdr:col>
      <xdr:colOff>0</xdr:colOff>
      <xdr:row>3</xdr:row>
      <xdr:rowOff>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3990975" y="0"/>
          <a:ext cx="6867525"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2400" baseline="0">
              <a:solidFill>
                <a:schemeClr val="tx2"/>
              </a:solidFill>
              <a:latin typeface="Arial" panose="020B0604020202020204" pitchFamily="34" charset="0"/>
              <a:cs typeface="Arial" panose="020B0604020202020204" pitchFamily="34" charset="0"/>
            </a:rPr>
            <a:t>bespoke tool B</a:t>
          </a:r>
          <a:endParaRPr lang="en-GB" sz="2400">
            <a:solidFill>
              <a:schemeClr val="tx2"/>
            </a:solidFill>
            <a:latin typeface="Arial" panose="020B0604020202020204" pitchFamily="34" charset="0"/>
            <a:cs typeface="Arial" panose="020B0604020202020204" pitchFamily="34" charset="0"/>
          </a:endParaRPr>
        </a:p>
      </xdr:txBody>
    </xdr:sp>
    <xdr:clientData/>
  </xdr:twoCellAnchor>
  <xdr:twoCellAnchor>
    <xdr:from>
      <xdr:col>8</xdr:col>
      <xdr:colOff>23812</xdr:colOff>
      <xdr:row>3</xdr:row>
      <xdr:rowOff>130969</xdr:rowOff>
    </xdr:from>
    <xdr:to>
      <xdr:col>23</xdr:col>
      <xdr:colOff>23812</xdr:colOff>
      <xdr:row>7</xdr:row>
      <xdr:rowOff>0</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4036218" y="702469"/>
          <a:ext cx="12061032" cy="631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100" b="0" i="0" baseline="0">
              <a:solidFill>
                <a:schemeClr val="tx2"/>
              </a:solidFill>
              <a:effectLst/>
              <a:latin typeface="Arial" panose="020B0604020202020204" pitchFamily="34" charset="0"/>
              <a:ea typeface="+mn-ea"/>
              <a:cs typeface="Arial" panose="020B0604020202020204" pitchFamily="34" charset="0"/>
            </a:rPr>
            <a:t>Use this tool if you have already know the energy savings of a proposed change</a:t>
          </a:r>
          <a:r>
            <a:rPr lang="en-GB" sz="1100" i="0">
              <a:solidFill>
                <a:schemeClr val="tx2"/>
              </a:solidFill>
              <a:effectLst/>
              <a:latin typeface="Arial" panose="020B0604020202020204" pitchFamily="34" charset="0"/>
              <a:ea typeface="+mn-ea"/>
              <a:cs typeface="Arial" panose="020B0604020202020204" pitchFamily="34" charset="0"/>
            </a:rPr>
            <a:t>. Enter the energy use of the options, select their energy source and define their costs. Two options can be compared against a ‘Current’ scenario i.e. the base case. The tool illustrates </a:t>
          </a:r>
          <a:r>
            <a:rPr lang="en-GB" sz="1100" i="0" baseline="0">
              <a:solidFill>
                <a:schemeClr val="tx2"/>
              </a:solidFill>
              <a:effectLst/>
              <a:latin typeface="Arial" panose="020B0604020202020204" pitchFamily="34" charset="0"/>
              <a:ea typeface="+mn-ea"/>
              <a:cs typeface="Arial" panose="020B0604020202020204" pitchFamily="34" charset="0"/>
            </a:rPr>
            <a:t>the cumulative net present value (NPV) for each option and automatically generates payback periods to help with the decision making process. </a:t>
          </a:r>
          <a:r>
            <a:rPr kumimoji="0" lang="en-GB" sz="1100" b="0" i="0" u="none" strike="noStrike" kern="0" cap="none" spc="0" normalizeH="0" baseline="0" noProof="0">
              <a:ln>
                <a:noFill/>
              </a:ln>
              <a:solidFill>
                <a:srgbClr val="8C8278"/>
              </a:solidFill>
              <a:effectLst/>
              <a:uLnTx/>
              <a:uFillTx/>
              <a:latin typeface="Arial" panose="020B0604020202020204" pitchFamily="34" charset="0"/>
              <a:ea typeface="+mn-ea"/>
              <a:cs typeface="Arial" panose="020B0604020202020204" pitchFamily="34" charset="0"/>
            </a:rPr>
            <a:t>Note: if you wish to group a series energy savings together use separate bespoke to tools for savings associated with different energy sources. </a:t>
          </a:r>
          <a:endParaRPr lang="en-GB" sz="1100" i="0">
            <a:solidFill>
              <a:schemeClr val="tx2"/>
            </a:solidFill>
            <a:effectLst/>
            <a:latin typeface="Arial" panose="020B0604020202020204" pitchFamily="34" charset="0"/>
            <a:ea typeface="+mn-ea"/>
            <a:cs typeface="Arial" panose="020B0604020202020204" pitchFamily="34" charset="0"/>
          </a:endParaRPr>
        </a:p>
      </xdr:txBody>
    </xdr:sp>
    <xdr:clientData/>
  </xdr:twoCellAnchor>
  <xdr:twoCellAnchor>
    <xdr:from>
      <xdr:col>18</xdr:col>
      <xdr:colOff>0</xdr:colOff>
      <xdr:row>10</xdr:row>
      <xdr:rowOff>0</xdr:rowOff>
    </xdr:from>
    <xdr:to>
      <xdr:col>24</xdr:col>
      <xdr:colOff>0</xdr:colOff>
      <xdr:row>38</xdr:row>
      <xdr:rowOff>0</xdr:rowOff>
    </xdr:to>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0</xdr:row>
      <xdr:rowOff>17318</xdr:rowOff>
    </xdr:from>
    <xdr:to>
      <xdr:col>8</xdr:col>
      <xdr:colOff>0</xdr:colOff>
      <xdr:row>3</xdr:row>
      <xdr:rowOff>0</xdr:rowOff>
    </xdr:to>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2828925" y="17318"/>
          <a:ext cx="1162050" cy="5541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2400" b="1">
              <a:solidFill>
                <a:schemeClr val="tx2"/>
              </a:solidFill>
              <a:latin typeface="Arial" panose="020B0604020202020204" pitchFamily="34" charset="0"/>
              <a:cs typeface="Arial" panose="020B0604020202020204" pitchFamily="34" charset="0"/>
            </a:rPr>
            <a:t>2.0:</a:t>
          </a:r>
        </a:p>
      </xdr:txBody>
    </xdr:sp>
    <xdr:clientData/>
  </xdr:twoCellAnchor>
  <xdr:twoCellAnchor>
    <xdr:from>
      <xdr:col>21</xdr:col>
      <xdr:colOff>0</xdr:colOff>
      <xdr:row>0</xdr:row>
      <xdr:rowOff>0</xdr:rowOff>
    </xdr:from>
    <xdr:to>
      <xdr:col>22</xdr:col>
      <xdr:colOff>581397</xdr:colOff>
      <xdr:row>3</xdr:row>
      <xdr:rowOff>0</xdr:rowOff>
    </xdr:to>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14878050" y="0"/>
          <a:ext cx="1162422"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2400" i="0">
              <a:solidFill>
                <a:schemeClr val="accent1"/>
              </a:solidFill>
              <a:latin typeface="Arial" panose="020B0604020202020204" pitchFamily="34" charset="0"/>
              <a:cs typeface="Arial" panose="020B0604020202020204" pitchFamily="34" charset="0"/>
            </a:rPr>
            <a:t>BETA</a:t>
          </a:r>
        </a:p>
      </xdr:txBody>
    </xdr:sp>
    <xdr:clientData/>
  </xdr:twoCellAnchor>
  <xdr:twoCellAnchor editAs="oneCell">
    <xdr:from>
      <xdr:col>0</xdr:col>
      <xdr:colOff>0</xdr:colOff>
      <xdr:row>19</xdr:row>
      <xdr:rowOff>2</xdr:rowOff>
    </xdr:from>
    <xdr:to>
      <xdr:col>4</xdr:col>
      <xdr:colOff>236270</xdr:colOff>
      <xdr:row>53</xdr:row>
      <xdr:rowOff>2</xdr:rowOff>
    </xdr:to>
    <xdr:pic>
      <xdr:nvPicPr>
        <xdr:cNvPr id="9" name="Picture 8" descr="Image result for UCL logo">
          <a:extLst>
            <a:ext uri="{FF2B5EF4-FFF2-40B4-BE49-F238E27FC236}">
              <a16:creationId xmlns:a16="http://schemas.microsoft.com/office/drawing/2014/main" id="{00000000-0008-0000-0400-000009000000}"/>
            </a:ext>
          </a:extLst>
        </xdr:cNvPr>
        <xdr:cNvPicPr>
          <a:picLocks noChangeAspect="1" noChangeArrowheads="1"/>
        </xdr:cNvPicPr>
      </xdr:nvPicPr>
      <xdr:blipFill rotWithShape="1">
        <a:blip xmlns:r="http://schemas.openxmlformats.org/officeDocument/2006/relationships" r:embed="rId2">
          <a:duotone>
            <a:schemeClr val="accent6">
              <a:shade val="45000"/>
              <a:satMod val="135000"/>
            </a:schemeClr>
            <a:prstClr val="white"/>
          </a:duotone>
          <a:extLst>
            <a:ext uri="{BEBA8EAE-BF5A-486C-A8C5-ECC9F3942E4B}">
              <a14:imgProps xmlns:a14="http://schemas.microsoft.com/office/drawing/2010/main">
                <a14:imgLayer r:embed="rId3">
                  <a14:imgEffect>
                    <a14:sharpenSoften amount="50000"/>
                  </a14:imgEffect>
                  <a14:imgEffect>
                    <a14:saturation sat="0"/>
                  </a14:imgEffect>
                  <a14:imgEffect>
                    <a14:brightnessContrast bright="-40000" contrast="40000"/>
                  </a14:imgEffect>
                </a14:imgLayer>
              </a14:imgProps>
            </a:ext>
            <a:ext uri="{28A0092B-C50C-407E-A947-70E740481C1C}">
              <a14:useLocalDpi xmlns:a14="http://schemas.microsoft.com/office/drawing/2010/main" val="0"/>
            </a:ext>
          </a:extLst>
        </a:blip>
        <a:srcRect l="13677"/>
        <a:stretch/>
      </xdr:blipFill>
      <xdr:spPr bwMode="auto">
        <a:xfrm rot="16200000">
          <a:off x="-2115910" y="5735412"/>
          <a:ext cx="6477000" cy="22451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51</xdr:row>
      <xdr:rowOff>2</xdr:rowOff>
    </xdr:from>
    <xdr:to>
      <xdr:col>5</xdr:col>
      <xdr:colOff>0</xdr:colOff>
      <xdr:row>53</xdr:row>
      <xdr:rowOff>2</xdr:rowOff>
    </xdr:to>
    <xdr:sp macro="" textlink="">
      <xdr:nvSpPr>
        <xdr:cNvPr id="10" name="TextBox 9">
          <a:extLst>
            <a:ext uri="{FF2B5EF4-FFF2-40B4-BE49-F238E27FC236}">
              <a16:creationId xmlns:a16="http://schemas.microsoft.com/office/drawing/2014/main" id="{00000000-0008-0000-0400-00000A000000}"/>
            </a:ext>
          </a:extLst>
        </xdr:cNvPr>
        <xdr:cNvSpPr txBox="1"/>
      </xdr:nvSpPr>
      <xdr:spPr>
        <a:xfrm>
          <a:off x="0" y="9715502"/>
          <a:ext cx="2251364"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chemeClr val="bg1"/>
              </a:solidFill>
            </a:rPr>
            <a:t>© 2016 Expedition Engineering Ltd.</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0</xdr:colOff>
      <xdr:row>0</xdr:row>
      <xdr:rowOff>0</xdr:rowOff>
    </xdr:from>
    <xdr:to>
      <xdr:col>15</xdr:col>
      <xdr:colOff>0</xdr:colOff>
      <xdr:row>3</xdr:row>
      <xdr:rowOff>0</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3990975" y="0"/>
          <a:ext cx="6867525"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2400" baseline="0">
              <a:solidFill>
                <a:schemeClr val="tx2"/>
              </a:solidFill>
              <a:latin typeface="Arial" panose="020B0604020202020204" pitchFamily="34" charset="0"/>
              <a:cs typeface="Arial" panose="020B0604020202020204" pitchFamily="34" charset="0"/>
            </a:rPr>
            <a:t>bespoke tool C</a:t>
          </a:r>
          <a:endParaRPr lang="en-GB" sz="2400">
            <a:solidFill>
              <a:schemeClr val="tx2"/>
            </a:solidFill>
            <a:latin typeface="Arial" panose="020B0604020202020204" pitchFamily="34" charset="0"/>
            <a:cs typeface="Arial" panose="020B0604020202020204" pitchFamily="34" charset="0"/>
          </a:endParaRPr>
        </a:p>
      </xdr:txBody>
    </xdr:sp>
    <xdr:clientData/>
  </xdr:twoCellAnchor>
  <xdr:twoCellAnchor>
    <xdr:from>
      <xdr:col>8</xdr:col>
      <xdr:colOff>23812</xdr:colOff>
      <xdr:row>3</xdr:row>
      <xdr:rowOff>130969</xdr:rowOff>
    </xdr:from>
    <xdr:to>
      <xdr:col>23</xdr:col>
      <xdr:colOff>23812</xdr:colOff>
      <xdr:row>7</xdr:row>
      <xdr:rowOff>0</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4036218" y="702469"/>
          <a:ext cx="12061032" cy="631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100" b="0" i="0" baseline="0">
              <a:solidFill>
                <a:schemeClr val="tx2"/>
              </a:solidFill>
              <a:effectLst/>
              <a:latin typeface="Arial" panose="020B0604020202020204" pitchFamily="34" charset="0"/>
              <a:ea typeface="+mn-ea"/>
              <a:cs typeface="Arial" panose="020B0604020202020204" pitchFamily="34" charset="0"/>
            </a:rPr>
            <a:t>Use this tool if you have already know the energy savings of a proposed change</a:t>
          </a:r>
          <a:r>
            <a:rPr lang="en-GB" sz="1100" i="0">
              <a:solidFill>
                <a:schemeClr val="tx2"/>
              </a:solidFill>
              <a:effectLst/>
              <a:latin typeface="Arial" panose="020B0604020202020204" pitchFamily="34" charset="0"/>
              <a:ea typeface="+mn-ea"/>
              <a:cs typeface="Arial" panose="020B0604020202020204" pitchFamily="34" charset="0"/>
            </a:rPr>
            <a:t>. Enter the energy use of the options, select their energy source and define their costs. Two options can be compared against a ‘Current’ scenario i.e. the base case. The tool illustrates </a:t>
          </a:r>
          <a:r>
            <a:rPr lang="en-GB" sz="1100" i="0" baseline="0">
              <a:solidFill>
                <a:schemeClr val="tx2"/>
              </a:solidFill>
              <a:effectLst/>
              <a:latin typeface="Arial" panose="020B0604020202020204" pitchFamily="34" charset="0"/>
              <a:ea typeface="+mn-ea"/>
              <a:cs typeface="Arial" panose="020B0604020202020204" pitchFamily="34" charset="0"/>
            </a:rPr>
            <a:t>the cumulative net present value (NPV) for each option and automatically generates payback periods to help with the decision making process. </a:t>
          </a:r>
          <a:r>
            <a:rPr kumimoji="0" lang="en-GB" sz="1100" b="0" i="0" u="none" strike="noStrike" kern="0" cap="none" spc="0" normalizeH="0" baseline="0" noProof="0">
              <a:ln>
                <a:noFill/>
              </a:ln>
              <a:solidFill>
                <a:srgbClr val="8C8278"/>
              </a:solidFill>
              <a:effectLst/>
              <a:uLnTx/>
              <a:uFillTx/>
              <a:latin typeface="Arial" panose="020B0604020202020204" pitchFamily="34" charset="0"/>
              <a:ea typeface="+mn-ea"/>
              <a:cs typeface="Arial" panose="020B0604020202020204" pitchFamily="34" charset="0"/>
            </a:rPr>
            <a:t>Note: if you wish to group a series energy savings together use separate bespoke to tools for savings associated with different energy sources. </a:t>
          </a:r>
          <a:endParaRPr lang="en-GB" sz="1100" i="0">
            <a:solidFill>
              <a:schemeClr val="tx2"/>
            </a:solidFill>
            <a:effectLst/>
            <a:latin typeface="Arial" panose="020B0604020202020204" pitchFamily="34" charset="0"/>
            <a:ea typeface="+mn-ea"/>
            <a:cs typeface="Arial" panose="020B0604020202020204" pitchFamily="34" charset="0"/>
          </a:endParaRPr>
        </a:p>
      </xdr:txBody>
    </xdr:sp>
    <xdr:clientData/>
  </xdr:twoCellAnchor>
  <xdr:twoCellAnchor>
    <xdr:from>
      <xdr:col>18</xdr:col>
      <xdr:colOff>0</xdr:colOff>
      <xdr:row>10</xdr:row>
      <xdr:rowOff>0</xdr:rowOff>
    </xdr:from>
    <xdr:to>
      <xdr:col>24</xdr:col>
      <xdr:colOff>0</xdr:colOff>
      <xdr:row>38</xdr:row>
      <xdr:rowOff>0</xdr:rowOff>
    </xdr:to>
    <xdr:graphicFrame macro="">
      <xdr:nvGraphicFramePr>
        <xdr:cNvPr id="4" name="Chart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0</xdr:row>
      <xdr:rowOff>17318</xdr:rowOff>
    </xdr:from>
    <xdr:to>
      <xdr:col>8</xdr:col>
      <xdr:colOff>0</xdr:colOff>
      <xdr:row>3</xdr:row>
      <xdr:rowOff>0</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2828925" y="17318"/>
          <a:ext cx="1162050" cy="5541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2400" b="1">
              <a:solidFill>
                <a:schemeClr val="tx2"/>
              </a:solidFill>
              <a:latin typeface="Arial" panose="020B0604020202020204" pitchFamily="34" charset="0"/>
              <a:cs typeface="Arial" panose="020B0604020202020204" pitchFamily="34" charset="0"/>
            </a:rPr>
            <a:t>2.0:</a:t>
          </a:r>
        </a:p>
      </xdr:txBody>
    </xdr:sp>
    <xdr:clientData/>
  </xdr:twoCellAnchor>
  <xdr:twoCellAnchor>
    <xdr:from>
      <xdr:col>21</xdr:col>
      <xdr:colOff>0</xdr:colOff>
      <xdr:row>0</xdr:row>
      <xdr:rowOff>0</xdr:rowOff>
    </xdr:from>
    <xdr:to>
      <xdr:col>22</xdr:col>
      <xdr:colOff>581397</xdr:colOff>
      <xdr:row>3</xdr:row>
      <xdr:rowOff>0</xdr:rowOff>
    </xdr:to>
    <xdr:sp macro="" textlink="">
      <xdr:nvSpPr>
        <xdr:cNvPr id="6" name="TextBox 5">
          <a:extLst>
            <a:ext uri="{FF2B5EF4-FFF2-40B4-BE49-F238E27FC236}">
              <a16:creationId xmlns:a16="http://schemas.microsoft.com/office/drawing/2014/main" id="{00000000-0008-0000-0500-000006000000}"/>
            </a:ext>
          </a:extLst>
        </xdr:cNvPr>
        <xdr:cNvSpPr txBox="1"/>
      </xdr:nvSpPr>
      <xdr:spPr>
        <a:xfrm>
          <a:off x="14878050" y="0"/>
          <a:ext cx="1162422"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2400" i="0">
              <a:solidFill>
                <a:schemeClr val="accent1"/>
              </a:solidFill>
              <a:latin typeface="Arial" panose="020B0604020202020204" pitchFamily="34" charset="0"/>
              <a:cs typeface="Arial" panose="020B0604020202020204" pitchFamily="34" charset="0"/>
            </a:rPr>
            <a:t>BETA</a:t>
          </a:r>
        </a:p>
      </xdr:txBody>
    </xdr:sp>
    <xdr:clientData/>
  </xdr:twoCellAnchor>
  <xdr:twoCellAnchor editAs="oneCell">
    <xdr:from>
      <xdr:col>0</xdr:col>
      <xdr:colOff>0</xdr:colOff>
      <xdr:row>19</xdr:row>
      <xdr:rowOff>0</xdr:rowOff>
    </xdr:from>
    <xdr:to>
      <xdr:col>4</xdr:col>
      <xdr:colOff>236270</xdr:colOff>
      <xdr:row>53</xdr:row>
      <xdr:rowOff>0</xdr:rowOff>
    </xdr:to>
    <xdr:pic>
      <xdr:nvPicPr>
        <xdr:cNvPr id="7" name="Picture 6" descr="Image result for UCL logo">
          <a:extLst>
            <a:ext uri="{FF2B5EF4-FFF2-40B4-BE49-F238E27FC236}">
              <a16:creationId xmlns:a16="http://schemas.microsoft.com/office/drawing/2014/main" id="{00000000-0008-0000-0500-000007000000}"/>
            </a:ext>
          </a:extLst>
        </xdr:cNvPr>
        <xdr:cNvPicPr>
          <a:picLocks noChangeAspect="1" noChangeArrowheads="1"/>
        </xdr:cNvPicPr>
      </xdr:nvPicPr>
      <xdr:blipFill rotWithShape="1">
        <a:blip xmlns:r="http://schemas.openxmlformats.org/officeDocument/2006/relationships" r:embed="rId2">
          <a:duotone>
            <a:schemeClr val="accent6">
              <a:shade val="45000"/>
              <a:satMod val="135000"/>
            </a:schemeClr>
            <a:prstClr val="white"/>
          </a:duotone>
          <a:extLst>
            <a:ext uri="{BEBA8EAE-BF5A-486C-A8C5-ECC9F3942E4B}">
              <a14:imgProps xmlns:a14="http://schemas.microsoft.com/office/drawing/2010/main">
                <a14:imgLayer r:embed="rId3">
                  <a14:imgEffect>
                    <a14:sharpenSoften amount="50000"/>
                  </a14:imgEffect>
                  <a14:imgEffect>
                    <a14:saturation sat="0"/>
                  </a14:imgEffect>
                  <a14:imgEffect>
                    <a14:brightnessContrast bright="-40000" contrast="40000"/>
                  </a14:imgEffect>
                </a14:imgLayer>
              </a14:imgProps>
            </a:ext>
            <a:ext uri="{28A0092B-C50C-407E-A947-70E740481C1C}">
              <a14:useLocalDpi xmlns:a14="http://schemas.microsoft.com/office/drawing/2010/main" val="0"/>
            </a:ext>
          </a:extLst>
        </a:blip>
        <a:srcRect l="13677"/>
        <a:stretch/>
      </xdr:blipFill>
      <xdr:spPr bwMode="auto">
        <a:xfrm rot="16200000">
          <a:off x="-2115910" y="5735410"/>
          <a:ext cx="6477000" cy="22451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51</xdr:row>
      <xdr:rowOff>0</xdr:rowOff>
    </xdr:from>
    <xdr:to>
      <xdr:col>5</xdr:col>
      <xdr:colOff>0</xdr:colOff>
      <xdr:row>53</xdr:row>
      <xdr:rowOff>0</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0" y="9715500"/>
          <a:ext cx="2251364"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chemeClr val="bg1"/>
              </a:solidFill>
            </a:rPr>
            <a:t>© 2016 Expedition Engineering Ltd.</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0</xdr:colOff>
      <xdr:row>0</xdr:row>
      <xdr:rowOff>0</xdr:rowOff>
    </xdr:from>
    <xdr:to>
      <xdr:col>20</xdr:col>
      <xdr:colOff>0</xdr:colOff>
      <xdr:row>3</xdr:row>
      <xdr:rowOff>0</xdr:rowOff>
    </xdr:to>
    <xdr:sp macro="" textlink="">
      <xdr:nvSpPr>
        <xdr:cNvPr id="6" name="TextBox 5">
          <a:extLst>
            <a:ext uri="{FF2B5EF4-FFF2-40B4-BE49-F238E27FC236}">
              <a16:creationId xmlns:a16="http://schemas.microsoft.com/office/drawing/2014/main" id="{00000000-0008-0000-0600-000006000000}"/>
            </a:ext>
          </a:extLst>
        </xdr:cNvPr>
        <xdr:cNvSpPr txBox="1"/>
      </xdr:nvSpPr>
      <xdr:spPr>
        <a:xfrm>
          <a:off x="4017818" y="0"/>
          <a:ext cx="12365182"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2400">
              <a:solidFill>
                <a:schemeClr val="tx2"/>
              </a:solidFill>
              <a:latin typeface="Arial" panose="020B0604020202020204" pitchFamily="34" charset="0"/>
              <a:cs typeface="Arial" panose="020B0604020202020204" pitchFamily="34" charset="0"/>
            </a:rPr>
            <a:t>building fabric tool</a:t>
          </a:r>
        </a:p>
      </xdr:txBody>
    </xdr:sp>
    <xdr:clientData/>
  </xdr:twoCellAnchor>
  <xdr:twoCellAnchor>
    <xdr:from>
      <xdr:col>6</xdr:col>
      <xdr:colOff>0</xdr:colOff>
      <xdr:row>0</xdr:row>
      <xdr:rowOff>0</xdr:rowOff>
    </xdr:from>
    <xdr:to>
      <xdr:col>8</xdr:col>
      <xdr:colOff>0</xdr:colOff>
      <xdr:row>3</xdr:row>
      <xdr:rowOff>0</xdr:rowOff>
    </xdr:to>
    <xdr:sp macro="" textlink="">
      <xdr:nvSpPr>
        <xdr:cNvPr id="14" name="TextBox 13">
          <a:extLst>
            <a:ext uri="{FF2B5EF4-FFF2-40B4-BE49-F238E27FC236}">
              <a16:creationId xmlns:a16="http://schemas.microsoft.com/office/drawing/2014/main" id="{00000000-0008-0000-0600-00000E000000}"/>
            </a:ext>
          </a:extLst>
        </xdr:cNvPr>
        <xdr:cNvSpPr txBox="1"/>
      </xdr:nvSpPr>
      <xdr:spPr>
        <a:xfrm>
          <a:off x="2840182" y="0"/>
          <a:ext cx="1177636"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2400" b="1">
              <a:solidFill>
                <a:schemeClr val="tx2"/>
              </a:solidFill>
              <a:latin typeface="Arial" panose="020B0604020202020204" pitchFamily="34" charset="0"/>
              <a:cs typeface="Arial" panose="020B0604020202020204" pitchFamily="34" charset="0"/>
            </a:rPr>
            <a:t>2.1:</a:t>
          </a:r>
        </a:p>
      </xdr:txBody>
    </xdr:sp>
    <xdr:clientData/>
  </xdr:twoCellAnchor>
  <xdr:twoCellAnchor>
    <xdr:from>
      <xdr:col>8</xdr:col>
      <xdr:colOff>29184</xdr:colOff>
      <xdr:row>3</xdr:row>
      <xdr:rowOff>130970</xdr:rowOff>
    </xdr:from>
    <xdr:to>
      <xdr:col>22</xdr:col>
      <xdr:colOff>523877</xdr:colOff>
      <xdr:row>7</xdr:row>
      <xdr:rowOff>35720</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4041590" y="702470"/>
          <a:ext cx="11972318" cy="666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1100" b="0" i="0" baseline="0">
              <a:solidFill>
                <a:schemeClr val="tx2"/>
              </a:solidFill>
              <a:effectLst/>
              <a:latin typeface="Arial" panose="020B0604020202020204" pitchFamily="34" charset="0"/>
              <a:ea typeface="+mn-ea"/>
              <a:cs typeface="Arial" panose="020B0604020202020204" pitchFamily="34" charset="0"/>
            </a:rPr>
            <a:t>Use this tool to make changes to building U-values and/or air tightness. Enter existing areas of building fabric for all components even for those you are not planning on changing. Enter the U-value for each building element or use the handy drop down menus to select typical construction types. Define the areas of the building fabric you are proposing to change (this can be the total existing fabric area or part of it) and enter the proposed U-value. Define air permeability before and after your changes and enter costs for the total works.  </a:t>
          </a:r>
          <a:endParaRPr lang="en-GB" sz="1100" i="0">
            <a:solidFill>
              <a:schemeClr val="tx2"/>
            </a:solidFill>
            <a:effectLst/>
            <a:latin typeface="Arial" panose="020B0604020202020204" pitchFamily="34" charset="0"/>
            <a:cs typeface="Arial" panose="020B0604020202020204" pitchFamily="34" charset="0"/>
          </a:endParaRPr>
        </a:p>
      </xdr:txBody>
    </xdr:sp>
    <xdr:clientData/>
  </xdr:twoCellAnchor>
  <xdr:twoCellAnchor>
    <xdr:from>
      <xdr:col>18</xdr:col>
      <xdr:colOff>0</xdr:colOff>
      <xdr:row>10</xdr:row>
      <xdr:rowOff>0</xdr:rowOff>
    </xdr:from>
    <xdr:to>
      <xdr:col>24</xdr:col>
      <xdr:colOff>0</xdr:colOff>
      <xdr:row>38</xdr:row>
      <xdr:rowOff>0</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0</xdr:colOff>
      <xdr:row>0</xdr:row>
      <xdr:rowOff>0</xdr:rowOff>
    </xdr:from>
    <xdr:to>
      <xdr:col>22</xdr:col>
      <xdr:colOff>581397</xdr:colOff>
      <xdr:row>3</xdr:row>
      <xdr:rowOff>0</xdr:rowOff>
    </xdr:to>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14962909" y="0"/>
          <a:ext cx="1170215"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2400" i="0">
              <a:solidFill>
                <a:schemeClr val="accent1"/>
              </a:solidFill>
              <a:latin typeface="Arial" panose="020B0604020202020204" pitchFamily="34" charset="0"/>
              <a:cs typeface="Arial" panose="020B0604020202020204" pitchFamily="34" charset="0"/>
            </a:rPr>
            <a:t>BETA</a:t>
          </a:r>
        </a:p>
      </xdr:txBody>
    </xdr:sp>
    <xdr:clientData/>
  </xdr:twoCellAnchor>
  <xdr:twoCellAnchor editAs="oneCell">
    <xdr:from>
      <xdr:col>0</xdr:col>
      <xdr:colOff>0</xdr:colOff>
      <xdr:row>19</xdr:row>
      <xdr:rowOff>2</xdr:rowOff>
    </xdr:from>
    <xdr:to>
      <xdr:col>4</xdr:col>
      <xdr:colOff>236270</xdr:colOff>
      <xdr:row>53</xdr:row>
      <xdr:rowOff>2</xdr:rowOff>
    </xdr:to>
    <xdr:pic>
      <xdr:nvPicPr>
        <xdr:cNvPr id="9" name="Picture 8" descr="Image result for UCL logo">
          <a:extLst>
            <a:ext uri="{FF2B5EF4-FFF2-40B4-BE49-F238E27FC236}">
              <a16:creationId xmlns:a16="http://schemas.microsoft.com/office/drawing/2014/main" id="{00000000-0008-0000-0600-000009000000}"/>
            </a:ext>
          </a:extLst>
        </xdr:cNvPr>
        <xdr:cNvPicPr>
          <a:picLocks noChangeAspect="1" noChangeArrowheads="1"/>
        </xdr:cNvPicPr>
      </xdr:nvPicPr>
      <xdr:blipFill rotWithShape="1">
        <a:blip xmlns:r="http://schemas.openxmlformats.org/officeDocument/2006/relationships" r:embed="rId2">
          <a:duotone>
            <a:prstClr val="black"/>
            <a:schemeClr val="tx2">
              <a:tint val="45000"/>
              <a:satMod val="400000"/>
            </a:schemeClr>
          </a:duotone>
          <a:extLst>
            <a:ext uri="{BEBA8EAE-BF5A-486C-A8C5-ECC9F3942E4B}">
              <a14:imgProps xmlns:a14="http://schemas.microsoft.com/office/drawing/2010/main">
                <a14:imgLayer r:embed="rId3">
                  <a14:imgEffect>
                    <a14:sharpenSoften amount="50000"/>
                  </a14:imgEffect>
                  <a14:imgEffect>
                    <a14:saturation sat="192000"/>
                  </a14:imgEffect>
                  <a14:imgEffect>
                    <a14:brightnessContrast bright="31000" contrast="-69000"/>
                  </a14:imgEffect>
                </a14:imgLayer>
              </a14:imgProps>
            </a:ext>
            <a:ext uri="{28A0092B-C50C-407E-A947-70E740481C1C}">
              <a14:useLocalDpi xmlns:a14="http://schemas.microsoft.com/office/drawing/2010/main" val="0"/>
            </a:ext>
          </a:extLst>
        </a:blip>
        <a:srcRect l="13677"/>
        <a:stretch/>
      </xdr:blipFill>
      <xdr:spPr bwMode="auto">
        <a:xfrm rot="16200000">
          <a:off x="-2115910" y="5735412"/>
          <a:ext cx="6477000" cy="22451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51</xdr:row>
      <xdr:rowOff>0</xdr:rowOff>
    </xdr:from>
    <xdr:to>
      <xdr:col>5</xdr:col>
      <xdr:colOff>0</xdr:colOff>
      <xdr:row>53</xdr:row>
      <xdr:rowOff>0</xdr:rowOff>
    </xdr:to>
    <xdr:sp macro="" textlink="">
      <xdr:nvSpPr>
        <xdr:cNvPr id="10" name="TextBox 9">
          <a:extLst>
            <a:ext uri="{FF2B5EF4-FFF2-40B4-BE49-F238E27FC236}">
              <a16:creationId xmlns:a16="http://schemas.microsoft.com/office/drawing/2014/main" id="{00000000-0008-0000-0600-00000A000000}"/>
            </a:ext>
          </a:extLst>
        </xdr:cNvPr>
        <xdr:cNvSpPr txBox="1"/>
      </xdr:nvSpPr>
      <xdr:spPr>
        <a:xfrm>
          <a:off x="0" y="9715500"/>
          <a:ext cx="2251364"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chemeClr val="bg1"/>
              </a:solidFill>
            </a:rPr>
            <a:t>© 2016 Expedition Engineering Ltd.</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0</xdr:row>
      <xdr:rowOff>0</xdr:rowOff>
    </xdr:from>
    <xdr:to>
      <xdr:col>21</xdr:col>
      <xdr:colOff>0</xdr:colOff>
      <xdr:row>3</xdr:row>
      <xdr:rowOff>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4017818" y="0"/>
          <a:ext cx="12954000"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2400">
              <a:solidFill>
                <a:schemeClr val="accent5"/>
              </a:solidFill>
              <a:latin typeface="Arial" panose="020B0604020202020204" pitchFamily="34" charset="0"/>
              <a:cs typeface="Arial" panose="020B0604020202020204" pitchFamily="34" charset="0"/>
            </a:rPr>
            <a:t>ventilation tool</a:t>
          </a:r>
        </a:p>
      </xdr:txBody>
    </xdr:sp>
    <xdr:clientData/>
  </xdr:twoCellAnchor>
  <xdr:twoCellAnchor>
    <xdr:from>
      <xdr:col>6</xdr:col>
      <xdr:colOff>0</xdr:colOff>
      <xdr:row>0</xdr:row>
      <xdr:rowOff>0</xdr:rowOff>
    </xdr:from>
    <xdr:to>
      <xdr:col>8</xdr:col>
      <xdr:colOff>0</xdr:colOff>
      <xdr:row>3</xdr:row>
      <xdr:rowOff>0</xdr:rowOff>
    </xdr:to>
    <xdr:sp macro="" textlink="">
      <xdr:nvSpPr>
        <xdr:cNvPr id="5" name="TextBox 4">
          <a:extLst>
            <a:ext uri="{FF2B5EF4-FFF2-40B4-BE49-F238E27FC236}">
              <a16:creationId xmlns:a16="http://schemas.microsoft.com/office/drawing/2014/main" id="{00000000-0008-0000-0700-000005000000}"/>
            </a:ext>
          </a:extLst>
        </xdr:cNvPr>
        <xdr:cNvSpPr txBox="1"/>
      </xdr:nvSpPr>
      <xdr:spPr>
        <a:xfrm>
          <a:off x="2840182" y="0"/>
          <a:ext cx="1177636"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2400" b="1">
              <a:solidFill>
                <a:schemeClr val="accent5"/>
              </a:solidFill>
              <a:latin typeface="Arial" panose="020B0604020202020204" pitchFamily="34" charset="0"/>
              <a:cs typeface="Arial" panose="020B0604020202020204" pitchFamily="34" charset="0"/>
            </a:rPr>
            <a:t>2.5:</a:t>
          </a:r>
        </a:p>
      </xdr:txBody>
    </xdr:sp>
    <xdr:clientData/>
  </xdr:twoCellAnchor>
  <xdr:twoCellAnchor>
    <xdr:from>
      <xdr:col>8</xdr:col>
      <xdr:colOff>20679</xdr:colOff>
      <xdr:row>3</xdr:row>
      <xdr:rowOff>122464</xdr:rowOff>
    </xdr:from>
    <xdr:to>
      <xdr:col>22</xdr:col>
      <xdr:colOff>517072</xdr:colOff>
      <xdr:row>7</xdr:row>
      <xdr:rowOff>68035</xdr:rowOff>
    </xdr:to>
    <xdr:sp macro="" textlink="">
      <xdr:nvSpPr>
        <xdr:cNvPr id="9" name="TextBox 8">
          <a:extLst>
            <a:ext uri="{FF2B5EF4-FFF2-40B4-BE49-F238E27FC236}">
              <a16:creationId xmlns:a16="http://schemas.microsoft.com/office/drawing/2014/main" id="{00000000-0008-0000-0700-000009000000}"/>
            </a:ext>
          </a:extLst>
        </xdr:cNvPr>
        <xdr:cNvSpPr txBox="1"/>
      </xdr:nvSpPr>
      <xdr:spPr>
        <a:xfrm>
          <a:off x="4021179" y="693964"/>
          <a:ext cx="11980822" cy="707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chemeClr val="tx2"/>
              </a:solidFill>
              <a:effectLst/>
              <a:uLnTx/>
              <a:uFillTx/>
              <a:latin typeface="Arial" panose="020B0604020202020204" pitchFamily="34" charset="0"/>
              <a:ea typeface="+mn-ea"/>
              <a:cs typeface="Arial" panose="020B0604020202020204" pitchFamily="34" charset="0"/>
            </a:rPr>
            <a:t>Use this tool to compare and/or amend natural and mechanical ventilation strategies. Define the flow rate of your system by entering the ventilation rate (12 litres/second/person is recommended for office spaces) and the number of occupants. Select whether your space is naturally or mechanically ventilated. If mechanically ventilated there are a few more selections you can make on control, heat recovery and specific fan powers. Finally, enter costs for the total works.</a:t>
          </a:r>
        </a:p>
      </xdr:txBody>
    </xdr:sp>
    <xdr:clientData/>
  </xdr:twoCellAnchor>
  <xdr:twoCellAnchor>
    <xdr:from>
      <xdr:col>18</xdr:col>
      <xdr:colOff>0</xdr:colOff>
      <xdr:row>10</xdr:row>
      <xdr:rowOff>0</xdr:rowOff>
    </xdr:from>
    <xdr:to>
      <xdr:col>24</xdr:col>
      <xdr:colOff>0</xdr:colOff>
      <xdr:row>38</xdr:row>
      <xdr:rowOff>0</xdr:rowOff>
    </xdr:to>
    <xdr:graphicFrame macro="">
      <xdr:nvGraphicFramePr>
        <xdr:cNvPr id="6" name="Chart 5">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0</xdr:colOff>
      <xdr:row>0</xdr:row>
      <xdr:rowOff>0</xdr:rowOff>
    </xdr:from>
    <xdr:to>
      <xdr:col>22</xdr:col>
      <xdr:colOff>581397</xdr:colOff>
      <xdr:row>3</xdr:row>
      <xdr:rowOff>0</xdr:rowOff>
    </xdr:to>
    <xdr:sp macro="" textlink="">
      <xdr:nvSpPr>
        <xdr:cNvPr id="7" name="TextBox 6">
          <a:extLst>
            <a:ext uri="{FF2B5EF4-FFF2-40B4-BE49-F238E27FC236}">
              <a16:creationId xmlns:a16="http://schemas.microsoft.com/office/drawing/2014/main" id="{00000000-0008-0000-0700-000007000000}"/>
            </a:ext>
          </a:extLst>
        </xdr:cNvPr>
        <xdr:cNvSpPr txBox="1"/>
      </xdr:nvSpPr>
      <xdr:spPr>
        <a:xfrm>
          <a:off x="14962909" y="0"/>
          <a:ext cx="1170215"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2400" i="0">
              <a:solidFill>
                <a:schemeClr val="accent1"/>
              </a:solidFill>
              <a:latin typeface="Arial" panose="020B0604020202020204" pitchFamily="34" charset="0"/>
              <a:cs typeface="Arial" panose="020B0604020202020204" pitchFamily="34" charset="0"/>
            </a:rPr>
            <a:t>BETA</a:t>
          </a:r>
        </a:p>
      </xdr:txBody>
    </xdr:sp>
    <xdr:clientData/>
  </xdr:twoCellAnchor>
  <xdr:twoCellAnchor editAs="oneCell">
    <xdr:from>
      <xdr:col>0</xdr:col>
      <xdr:colOff>0</xdr:colOff>
      <xdr:row>19</xdr:row>
      <xdr:rowOff>1</xdr:rowOff>
    </xdr:from>
    <xdr:to>
      <xdr:col>4</xdr:col>
      <xdr:colOff>236270</xdr:colOff>
      <xdr:row>53</xdr:row>
      <xdr:rowOff>1</xdr:rowOff>
    </xdr:to>
    <xdr:pic>
      <xdr:nvPicPr>
        <xdr:cNvPr id="10" name="Picture 9" descr="Image result for UCL logo">
          <a:extLst>
            <a:ext uri="{FF2B5EF4-FFF2-40B4-BE49-F238E27FC236}">
              <a16:creationId xmlns:a16="http://schemas.microsoft.com/office/drawing/2014/main" id="{00000000-0008-0000-0700-00000A000000}"/>
            </a:ext>
          </a:extLst>
        </xdr:cNvPr>
        <xdr:cNvPicPr>
          <a:picLocks noChangeAspect="1" noChangeArrowheads="1"/>
        </xdr:cNvPicPr>
      </xdr:nvPicPr>
      <xdr:blipFill rotWithShape="1">
        <a:blip xmlns:r="http://schemas.openxmlformats.org/officeDocument/2006/relationships" r:embed="rId2">
          <a:duotone>
            <a:schemeClr val="accent5">
              <a:shade val="45000"/>
              <a:satMod val="135000"/>
            </a:schemeClr>
            <a:prstClr val="white"/>
          </a:duotone>
          <a:extLst>
            <a:ext uri="{BEBA8EAE-BF5A-486C-A8C5-ECC9F3942E4B}">
              <a14:imgProps xmlns:a14="http://schemas.microsoft.com/office/drawing/2010/main">
                <a14:imgLayer r:embed="rId3">
                  <a14:imgEffect>
                    <a14:sharpenSoften amount="50000"/>
                  </a14:imgEffect>
                  <a14:imgEffect>
                    <a14:saturation sat="0"/>
                  </a14:imgEffect>
                  <a14:imgEffect>
                    <a14:brightnessContrast bright="-40000" contrast="40000"/>
                  </a14:imgEffect>
                </a14:imgLayer>
              </a14:imgProps>
            </a:ext>
            <a:ext uri="{28A0092B-C50C-407E-A947-70E740481C1C}">
              <a14:useLocalDpi xmlns:a14="http://schemas.microsoft.com/office/drawing/2010/main" val="0"/>
            </a:ext>
          </a:extLst>
        </a:blip>
        <a:srcRect l="13677"/>
        <a:stretch/>
      </xdr:blipFill>
      <xdr:spPr bwMode="auto">
        <a:xfrm rot="16200000">
          <a:off x="-2115910" y="5735411"/>
          <a:ext cx="6477000" cy="22451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56</xdr:row>
      <xdr:rowOff>0</xdr:rowOff>
    </xdr:from>
    <xdr:to>
      <xdr:col>5</xdr:col>
      <xdr:colOff>0</xdr:colOff>
      <xdr:row>58</xdr:row>
      <xdr:rowOff>0</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0" y="9715500"/>
          <a:ext cx="2251364"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chemeClr val="bg1"/>
              </a:solidFill>
            </a:rPr>
            <a:t>© 2016 Expedition Engineering Ltd.</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0</xdr:colOff>
      <xdr:row>0</xdr:row>
      <xdr:rowOff>0</xdr:rowOff>
    </xdr:from>
    <xdr:to>
      <xdr:col>20</xdr:col>
      <xdr:colOff>1</xdr:colOff>
      <xdr:row>3</xdr:row>
      <xdr:rowOff>0</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4017818" y="0"/>
          <a:ext cx="12365183"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2400">
              <a:solidFill>
                <a:schemeClr val="accent2"/>
              </a:solidFill>
              <a:latin typeface="Arial" panose="020B0604020202020204" pitchFamily="34" charset="0"/>
              <a:cs typeface="Arial" panose="020B0604020202020204" pitchFamily="34" charset="0"/>
            </a:rPr>
            <a:t>boiler</a:t>
          </a:r>
          <a:r>
            <a:rPr lang="en-GB" sz="2400" baseline="0">
              <a:solidFill>
                <a:schemeClr val="accent2"/>
              </a:solidFill>
              <a:latin typeface="Arial" panose="020B0604020202020204" pitchFamily="34" charset="0"/>
              <a:cs typeface="Arial" panose="020B0604020202020204" pitchFamily="34" charset="0"/>
            </a:rPr>
            <a:t> tool</a:t>
          </a:r>
          <a:endParaRPr lang="en-GB" sz="2400">
            <a:solidFill>
              <a:schemeClr val="accent2"/>
            </a:solidFill>
            <a:latin typeface="Arial" panose="020B0604020202020204" pitchFamily="34" charset="0"/>
            <a:cs typeface="Arial" panose="020B0604020202020204" pitchFamily="34" charset="0"/>
          </a:endParaRPr>
        </a:p>
      </xdr:txBody>
    </xdr:sp>
    <xdr:clientData/>
  </xdr:twoCellAnchor>
  <xdr:twoCellAnchor>
    <xdr:from>
      <xdr:col>6</xdr:col>
      <xdr:colOff>0</xdr:colOff>
      <xdr:row>0</xdr:row>
      <xdr:rowOff>0</xdr:rowOff>
    </xdr:from>
    <xdr:to>
      <xdr:col>8</xdr:col>
      <xdr:colOff>0</xdr:colOff>
      <xdr:row>3</xdr:row>
      <xdr:rowOff>0</xdr:rowOff>
    </xdr:to>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2840182" y="0"/>
          <a:ext cx="1177636"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2400" b="1">
              <a:solidFill>
                <a:schemeClr val="accent2"/>
              </a:solidFill>
              <a:latin typeface="Arial" panose="020B0604020202020204" pitchFamily="34" charset="0"/>
              <a:cs typeface="Arial" panose="020B0604020202020204" pitchFamily="34" charset="0"/>
            </a:rPr>
            <a:t>2.2:</a:t>
          </a:r>
        </a:p>
      </xdr:txBody>
    </xdr:sp>
    <xdr:clientData/>
  </xdr:twoCellAnchor>
  <xdr:twoCellAnchor>
    <xdr:from>
      <xdr:col>8</xdr:col>
      <xdr:colOff>34638</xdr:colOff>
      <xdr:row>3</xdr:row>
      <xdr:rowOff>103910</xdr:rowOff>
    </xdr:from>
    <xdr:to>
      <xdr:col>22</xdr:col>
      <xdr:colOff>519546</xdr:colOff>
      <xdr:row>7</xdr:row>
      <xdr:rowOff>138546</xdr:rowOff>
    </xdr:to>
    <xdr:sp macro="" textlink="">
      <xdr:nvSpPr>
        <xdr:cNvPr id="9" name="TextBox 8">
          <a:extLst>
            <a:ext uri="{FF2B5EF4-FFF2-40B4-BE49-F238E27FC236}">
              <a16:creationId xmlns:a16="http://schemas.microsoft.com/office/drawing/2014/main" id="{00000000-0008-0000-0800-000009000000}"/>
            </a:ext>
          </a:extLst>
        </xdr:cNvPr>
        <xdr:cNvSpPr txBox="1"/>
      </xdr:nvSpPr>
      <xdr:spPr>
        <a:xfrm>
          <a:off x="4052456" y="675410"/>
          <a:ext cx="12018817" cy="796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1" u="none" strike="noStrike" kern="0" cap="none" spc="0" normalizeH="0" baseline="0" noProof="0">
              <a:ln>
                <a:noFill/>
              </a:ln>
              <a:solidFill>
                <a:srgbClr val="4E5B6F"/>
              </a:solidFill>
              <a:effectLst/>
              <a:uLnTx/>
              <a:uFillTx/>
              <a:latin typeface="Arial" panose="020B0604020202020204" pitchFamily="34" charset="0"/>
              <a:ea typeface="Calibri" panose="020F0502020204030204" pitchFamily="34" charset="0"/>
              <a:cs typeface="Arial" panose="020B0604020202020204" pitchFamily="34" charset="0"/>
            </a:rPr>
            <a:t>Use this tool when replacing or upgrading existing natural gas boilers. You can make a change to all or part of your heating system by approximating the proportion of heat supplied by the boiler. You can compare you existing boiler against a connection to the District Heating network or a Heat Pump by selecting “Grid electricity” as your energy source. Enter your heating system efficiency and select any applicable controls. Select the type of pump to calculate associated auxiliary electrical consumption; however, please note this selection won’t affect heating consumption. Finally, enter costs for the total works.   </a:t>
          </a:r>
        </a:p>
      </xdr:txBody>
    </xdr:sp>
    <xdr:clientData/>
  </xdr:twoCellAnchor>
  <xdr:twoCellAnchor>
    <xdr:from>
      <xdr:col>21</xdr:col>
      <xdr:colOff>0</xdr:colOff>
      <xdr:row>0</xdr:row>
      <xdr:rowOff>0</xdr:rowOff>
    </xdr:from>
    <xdr:to>
      <xdr:col>22</xdr:col>
      <xdr:colOff>581397</xdr:colOff>
      <xdr:row>3</xdr:row>
      <xdr:rowOff>0</xdr:rowOff>
    </xdr:to>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14962909" y="0"/>
          <a:ext cx="1170215"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2400" i="0">
              <a:solidFill>
                <a:schemeClr val="accent1"/>
              </a:solidFill>
              <a:latin typeface="Arial" panose="020B0604020202020204" pitchFamily="34" charset="0"/>
              <a:cs typeface="Arial" panose="020B0604020202020204" pitchFamily="34" charset="0"/>
            </a:rPr>
            <a:t>BETA</a:t>
          </a:r>
        </a:p>
      </xdr:txBody>
    </xdr:sp>
    <xdr:clientData/>
  </xdr:twoCellAnchor>
  <xdr:twoCellAnchor editAs="oneCell">
    <xdr:from>
      <xdr:col>0</xdr:col>
      <xdr:colOff>0</xdr:colOff>
      <xdr:row>19</xdr:row>
      <xdr:rowOff>2</xdr:rowOff>
    </xdr:from>
    <xdr:to>
      <xdr:col>4</xdr:col>
      <xdr:colOff>236270</xdr:colOff>
      <xdr:row>54</xdr:row>
      <xdr:rowOff>2</xdr:rowOff>
    </xdr:to>
    <xdr:pic>
      <xdr:nvPicPr>
        <xdr:cNvPr id="8" name="Picture 7" descr="Image result for UCL logo">
          <a:extLst>
            <a:ext uri="{FF2B5EF4-FFF2-40B4-BE49-F238E27FC236}">
              <a16:creationId xmlns:a16="http://schemas.microsoft.com/office/drawing/2014/main" id="{00000000-0008-0000-0800-000008000000}"/>
            </a:ext>
          </a:extLst>
        </xdr:cNvPr>
        <xdr:cNvPicPr>
          <a:picLocks noChangeAspect="1" noChangeArrowheads="1"/>
        </xdr:cNvPicPr>
      </xdr:nvPicPr>
      <xdr:blipFill rotWithShape="1">
        <a:blip xmlns:r="http://schemas.openxmlformats.org/officeDocument/2006/relationships" r:embed="rId1">
          <a:duotone>
            <a:schemeClr val="accent2">
              <a:shade val="45000"/>
              <a:satMod val="135000"/>
            </a:schemeClr>
            <a:prstClr val="white"/>
          </a:duotone>
          <a:extLst>
            <a:ext uri="{BEBA8EAE-BF5A-486C-A8C5-ECC9F3942E4B}">
              <a14:imgProps xmlns:a14="http://schemas.microsoft.com/office/drawing/2010/main">
                <a14:imgLayer r:embed="rId2">
                  <a14:imgEffect>
                    <a14:sharpenSoften amount="50000"/>
                  </a14:imgEffect>
                  <a14:imgEffect>
                    <a14:saturation sat="0"/>
                  </a14:imgEffect>
                  <a14:imgEffect>
                    <a14:brightnessContrast bright="-40000" contrast="40000"/>
                  </a14:imgEffect>
                </a14:imgLayer>
              </a14:imgProps>
            </a:ext>
            <a:ext uri="{28A0092B-C50C-407E-A947-70E740481C1C}">
              <a14:useLocalDpi xmlns:a14="http://schemas.microsoft.com/office/drawing/2010/main" val="0"/>
            </a:ext>
          </a:extLst>
        </a:blip>
        <a:srcRect l="13677"/>
        <a:stretch/>
      </xdr:blipFill>
      <xdr:spPr bwMode="auto">
        <a:xfrm rot="16200000">
          <a:off x="-2115910" y="5735412"/>
          <a:ext cx="6477000" cy="22451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xdr:colOff>
      <xdr:row>52</xdr:row>
      <xdr:rowOff>0</xdr:rowOff>
    </xdr:from>
    <xdr:to>
      <xdr:col>5</xdr:col>
      <xdr:colOff>1</xdr:colOff>
      <xdr:row>54</xdr:row>
      <xdr:rowOff>0</xdr:rowOff>
    </xdr:to>
    <xdr:sp macro="" textlink="">
      <xdr:nvSpPr>
        <xdr:cNvPr id="10" name="TextBox 9">
          <a:extLst>
            <a:ext uri="{FF2B5EF4-FFF2-40B4-BE49-F238E27FC236}">
              <a16:creationId xmlns:a16="http://schemas.microsoft.com/office/drawing/2014/main" id="{00000000-0008-0000-0800-00000A000000}"/>
            </a:ext>
          </a:extLst>
        </xdr:cNvPr>
        <xdr:cNvSpPr txBox="1"/>
      </xdr:nvSpPr>
      <xdr:spPr>
        <a:xfrm>
          <a:off x="1" y="9715500"/>
          <a:ext cx="2251364"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chemeClr val="bg1"/>
              </a:solidFill>
            </a:rPr>
            <a:t>© 2016 Expedition Engineering Ltd.</a:t>
          </a:r>
        </a:p>
      </xdr:txBody>
    </xdr:sp>
    <xdr:clientData/>
  </xdr:twoCellAnchor>
  <xdr:twoCellAnchor>
    <xdr:from>
      <xdr:col>18</xdr:col>
      <xdr:colOff>0</xdr:colOff>
      <xdr:row>10</xdr:row>
      <xdr:rowOff>0</xdr:rowOff>
    </xdr:from>
    <xdr:to>
      <xdr:col>24</xdr:col>
      <xdr:colOff>0</xdr:colOff>
      <xdr:row>39</xdr:row>
      <xdr:rowOff>0</xdr:rowOff>
    </xdr:to>
    <xdr:graphicFrame macro="">
      <xdr:nvGraphicFramePr>
        <xdr:cNvPr id="11" name="Chart 10">
          <a:extLst>
            <a:ext uri="{FF2B5EF4-FFF2-40B4-BE49-F238E27FC236}">
              <a16:creationId xmlns:a16="http://schemas.microsoft.com/office/drawing/2014/main" id="{00000000-0008-0000-08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UCL Adapted">
      <a:dk1>
        <a:sysClr val="windowText" lastClr="000000"/>
      </a:dk1>
      <a:lt1>
        <a:sysClr val="window" lastClr="FFFFFF"/>
      </a:lt1>
      <a:dk2>
        <a:srgbClr val="8C8278"/>
      </a:dk2>
      <a:lt2>
        <a:srgbClr val="A4DBE8"/>
      </a:lt2>
      <a:accent1>
        <a:srgbClr val="B5BD00"/>
      </a:accent1>
      <a:accent2>
        <a:srgbClr val="AC145A"/>
      </a:accent2>
      <a:accent3>
        <a:srgbClr val="EA7600"/>
      </a:accent3>
      <a:accent4>
        <a:srgbClr val="0097A9"/>
      </a:accent4>
      <a:accent5>
        <a:srgbClr val="4B384C"/>
      </a:accent5>
      <a:accent6>
        <a:srgbClr val="003D4C"/>
      </a:accent6>
      <a:hlink>
        <a:srgbClr val="EA7600"/>
      </a:hlink>
      <a:folHlink>
        <a:srgbClr val="002855"/>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14.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15.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comments" Target="../comments1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H76"/>
  <sheetViews>
    <sheetView showGridLines="0" zoomScale="70" zoomScaleNormal="70" zoomScaleSheetLayoutView="70" workbookViewId="0">
      <selection activeCell="AD45" sqref="AD45"/>
    </sheetView>
  </sheetViews>
  <sheetFormatPr defaultColWidth="8.7109375" defaultRowHeight="15" customHeight="1" x14ac:dyDescent="0.3"/>
  <cols>
    <col min="1" max="1" width="3.7109375" style="47" customWidth="1"/>
    <col min="2" max="2" width="8.85546875" style="592" bestFit="1" customWidth="1"/>
    <col min="3" max="3" width="8.7109375" style="595" customWidth="1"/>
    <col min="4" max="4" width="8.7109375" style="594" customWidth="1"/>
    <col min="5" max="5" width="3.7109375" style="48" customWidth="1"/>
    <col min="6" max="17" width="8.7109375" style="1"/>
    <col min="18" max="18" width="8.85546875" style="5" bestFit="1" customWidth="1"/>
    <col min="19" max="16384" width="8.7109375" style="1"/>
  </cols>
  <sheetData>
    <row r="1" spans="1:27" ht="15" customHeight="1" x14ac:dyDescent="0.2">
      <c r="A1" s="1022"/>
      <c r="B1" s="1022"/>
      <c r="C1" s="1022"/>
      <c r="D1" s="1022"/>
      <c r="E1" s="1022"/>
      <c r="G1" s="1024" t="s">
        <v>598</v>
      </c>
      <c r="H1" s="1024"/>
      <c r="I1" s="1024"/>
      <c r="J1" s="1024"/>
      <c r="K1" s="1024"/>
      <c r="L1" s="1024"/>
      <c r="M1" s="1024"/>
      <c r="N1" s="1024"/>
      <c r="O1" s="1024"/>
      <c r="P1" s="1024"/>
      <c r="Q1" s="1024"/>
      <c r="R1" s="1024"/>
      <c r="S1" s="1024"/>
      <c r="T1" s="1024"/>
      <c r="W1" s="1025" t="s">
        <v>671</v>
      </c>
      <c r="X1" s="1025"/>
    </row>
    <row r="2" spans="1:27" ht="15" customHeight="1" x14ac:dyDescent="0.2">
      <c r="A2" s="1022"/>
      <c r="B2" s="1022"/>
      <c r="C2" s="1022"/>
      <c r="D2" s="1022"/>
      <c r="E2" s="1022"/>
      <c r="G2" s="1024"/>
      <c r="H2" s="1024"/>
      <c r="I2" s="1024"/>
      <c r="J2" s="1024"/>
      <c r="K2" s="1024"/>
      <c r="L2" s="1024"/>
      <c r="M2" s="1024"/>
      <c r="N2" s="1024"/>
      <c r="O2" s="1024"/>
      <c r="P2" s="1024"/>
      <c r="Q2" s="1024"/>
      <c r="R2" s="1024"/>
      <c r="S2" s="1024"/>
      <c r="T2" s="1024"/>
      <c r="W2" s="1025"/>
      <c r="X2" s="1025"/>
    </row>
    <row r="3" spans="1:27" ht="15" customHeight="1" x14ac:dyDescent="0.2">
      <c r="A3" s="1022"/>
      <c r="B3" s="1022"/>
      <c r="C3" s="1022"/>
      <c r="D3" s="1022"/>
      <c r="E3" s="1022"/>
      <c r="G3" s="1024"/>
      <c r="H3" s="1024"/>
      <c r="I3" s="1024"/>
      <c r="J3" s="1024"/>
      <c r="K3" s="1024"/>
      <c r="L3" s="1024"/>
      <c r="M3" s="1024"/>
      <c r="N3" s="1024"/>
      <c r="O3" s="1024"/>
      <c r="P3" s="1024"/>
      <c r="Q3" s="1024"/>
      <c r="R3" s="1024"/>
      <c r="S3" s="1024"/>
      <c r="T3" s="1024"/>
      <c r="W3" s="1025"/>
      <c r="X3" s="1025"/>
    </row>
    <row r="4" spans="1:27" ht="15" customHeight="1" x14ac:dyDescent="0.2">
      <c r="A4" s="618"/>
      <c r="B4" s="618"/>
      <c r="C4" s="618"/>
      <c r="D4" s="618"/>
      <c r="E4" s="618"/>
      <c r="G4" s="619"/>
      <c r="H4" s="619"/>
    </row>
    <row r="5" spans="1:27" ht="15" customHeight="1" x14ac:dyDescent="0.2">
      <c r="A5" s="669"/>
      <c r="B5" s="62" t="s">
        <v>251</v>
      </c>
      <c r="C5" s="669"/>
      <c r="D5" s="669"/>
      <c r="E5" s="669"/>
      <c r="F5" s="499"/>
      <c r="Q5" s="5"/>
      <c r="R5" s="1"/>
      <c r="W5" s="1020" t="s">
        <v>187</v>
      </c>
      <c r="X5" s="1020"/>
    </row>
    <row r="6" spans="1:27" ht="15" customHeight="1" x14ac:dyDescent="0.2">
      <c r="A6" s="669"/>
      <c r="C6" s="48"/>
      <c r="D6" s="49"/>
      <c r="E6" s="669"/>
      <c r="Q6" s="5"/>
      <c r="W6" s="1020"/>
      <c r="X6" s="1020"/>
    </row>
    <row r="7" spans="1:27" ht="15" customHeight="1" x14ac:dyDescent="0.2">
      <c r="A7" s="669"/>
      <c r="B7" s="1023" t="str">
        <f>Step1!K15</f>
        <v>1-19 Torrington Place</v>
      </c>
      <c r="C7" s="1023"/>
      <c r="D7" s="1023"/>
      <c r="E7" s="669"/>
      <c r="H7" s="6"/>
      <c r="I7" s="6"/>
      <c r="J7" s="6"/>
      <c r="Q7" s="5"/>
      <c r="W7" s="1020"/>
      <c r="X7" s="1020"/>
    </row>
    <row r="8" spans="1:27" ht="15" customHeight="1" x14ac:dyDescent="0.3">
      <c r="B8" s="587"/>
      <c r="C8" s="593"/>
      <c r="G8" s="53"/>
    </row>
    <row r="9" spans="1:27" ht="15" customHeight="1" x14ac:dyDescent="0.3">
      <c r="B9" s="587"/>
      <c r="C9" s="593"/>
      <c r="G9" s="53"/>
    </row>
    <row r="10" spans="1:27" ht="15" customHeight="1" x14ac:dyDescent="0.3">
      <c r="A10" s="483" t="s">
        <v>330</v>
      </c>
      <c r="B10" s="201" t="s">
        <v>329</v>
      </c>
      <c r="C10" s="593"/>
      <c r="E10" s="55"/>
      <c r="G10" s="811" t="s">
        <v>544</v>
      </c>
      <c r="H10" s="654"/>
      <c r="I10" s="654"/>
      <c r="J10" s="654"/>
      <c r="K10" s="654"/>
      <c r="L10" s="629"/>
      <c r="M10" s="629"/>
      <c r="N10" s="629"/>
      <c r="Q10" s="811" t="s">
        <v>543</v>
      </c>
      <c r="R10" s="654"/>
      <c r="S10" s="654"/>
      <c r="T10" s="654"/>
      <c r="U10" s="654"/>
      <c r="V10" s="654"/>
      <c r="W10" s="654"/>
      <c r="X10" s="654"/>
    </row>
    <row r="11" spans="1:27" ht="15" customHeight="1" x14ac:dyDescent="0.3">
      <c r="B11" s="588"/>
      <c r="C11" s="593"/>
      <c r="G11" s="655"/>
      <c r="H11" s="655"/>
      <c r="I11" s="655"/>
      <c r="J11" s="655"/>
      <c r="K11" s="655"/>
      <c r="L11" s="583"/>
      <c r="M11" s="583"/>
      <c r="N11" s="583"/>
      <c r="Q11" s="655"/>
      <c r="R11" s="655"/>
      <c r="S11" s="655"/>
      <c r="T11" s="655"/>
      <c r="U11" s="655"/>
      <c r="V11" s="655"/>
      <c r="W11" s="655"/>
      <c r="X11" s="655"/>
    </row>
    <row r="12" spans="1:27" ht="15" customHeight="1" x14ac:dyDescent="0.3">
      <c r="B12" s="202" t="s">
        <v>575</v>
      </c>
      <c r="G12" s="583"/>
      <c r="H12" s="583"/>
      <c r="I12" s="583"/>
      <c r="J12" s="583"/>
      <c r="K12" s="583"/>
      <c r="L12" s="583"/>
      <c r="M12" s="583"/>
      <c r="N12" s="60"/>
      <c r="Q12" s="60"/>
      <c r="R12" s="584"/>
      <c r="S12" s="60"/>
      <c r="T12" s="60"/>
      <c r="U12" s="108"/>
      <c r="V12" s="60"/>
      <c r="W12" s="60"/>
      <c r="X12" s="108"/>
    </row>
    <row r="13" spans="1:27" ht="15" customHeight="1" x14ac:dyDescent="0.3">
      <c r="B13" s="596"/>
      <c r="C13" s="597"/>
      <c r="G13" s="583"/>
      <c r="H13" s="583"/>
      <c r="I13" s="583"/>
      <c r="J13" s="583"/>
      <c r="K13" s="583"/>
      <c r="L13" s="583"/>
      <c r="M13" s="583"/>
      <c r="N13" s="60"/>
      <c r="Q13" s="60"/>
      <c r="R13" s="60"/>
      <c r="S13" s="109"/>
      <c r="T13" s="60"/>
      <c r="U13" s="60"/>
      <c r="V13" s="60"/>
      <c r="W13" s="60"/>
      <c r="X13" s="60"/>
    </row>
    <row r="14" spans="1:27" ht="15" customHeight="1" x14ac:dyDescent="0.3">
      <c r="B14" s="200" t="s">
        <v>574</v>
      </c>
      <c r="C14" s="593"/>
      <c r="G14" s="583"/>
      <c r="H14" s="583"/>
      <c r="I14" s="583"/>
      <c r="J14" s="583"/>
      <c r="K14" s="583"/>
      <c r="L14" s="583"/>
      <c r="M14" s="583"/>
      <c r="N14" s="60"/>
      <c r="Q14" s="60"/>
      <c r="R14" s="60"/>
      <c r="S14" s="60"/>
      <c r="T14" s="60"/>
      <c r="U14" s="585"/>
      <c r="V14" s="60"/>
      <c r="W14" s="60"/>
      <c r="X14" s="585"/>
      <c r="AA14"/>
    </row>
    <row r="15" spans="1:27" ht="15" customHeight="1" x14ac:dyDescent="0.3">
      <c r="B15" s="598"/>
      <c r="C15" s="593"/>
      <c r="G15" s="583"/>
      <c r="H15" s="583"/>
      <c r="I15" s="583"/>
      <c r="J15" s="583"/>
      <c r="K15" s="583"/>
      <c r="L15" s="583"/>
      <c r="M15" s="583"/>
      <c r="N15" s="60"/>
      <c r="Q15" s="60"/>
      <c r="R15" s="60"/>
      <c r="S15" s="60"/>
      <c r="T15" s="60"/>
      <c r="U15" s="60"/>
      <c r="V15" s="60"/>
      <c r="W15" s="60"/>
      <c r="X15" s="60"/>
    </row>
    <row r="16" spans="1:27" ht="15" customHeight="1" x14ac:dyDescent="0.3">
      <c r="B16" s="200" t="s">
        <v>576</v>
      </c>
      <c r="C16" s="593"/>
      <c r="G16" s="583"/>
      <c r="H16" s="583"/>
      <c r="I16" s="583"/>
      <c r="J16" s="583"/>
      <c r="K16" s="583"/>
      <c r="L16" s="583"/>
      <c r="M16" s="583"/>
      <c r="N16" s="60"/>
      <c r="Q16" s="60"/>
      <c r="R16" s="60"/>
      <c r="S16" s="60"/>
      <c r="T16" s="60"/>
      <c r="U16" s="60"/>
      <c r="V16" s="60"/>
      <c r="W16" s="60"/>
      <c r="X16" s="60"/>
    </row>
    <row r="17" spans="2:34" ht="15" customHeight="1" x14ac:dyDescent="0.3">
      <c r="B17" s="599"/>
      <c r="C17" s="593"/>
      <c r="G17" s="583"/>
      <c r="H17" s="583"/>
      <c r="I17" s="583"/>
      <c r="J17" s="583"/>
      <c r="K17" s="583"/>
      <c r="L17" s="583"/>
      <c r="M17" s="583"/>
      <c r="N17" s="60"/>
      <c r="Q17" s="60"/>
      <c r="R17" s="60"/>
      <c r="S17" s="60"/>
      <c r="T17" s="60"/>
      <c r="U17" s="60"/>
      <c r="V17" s="60"/>
      <c r="W17" s="60"/>
      <c r="X17" s="60"/>
    </row>
    <row r="18" spans="2:34" ht="15" customHeight="1" x14ac:dyDescent="0.3">
      <c r="B18" s="204" t="s">
        <v>331</v>
      </c>
      <c r="C18" s="593"/>
      <c r="G18" s="583"/>
      <c r="H18" s="583"/>
      <c r="I18" s="583"/>
      <c r="J18" s="583"/>
      <c r="K18" s="583"/>
      <c r="L18" s="583"/>
      <c r="M18" s="583"/>
      <c r="N18" s="60"/>
      <c r="Q18" s="60"/>
      <c r="R18" s="60"/>
      <c r="S18" s="60"/>
      <c r="T18" s="60"/>
      <c r="U18" s="60"/>
      <c r="V18" s="60"/>
      <c r="W18" s="60"/>
      <c r="X18" s="60"/>
    </row>
    <row r="19" spans="2:34" ht="15" customHeight="1" x14ac:dyDescent="0.3">
      <c r="B19" s="599"/>
      <c r="C19" s="593"/>
      <c r="G19" s="583"/>
      <c r="H19" s="583"/>
      <c r="I19" s="583"/>
      <c r="J19" s="583"/>
      <c r="K19" s="583"/>
      <c r="L19" s="583"/>
      <c r="M19" s="583"/>
      <c r="N19" s="60"/>
      <c r="Q19" s="60"/>
      <c r="R19" s="60"/>
      <c r="S19" s="60"/>
      <c r="T19" s="60"/>
      <c r="U19" s="60"/>
      <c r="V19" s="60"/>
      <c r="W19" s="60"/>
      <c r="X19" s="60"/>
      <c r="Z19" s="56"/>
    </row>
    <row r="20" spans="2:34" ht="15" customHeight="1" x14ac:dyDescent="0.3">
      <c r="B20" s="599"/>
      <c r="C20" s="593"/>
      <c r="G20" s="60"/>
      <c r="H20" s="60"/>
      <c r="I20" s="60"/>
      <c r="J20" s="60"/>
      <c r="K20" s="60"/>
      <c r="L20" s="60"/>
      <c r="M20" s="60"/>
      <c r="N20" s="60"/>
      <c r="Q20" s="60"/>
      <c r="R20" s="60"/>
      <c r="S20" s="60"/>
      <c r="T20" s="60"/>
      <c r="U20" s="60"/>
      <c r="V20" s="60"/>
      <c r="W20" s="60"/>
      <c r="X20" s="60"/>
    </row>
    <row r="21" spans="2:34" ht="15" customHeight="1" x14ac:dyDescent="0.2">
      <c r="B21" s="599"/>
      <c r="C21" s="599"/>
      <c r="D21" s="599"/>
      <c r="G21" s="60"/>
      <c r="H21" s="60"/>
      <c r="I21" s="60"/>
      <c r="J21" s="60"/>
      <c r="K21" s="60"/>
      <c r="L21" s="60"/>
      <c r="M21" s="60"/>
      <c r="N21" s="60"/>
      <c r="Q21" s="60"/>
      <c r="R21" s="60"/>
      <c r="S21" s="60"/>
      <c r="T21" s="60"/>
      <c r="U21" s="60"/>
      <c r="V21" s="60"/>
      <c r="W21" s="60"/>
      <c r="X21" s="60"/>
    </row>
    <row r="22" spans="2:34" ht="15" customHeight="1" x14ac:dyDescent="0.2">
      <c r="B22" s="599"/>
      <c r="C22" s="599"/>
      <c r="D22" s="599"/>
      <c r="G22" s="60"/>
      <c r="H22" s="60"/>
      <c r="I22" s="60"/>
      <c r="J22" s="60"/>
      <c r="K22" s="60"/>
      <c r="L22" s="60"/>
      <c r="M22" s="60"/>
      <c r="N22" s="60"/>
      <c r="Q22" s="60"/>
      <c r="R22" s="60"/>
      <c r="S22" s="60"/>
      <c r="T22" s="60"/>
      <c r="U22" s="60"/>
      <c r="V22" s="60"/>
      <c r="W22" s="60"/>
      <c r="X22" s="60"/>
    </row>
    <row r="23" spans="2:34" ht="15" customHeight="1" x14ac:dyDescent="0.2">
      <c r="B23" s="599"/>
      <c r="C23" s="599"/>
      <c r="D23" s="599"/>
      <c r="G23" s="60"/>
      <c r="H23" s="60"/>
      <c r="I23" s="60"/>
      <c r="J23" s="60"/>
      <c r="K23" s="60"/>
      <c r="L23" s="60"/>
      <c r="M23" s="60"/>
      <c r="N23" s="60"/>
      <c r="Q23" s="60"/>
      <c r="R23" s="60"/>
      <c r="S23" s="60"/>
      <c r="T23" s="60"/>
      <c r="U23" s="60"/>
      <c r="V23" s="60"/>
      <c r="W23" s="60"/>
      <c r="X23" s="60"/>
    </row>
    <row r="24" spans="2:34" ht="15" customHeight="1" x14ac:dyDescent="0.2">
      <c r="B24" s="599"/>
      <c r="C24" s="599"/>
      <c r="D24" s="599"/>
      <c r="G24" s="60"/>
      <c r="H24" s="60"/>
      <c r="I24" s="60"/>
      <c r="J24" s="60"/>
      <c r="K24" s="60"/>
      <c r="L24" s="60"/>
      <c r="M24" s="60"/>
      <c r="N24" s="60"/>
      <c r="Q24" s="60"/>
      <c r="R24" s="60"/>
      <c r="S24" s="60"/>
      <c r="T24" s="60"/>
      <c r="U24" s="60"/>
      <c r="V24" s="60"/>
      <c r="W24" s="60"/>
      <c r="X24" s="60"/>
    </row>
    <row r="25" spans="2:34" ht="15" customHeight="1" x14ac:dyDescent="0.2">
      <c r="B25" s="599"/>
      <c r="C25" s="599"/>
      <c r="D25" s="599"/>
      <c r="R25" s="1"/>
    </row>
    <row r="26" spans="2:34" ht="15" customHeight="1" x14ac:dyDescent="0.2">
      <c r="B26" s="599"/>
      <c r="C26" s="599"/>
      <c r="D26" s="599"/>
      <c r="G26" s="811" t="s">
        <v>551</v>
      </c>
      <c r="H26" s="423"/>
      <c r="I26" s="423"/>
      <c r="J26" s="423"/>
      <c r="K26" s="423"/>
      <c r="L26" s="423"/>
      <c r="M26" s="423"/>
      <c r="N26" s="423"/>
      <c r="O26" s="423"/>
      <c r="P26" s="423"/>
      <c r="Q26" s="423"/>
      <c r="R26" s="423"/>
      <c r="S26" s="423"/>
      <c r="T26" s="423"/>
      <c r="U26" s="423"/>
      <c r="V26" s="423"/>
      <c r="W26" s="423"/>
      <c r="X26" s="423"/>
    </row>
    <row r="27" spans="2:34" ht="15" customHeight="1" x14ac:dyDescent="0.2">
      <c r="B27" s="599"/>
      <c r="C27" s="599"/>
      <c r="D27" s="599"/>
    </row>
    <row r="28" spans="2:34" ht="15" customHeight="1" x14ac:dyDescent="0.2">
      <c r="B28" s="599"/>
      <c r="C28" s="599"/>
      <c r="D28" s="599"/>
    </row>
    <row r="29" spans="2:34" ht="15" customHeight="1" x14ac:dyDescent="0.2">
      <c r="B29" s="599"/>
      <c r="C29" s="599"/>
      <c r="D29" s="599"/>
    </row>
    <row r="30" spans="2:34" ht="15" customHeight="1" x14ac:dyDescent="0.2">
      <c r="B30" s="599"/>
      <c r="C30" s="599"/>
      <c r="D30" s="599"/>
    </row>
    <row r="31" spans="2:34" ht="15" customHeight="1" x14ac:dyDescent="0.2">
      <c r="B31" s="599"/>
      <c r="C31" s="599"/>
      <c r="D31" s="599"/>
      <c r="AH31" s="530"/>
    </row>
    <row r="32" spans="2:34" ht="15" customHeight="1" x14ac:dyDescent="0.3">
      <c r="B32" s="587"/>
      <c r="C32" s="593"/>
      <c r="E32" s="55"/>
      <c r="AH32" s="530"/>
    </row>
    <row r="33" spans="2:24" ht="15" customHeight="1" x14ac:dyDescent="0.3">
      <c r="C33" s="593"/>
    </row>
    <row r="34" spans="2:24" ht="15" customHeight="1" x14ac:dyDescent="0.3">
      <c r="C34" s="593"/>
      <c r="T34" s="1021"/>
    </row>
    <row r="35" spans="2:24" ht="15" customHeight="1" x14ac:dyDescent="0.2">
      <c r="C35" s="600"/>
      <c r="D35" s="600"/>
      <c r="T35" s="1021"/>
    </row>
    <row r="36" spans="2:24" ht="15" customHeight="1" x14ac:dyDescent="0.3">
      <c r="B36" s="587"/>
      <c r="C36" s="593"/>
      <c r="E36" s="55"/>
    </row>
    <row r="37" spans="2:24" ht="15" customHeight="1" x14ac:dyDescent="0.3">
      <c r="B37" s="587"/>
      <c r="C37" s="593"/>
      <c r="R37" s="56"/>
      <c r="T37" s="586"/>
    </row>
    <row r="38" spans="2:24" ht="15" customHeight="1" x14ac:dyDescent="0.3">
      <c r="R38" s="56"/>
    </row>
    <row r="39" spans="2:24" ht="15" customHeight="1" x14ac:dyDescent="0.3">
      <c r="Q39" s="424"/>
      <c r="R39" s="56"/>
      <c r="T39" s="478"/>
    </row>
    <row r="40" spans="2:24" ht="15" customHeight="1" x14ac:dyDescent="0.3">
      <c r="R40" s="56"/>
    </row>
    <row r="41" spans="2:24" ht="15" customHeight="1" x14ac:dyDescent="0.3">
      <c r="R41" s="56"/>
    </row>
    <row r="44" spans="2:24" ht="15" customHeight="1" x14ac:dyDescent="0.3">
      <c r="B44" s="587"/>
      <c r="C44" s="593"/>
    </row>
    <row r="45" spans="2:24" ht="15" customHeight="1" x14ac:dyDescent="0.3">
      <c r="B45" s="587"/>
      <c r="C45" s="593"/>
    </row>
    <row r="46" spans="2:24" ht="15" customHeight="1" x14ac:dyDescent="0.3">
      <c r="B46" s="587"/>
      <c r="C46" s="593"/>
    </row>
    <row r="47" spans="2:24" ht="15" customHeight="1" x14ac:dyDescent="0.3">
      <c r="G47" s="666"/>
      <c r="H47" s="666"/>
      <c r="I47" s="666"/>
      <c r="J47" s="666"/>
      <c r="K47" s="666"/>
      <c r="L47" s="667"/>
      <c r="M47" s="503"/>
      <c r="N47" s="503"/>
      <c r="O47" s="503"/>
      <c r="P47" s="503"/>
      <c r="Q47" s="503"/>
      <c r="R47" s="503"/>
      <c r="S47" s="503"/>
      <c r="T47" s="503"/>
      <c r="U47" s="503"/>
      <c r="V47" s="503"/>
      <c r="W47" s="503"/>
      <c r="X47" s="503"/>
    </row>
    <row r="49" spans="2:24" ht="15" customHeight="1" x14ac:dyDescent="0.3">
      <c r="G49" s="811" t="s">
        <v>545</v>
      </c>
      <c r="H49" s="423"/>
      <c r="I49" s="423"/>
      <c r="J49" s="423"/>
      <c r="K49" s="423"/>
      <c r="L49" s="423"/>
      <c r="M49" s="423"/>
      <c r="N49" s="423"/>
      <c r="O49" s="423"/>
      <c r="P49" s="423"/>
      <c r="Q49" s="423"/>
      <c r="R49" s="423"/>
      <c r="S49" s="423"/>
      <c r="T49" s="423"/>
      <c r="U49" s="423"/>
      <c r="V49" s="423"/>
      <c r="W49" s="423"/>
      <c r="X49" s="423"/>
    </row>
    <row r="50" spans="2:24" ht="15" customHeight="1" thickBot="1" x14ac:dyDescent="0.35">
      <c r="G50" s="397" t="s">
        <v>350</v>
      </c>
      <c r="H50" s="60"/>
      <c r="I50" s="60"/>
      <c r="J50" s="60"/>
      <c r="K50" s="60"/>
      <c r="L50" s="60"/>
      <c r="M50" s="60"/>
      <c r="N50" s="897" t="s">
        <v>351</v>
      </c>
      <c r="O50" s="60"/>
      <c r="P50" s="583"/>
      <c r="Q50" s="583"/>
      <c r="R50" s="583"/>
      <c r="S50" s="583"/>
      <c r="T50" s="583"/>
      <c r="U50" s="583"/>
      <c r="V50" s="583"/>
      <c r="W50" s="583"/>
      <c r="X50" s="583"/>
    </row>
    <row r="51" spans="2:24" ht="15" customHeight="1" thickTop="1" thickBot="1" x14ac:dyDescent="0.35">
      <c r="G51" s="397" t="s">
        <v>347</v>
      </c>
      <c r="H51" s="60"/>
      <c r="I51" s="60"/>
      <c r="J51" s="60"/>
      <c r="K51" s="60"/>
      <c r="L51" s="60"/>
      <c r="M51" s="60"/>
      <c r="N51" s="206"/>
      <c r="O51" s="60"/>
      <c r="P51" s="583"/>
      <c r="Q51" s="397" t="s">
        <v>509</v>
      </c>
      <c r="R51" s="583"/>
      <c r="S51" s="583"/>
      <c r="T51" s="583"/>
      <c r="U51" s="583"/>
      <c r="V51" s="583"/>
      <c r="W51" s="656" t="s">
        <v>187</v>
      </c>
      <c r="X51" s="583"/>
    </row>
    <row r="52" spans="2:24" ht="15" customHeight="1" thickTop="1" thickBot="1" x14ac:dyDescent="0.35">
      <c r="G52" s="397" t="s">
        <v>348</v>
      </c>
      <c r="H52" s="60"/>
      <c r="I52" s="60"/>
      <c r="J52" s="60"/>
      <c r="K52" s="60"/>
      <c r="L52" s="60"/>
      <c r="M52" s="60"/>
      <c r="N52" s="207"/>
      <c r="O52" s="60"/>
      <c r="P52" s="583"/>
      <c r="Q52" s="397" t="s">
        <v>510</v>
      </c>
      <c r="R52" s="583"/>
      <c r="S52" s="583"/>
      <c r="T52" s="583"/>
      <c r="U52" s="583"/>
      <c r="V52" s="583"/>
      <c r="W52" s="656" t="s">
        <v>202</v>
      </c>
      <c r="X52" s="583"/>
    </row>
    <row r="53" spans="2:24" ht="15" customHeight="1" thickTop="1" thickBot="1" x14ac:dyDescent="0.35">
      <c r="G53" s="397" t="s">
        <v>349</v>
      </c>
      <c r="H53" s="60"/>
      <c r="I53" s="60"/>
      <c r="J53" s="60"/>
      <c r="K53" s="60"/>
      <c r="L53" s="60"/>
      <c r="M53" s="60"/>
      <c r="N53" s="208"/>
      <c r="O53" s="60"/>
      <c r="P53" s="583"/>
      <c r="Q53" s="397" t="s">
        <v>511</v>
      </c>
      <c r="R53" s="583"/>
      <c r="S53" s="583"/>
      <c r="T53" s="583"/>
      <c r="U53" s="583"/>
      <c r="V53" s="583"/>
      <c r="W53" s="657" t="s">
        <v>540</v>
      </c>
      <c r="X53" s="583"/>
    </row>
    <row r="54" spans="2:24" ht="15" customHeight="1" thickTop="1" x14ac:dyDescent="0.3">
      <c r="G54" s="397"/>
      <c r="H54" s="60"/>
      <c r="I54" s="60"/>
      <c r="J54" s="60"/>
      <c r="K54" s="60"/>
      <c r="L54" s="60"/>
      <c r="M54" s="60"/>
      <c r="N54" s="60"/>
      <c r="O54" s="60"/>
      <c r="P54" s="60"/>
      <c r="Q54" s="397"/>
      <c r="R54" s="61"/>
      <c r="S54" s="60"/>
      <c r="T54" s="60"/>
      <c r="U54" s="583"/>
      <c r="V54" s="583"/>
      <c r="W54" s="583"/>
      <c r="X54" s="583"/>
    </row>
    <row r="55" spans="2:24" ht="15" customHeight="1" x14ac:dyDescent="0.3">
      <c r="G55" s="397"/>
      <c r="H55" s="60"/>
      <c r="I55" s="60"/>
      <c r="J55" s="60"/>
      <c r="K55" s="60"/>
      <c r="L55" s="60"/>
      <c r="M55" s="60"/>
      <c r="N55" s="60"/>
      <c r="O55" s="60"/>
      <c r="P55" s="60"/>
      <c r="Q55" s="397"/>
      <c r="R55" s="61"/>
      <c r="S55" s="60"/>
      <c r="T55" s="60"/>
      <c r="U55" s="583"/>
      <c r="V55" s="583"/>
      <c r="W55" s="583"/>
      <c r="X55" s="583"/>
    </row>
    <row r="56" spans="2:24" ht="15" customHeight="1" x14ac:dyDescent="0.3">
      <c r="B56" s="62"/>
      <c r="G56" s="56"/>
      <c r="U56" s="503"/>
      <c r="V56" s="503"/>
      <c r="W56" s="503"/>
      <c r="X56" s="503"/>
    </row>
    <row r="57" spans="2:24" ht="15" customHeight="1" x14ac:dyDescent="0.3">
      <c r="G57" s="423" t="s">
        <v>552</v>
      </c>
      <c r="H57" s="423"/>
      <c r="I57" s="423"/>
      <c r="J57" s="423"/>
      <c r="K57" s="423"/>
      <c r="L57" s="423"/>
      <c r="M57" s="423"/>
      <c r="N57" s="423"/>
      <c r="O57" s="423"/>
      <c r="P57" s="423"/>
      <c r="Q57" s="423"/>
      <c r="R57" s="423"/>
      <c r="S57" s="423"/>
      <c r="T57" s="423"/>
      <c r="U57" s="423"/>
      <c r="V57" s="423"/>
      <c r="W57" s="423"/>
      <c r="X57" s="423"/>
    </row>
    <row r="58" spans="2:24" ht="15" customHeight="1" x14ac:dyDescent="0.3">
      <c r="G58" s="60"/>
      <c r="H58" s="60"/>
      <c r="I58" s="60"/>
      <c r="J58" s="60"/>
      <c r="K58" s="60"/>
      <c r="L58" s="60"/>
      <c r="M58" s="60"/>
      <c r="N58" s="60"/>
      <c r="O58" s="60"/>
      <c r="P58" s="60"/>
      <c r="Q58" s="60"/>
      <c r="R58" s="61"/>
      <c r="S58" s="60"/>
      <c r="T58" s="60"/>
      <c r="U58" s="60"/>
      <c r="V58" s="60"/>
      <c r="W58" s="60"/>
      <c r="X58" s="60"/>
    </row>
    <row r="59" spans="2:24" ht="15" customHeight="1" x14ac:dyDescent="0.3">
      <c r="G59" s="60"/>
      <c r="H59" s="60"/>
      <c r="I59" s="60"/>
      <c r="J59" s="60"/>
      <c r="K59" s="60"/>
      <c r="L59" s="60"/>
      <c r="M59" s="60"/>
      <c r="N59" s="60"/>
      <c r="O59" s="60"/>
      <c r="P59" s="60"/>
      <c r="Q59" s="60"/>
      <c r="R59" s="61"/>
      <c r="S59" s="60"/>
      <c r="T59" s="60"/>
      <c r="U59" s="60"/>
      <c r="V59" s="60"/>
      <c r="W59" s="60"/>
      <c r="X59" s="60"/>
    </row>
    <row r="60" spans="2:24" ht="15" customHeight="1" x14ac:dyDescent="0.3">
      <c r="G60" s="60"/>
      <c r="H60" s="60"/>
      <c r="I60" s="60"/>
      <c r="J60" s="60"/>
      <c r="K60" s="60"/>
      <c r="L60" s="60"/>
      <c r="M60" s="60"/>
      <c r="N60" s="60"/>
      <c r="O60" s="60"/>
      <c r="P60" s="60"/>
      <c r="Q60" s="60"/>
      <c r="R60" s="61"/>
      <c r="S60" s="60"/>
      <c r="T60" s="60"/>
      <c r="U60" s="60"/>
      <c r="V60" s="60"/>
      <c r="W60" s="60"/>
      <c r="X60" s="60"/>
    </row>
    <row r="61" spans="2:24" ht="15" customHeight="1" x14ac:dyDescent="0.3">
      <c r="G61" s="60"/>
      <c r="H61" s="60"/>
      <c r="I61" s="60"/>
      <c r="J61" s="60"/>
      <c r="K61" s="60"/>
      <c r="L61" s="60"/>
      <c r="M61" s="60"/>
      <c r="N61" s="60"/>
      <c r="O61" s="60"/>
      <c r="P61" s="60"/>
      <c r="Q61" s="60"/>
      <c r="R61" s="61"/>
      <c r="S61" s="60"/>
      <c r="T61" s="60"/>
      <c r="U61" s="60"/>
      <c r="V61" s="60"/>
      <c r="W61" s="60"/>
      <c r="X61" s="60"/>
    </row>
    <row r="62" spans="2:24" ht="15" customHeight="1" x14ac:dyDescent="0.3">
      <c r="G62" s="60"/>
      <c r="H62" s="60"/>
      <c r="I62" s="60"/>
      <c r="J62" s="60"/>
      <c r="K62" s="60"/>
      <c r="L62" s="60"/>
      <c r="M62" s="60"/>
      <c r="N62" s="60"/>
      <c r="O62" s="60"/>
      <c r="P62" s="60"/>
      <c r="Q62" s="60"/>
      <c r="R62" s="61"/>
      <c r="S62" s="60"/>
      <c r="T62" s="60"/>
      <c r="U62" s="60"/>
      <c r="V62" s="60"/>
      <c r="W62" s="60"/>
      <c r="X62" s="60"/>
    </row>
    <row r="63" spans="2:24" ht="15" customHeight="1" x14ac:dyDescent="0.3">
      <c r="G63" s="60"/>
      <c r="H63" s="60"/>
      <c r="I63" s="60"/>
      <c r="J63" s="60"/>
      <c r="K63" s="60"/>
      <c r="L63" s="60"/>
      <c r="M63" s="60"/>
      <c r="N63" s="60"/>
      <c r="O63" s="60"/>
      <c r="P63" s="60"/>
      <c r="Q63" s="60"/>
      <c r="R63" s="61"/>
      <c r="S63" s="60"/>
      <c r="T63" s="60"/>
      <c r="U63" s="60"/>
      <c r="V63" s="60"/>
      <c r="W63" s="60"/>
      <c r="X63" s="60"/>
    </row>
    <row r="64" spans="2:24" ht="15" customHeight="1" x14ac:dyDescent="0.3">
      <c r="G64" s="60"/>
      <c r="H64" s="60"/>
      <c r="I64" s="60"/>
      <c r="J64" s="60"/>
      <c r="K64" s="60"/>
      <c r="L64" s="60"/>
      <c r="M64" s="60"/>
      <c r="N64" s="60"/>
      <c r="O64" s="60"/>
      <c r="P64" s="60"/>
      <c r="Q64" s="60"/>
      <c r="R64" s="61"/>
      <c r="S64" s="60"/>
      <c r="T64" s="60"/>
      <c r="U64" s="60"/>
      <c r="V64" s="60"/>
      <c r="W64" s="60"/>
      <c r="X64" s="60"/>
    </row>
    <row r="65" spans="7:24" ht="15" customHeight="1" x14ac:dyDescent="0.3">
      <c r="G65" s="60"/>
      <c r="H65" s="60"/>
      <c r="I65" s="60"/>
      <c r="J65" s="60"/>
      <c r="K65" s="60"/>
      <c r="L65" s="60"/>
      <c r="M65" s="60"/>
      <c r="N65" s="60"/>
      <c r="O65" s="60"/>
      <c r="P65" s="60"/>
      <c r="Q65" s="60"/>
      <c r="R65" s="61"/>
      <c r="S65" s="60"/>
      <c r="T65" s="60"/>
      <c r="U65" s="60"/>
      <c r="V65" s="60"/>
      <c r="W65" s="60"/>
      <c r="X65" s="60"/>
    </row>
    <row r="66" spans="7:24" ht="15" customHeight="1" x14ac:dyDescent="0.3">
      <c r="G66" s="60"/>
      <c r="H66" s="60"/>
      <c r="I66" s="60"/>
      <c r="J66" s="60"/>
      <c r="K66" s="60"/>
      <c r="L66" s="60"/>
      <c r="M66" s="60"/>
      <c r="N66" s="60"/>
      <c r="O66" s="60"/>
      <c r="P66" s="60"/>
      <c r="Q66" s="60"/>
      <c r="R66" s="61"/>
      <c r="S66" s="60"/>
      <c r="T66" s="60"/>
      <c r="U66" s="60"/>
      <c r="V66" s="60"/>
      <c r="W66" s="60"/>
      <c r="X66" s="60"/>
    </row>
    <row r="67" spans="7:24" ht="15" customHeight="1" x14ac:dyDescent="0.3">
      <c r="G67" s="975"/>
      <c r="X67" s="976"/>
    </row>
    <row r="68" spans="7:24" ht="15" customHeight="1" x14ac:dyDescent="0.3">
      <c r="G68" s="975"/>
      <c r="X68" s="976"/>
    </row>
    <row r="69" spans="7:24" ht="15" customHeight="1" x14ac:dyDescent="0.3">
      <c r="G69" s="975"/>
      <c r="J69" s="1019"/>
      <c r="K69" s="1019"/>
      <c r="R69" s="1019"/>
      <c r="S69" s="1019"/>
      <c r="T69" s="1019"/>
      <c r="X69" s="976"/>
    </row>
    <row r="70" spans="7:24" ht="15" customHeight="1" x14ac:dyDescent="0.3">
      <c r="G70" s="975"/>
      <c r="J70" s="1019"/>
      <c r="K70" s="1019"/>
      <c r="R70" s="1019"/>
      <c r="S70" s="1019"/>
      <c r="T70" s="1019"/>
      <c r="X70" s="976"/>
    </row>
    <row r="71" spans="7:24" ht="15" customHeight="1" x14ac:dyDescent="0.3">
      <c r="G71" s="977"/>
      <c r="H71" s="978"/>
      <c r="I71" s="978"/>
      <c r="J71" s="978"/>
      <c r="K71" s="978"/>
      <c r="L71" s="978"/>
      <c r="M71" s="978"/>
      <c r="N71" s="978"/>
      <c r="O71" s="978"/>
      <c r="P71" s="978"/>
      <c r="Q71" s="978"/>
      <c r="R71" s="979"/>
      <c r="S71" s="978"/>
      <c r="T71" s="978"/>
      <c r="U71" s="978"/>
      <c r="V71" s="978"/>
      <c r="W71" s="978"/>
      <c r="X71" s="980"/>
    </row>
    <row r="73" spans="7:24" ht="15" customHeight="1" x14ac:dyDescent="0.3">
      <c r="G73" s="423" t="s">
        <v>547</v>
      </c>
      <c r="H73" s="308"/>
      <c r="I73" s="308"/>
      <c r="J73" s="308"/>
      <c r="K73" s="308"/>
      <c r="L73" s="308"/>
      <c r="M73" s="308"/>
      <c r="N73" s="308"/>
      <c r="O73" s="308"/>
      <c r="P73" s="308"/>
      <c r="Q73" s="308"/>
      <c r="R73" s="309"/>
      <c r="S73" s="308"/>
      <c r="T73" s="308"/>
      <c r="U73" s="308"/>
      <c r="V73" s="308"/>
      <c r="W73" s="308"/>
      <c r="X73" s="308"/>
    </row>
    <row r="74" spans="7:24" ht="15" customHeight="1" x14ac:dyDescent="0.3">
      <c r="G74" s="60"/>
      <c r="H74" s="60"/>
      <c r="I74" s="60"/>
      <c r="J74" s="60"/>
      <c r="K74" s="60"/>
      <c r="L74" s="60"/>
      <c r="M74" s="60"/>
      <c r="N74" s="60"/>
      <c r="O74" s="60"/>
      <c r="P74" s="60"/>
      <c r="Q74" s="60"/>
      <c r="R74" s="61"/>
      <c r="S74" s="60"/>
      <c r="T74" s="60"/>
      <c r="U74" s="60"/>
      <c r="V74" s="60"/>
      <c r="W74" s="60"/>
      <c r="X74" s="60"/>
    </row>
    <row r="75" spans="7:24" ht="15" customHeight="1" x14ac:dyDescent="0.3">
      <c r="G75" s="60"/>
      <c r="H75" s="60"/>
      <c r="I75" s="60"/>
      <c r="J75" s="60"/>
      <c r="K75" s="60"/>
      <c r="L75" s="60"/>
      <c r="M75" s="60"/>
      <c r="N75" s="60"/>
      <c r="O75" s="60"/>
      <c r="P75" s="60"/>
      <c r="Q75" s="60"/>
      <c r="R75" s="61"/>
      <c r="S75" s="60"/>
      <c r="T75" s="60"/>
      <c r="U75" s="60"/>
      <c r="V75" s="60"/>
      <c r="W75" s="60"/>
      <c r="X75" s="60"/>
    </row>
    <row r="76" spans="7:24" ht="15" customHeight="1" x14ac:dyDescent="0.3">
      <c r="G76" s="60"/>
      <c r="H76" s="60"/>
      <c r="I76" s="60"/>
      <c r="J76" s="60"/>
      <c r="K76" s="60"/>
      <c r="L76" s="60"/>
      <c r="M76" s="60"/>
      <c r="N76" s="60"/>
      <c r="O76" s="60"/>
      <c r="P76" s="60"/>
      <c r="Q76" s="60"/>
      <c r="R76" s="61"/>
      <c r="S76" s="60"/>
      <c r="T76" s="60"/>
      <c r="U76" s="60"/>
      <c r="V76" s="60"/>
      <c r="W76" s="60"/>
      <c r="X76" s="60"/>
    </row>
  </sheetData>
  <mergeCells count="8">
    <mergeCell ref="J69:K70"/>
    <mergeCell ref="R69:T70"/>
    <mergeCell ref="W5:X7"/>
    <mergeCell ref="T34:T35"/>
    <mergeCell ref="A1:E3"/>
    <mergeCell ref="B7:D7"/>
    <mergeCell ref="G1:T3"/>
    <mergeCell ref="W1:X3"/>
  </mergeCells>
  <hyperlinks>
    <hyperlink ref="W5:X7" location="Step1!A1" display="Next" xr:uid="{00000000-0004-0000-0000-000000000000}"/>
    <hyperlink ref="B12" location="Step1!A1" display="Step 1" xr:uid="{00000000-0004-0000-0000-000001000000}"/>
    <hyperlink ref="B10" location="Home!A1" display="HOME" xr:uid="{00000000-0004-0000-0000-000002000000}"/>
    <hyperlink ref="B18" location="Data!A1" display="DATA" xr:uid="{00000000-0004-0000-0000-000003000000}"/>
  </hyperlinks>
  <pageMargins left="0.23622047244094491" right="0.23622047244094491" top="0.74803149606299213" bottom="0.74803149606299213" header="0.31496062992125984" footer="0.31496062992125984"/>
  <pageSetup paperSize="8" scale="97" orientation="landscape"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sheetPr>
  <dimension ref="A1:AK338"/>
  <sheetViews>
    <sheetView showGridLines="0" view="pageBreakPreview" topLeftCell="E111" zoomScale="80" zoomScaleNormal="55" zoomScaleSheetLayoutView="80" workbookViewId="0">
      <selection activeCell="K152" sqref="K152"/>
    </sheetView>
  </sheetViews>
  <sheetFormatPr defaultColWidth="8.7109375" defaultRowHeight="15" customHeight="1" x14ac:dyDescent="0.2"/>
  <cols>
    <col min="1" max="1" width="3.7109375" style="755" customWidth="1"/>
    <col min="2" max="2" width="8.85546875" style="773" customWidth="1"/>
    <col min="3" max="3" width="8.7109375" style="781" customWidth="1"/>
    <col min="4" max="4" width="8.7109375" style="776" customWidth="1"/>
    <col min="5" max="5" width="3.7109375" style="775" customWidth="1"/>
    <col min="6" max="6" width="8.7109375" style="1"/>
    <col min="7" max="7" width="8.7109375" style="1" customWidth="1"/>
    <col min="8" max="8" width="8.7109375" style="1"/>
    <col min="9" max="9" width="25.7109375" style="1" customWidth="1"/>
    <col min="10" max="11" width="12.7109375" style="1" customWidth="1"/>
    <col min="12" max="14" width="8.7109375" style="1" customWidth="1"/>
    <col min="15" max="15" width="25.7109375" style="1" customWidth="1"/>
    <col min="16" max="17" width="12.7109375" style="1" customWidth="1"/>
    <col min="18" max="18" width="8.7109375" style="5" customWidth="1"/>
    <col min="19" max="26" width="8.7109375" style="1" customWidth="1"/>
    <col min="27" max="27" width="25.7109375" style="1" customWidth="1"/>
    <col min="28" max="29" width="12.7109375" style="1" customWidth="1"/>
    <col min="30" max="36" width="8.7109375" style="1" customWidth="1"/>
    <col min="37" max="16384" width="8.7109375" style="1"/>
  </cols>
  <sheetData>
    <row r="1" spans="1:36" ht="15" customHeight="1" x14ac:dyDescent="0.2">
      <c r="A1" s="1067"/>
      <c r="B1" s="1067"/>
      <c r="C1" s="1067"/>
      <c r="D1" s="1067"/>
      <c r="E1" s="1067"/>
    </row>
    <row r="2" spans="1:36" ht="15" customHeight="1" x14ac:dyDescent="0.2">
      <c r="A2" s="1067"/>
      <c r="B2" s="1067"/>
      <c r="C2" s="1067"/>
      <c r="D2" s="1067"/>
      <c r="E2" s="1067"/>
      <c r="H2" s="2"/>
      <c r="I2" s="2"/>
      <c r="J2" s="2"/>
      <c r="K2" s="3"/>
      <c r="L2" s="70"/>
      <c r="M2" s="3"/>
      <c r="N2" s="2"/>
      <c r="O2" s="2"/>
      <c r="P2" s="2"/>
      <c r="Q2" s="4"/>
    </row>
    <row r="3" spans="1:36" ht="15" customHeight="1" x14ac:dyDescent="0.2">
      <c r="A3" s="1067"/>
      <c r="B3" s="1067"/>
      <c r="C3" s="1067"/>
      <c r="D3" s="1067"/>
      <c r="E3" s="1067"/>
    </row>
    <row r="4" spans="1:36" ht="15" customHeight="1" x14ac:dyDescent="0.2">
      <c r="A4" s="772"/>
      <c r="C4" s="772"/>
      <c r="D4" s="772"/>
      <c r="E4" s="772"/>
    </row>
    <row r="5" spans="1:36" ht="15" customHeight="1" x14ac:dyDescent="0.2">
      <c r="A5" s="774"/>
      <c r="C5" s="774"/>
      <c r="D5" s="774"/>
      <c r="E5" s="774"/>
      <c r="G5" s="1020" t="s">
        <v>201</v>
      </c>
      <c r="H5" s="1020"/>
    </row>
    <row r="6" spans="1:36" ht="15" customHeight="1" x14ac:dyDescent="0.2">
      <c r="A6" s="774"/>
      <c r="C6" s="775"/>
      <c r="E6" s="774"/>
      <c r="G6" s="1020"/>
      <c r="H6" s="1020"/>
      <c r="I6" s="8"/>
      <c r="J6" s="8"/>
      <c r="K6" s="8"/>
      <c r="L6" s="8"/>
      <c r="M6" s="8"/>
      <c r="N6" s="8"/>
      <c r="O6" s="8"/>
      <c r="P6" s="8"/>
      <c r="Q6" s="9"/>
      <c r="R6" s="555"/>
      <c r="U6" s="8"/>
      <c r="V6" s="8"/>
      <c r="Y6" s="8"/>
      <c r="Z6" s="8"/>
      <c r="AA6" s="8"/>
      <c r="AB6" s="8"/>
      <c r="AC6" s="8"/>
      <c r="AD6" s="8"/>
      <c r="AE6" s="8"/>
      <c r="AF6" s="8"/>
      <c r="AG6" s="8"/>
      <c r="AH6" s="8"/>
      <c r="AI6" s="8"/>
      <c r="AJ6" s="8"/>
    </row>
    <row r="7" spans="1:36" ht="15" customHeight="1" x14ac:dyDescent="0.2">
      <c r="A7" s="774"/>
      <c r="C7" s="775"/>
      <c r="E7" s="774"/>
      <c r="G7" s="1020"/>
      <c r="H7" s="1020"/>
      <c r="I7" s="22"/>
      <c r="J7" s="22"/>
      <c r="K7" s="8"/>
      <c r="L7" s="8"/>
      <c r="M7" s="8"/>
      <c r="N7" s="8"/>
      <c r="O7" s="8"/>
      <c r="P7" s="8"/>
      <c r="Q7" s="9"/>
      <c r="U7" s="8"/>
      <c r="V7" s="8"/>
      <c r="Y7" s="8"/>
      <c r="Z7" s="8"/>
      <c r="AA7" s="8"/>
      <c r="AB7" s="8"/>
      <c r="AC7" s="8"/>
      <c r="AD7" s="8"/>
      <c r="AE7" s="8"/>
      <c r="AF7" s="8"/>
      <c r="AG7" s="8"/>
      <c r="AH7" s="8"/>
      <c r="AI7" s="8"/>
      <c r="AJ7" s="8"/>
    </row>
    <row r="8" spans="1:36" ht="15" customHeight="1" x14ac:dyDescent="0.2">
      <c r="B8" s="777"/>
      <c r="C8" s="775"/>
      <c r="I8" s="22"/>
      <c r="J8" s="22"/>
      <c r="K8" s="8"/>
      <c r="L8" s="8"/>
      <c r="M8" s="8"/>
      <c r="N8" s="8"/>
      <c r="O8" s="8"/>
      <c r="P8" s="8"/>
      <c r="Q8" s="8"/>
      <c r="R8" s="9"/>
      <c r="S8" s="498"/>
      <c r="T8" s="498"/>
      <c r="U8" s="8"/>
      <c r="V8" s="8"/>
      <c r="W8" s="8"/>
      <c r="X8" s="8"/>
      <c r="Y8" s="8"/>
      <c r="Z8" s="8"/>
      <c r="AA8" s="8"/>
      <c r="AB8" s="8"/>
      <c r="AC8" s="8"/>
      <c r="AD8" s="8"/>
      <c r="AE8" s="8"/>
      <c r="AF8" s="8"/>
      <c r="AG8" s="8"/>
      <c r="AH8" s="8"/>
      <c r="AI8" s="8"/>
      <c r="AJ8" s="8"/>
    </row>
    <row r="9" spans="1:36" ht="15" customHeight="1" thickBot="1" x14ac:dyDescent="0.25">
      <c r="B9" s="777"/>
      <c r="C9" s="775"/>
      <c r="I9" s="22"/>
      <c r="J9" s="22"/>
      <c r="K9" s="8"/>
      <c r="L9" s="8"/>
      <c r="M9" s="8"/>
      <c r="N9" s="8"/>
      <c r="O9" s="8"/>
      <c r="P9" s="8"/>
      <c r="Q9" s="8"/>
      <c r="R9" s="9"/>
      <c r="S9" s="498"/>
      <c r="T9" s="498"/>
      <c r="U9" s="8"/>
      <c r="V9" s="8"/>
      <c r="W9" s="8"/>
      <c r="X9" s="8"/>
      <c r="Y9" s="8"/>
      <c r="Z9" s="8"/>
      <c r="AA9" s="8"/>
      <c r="AB9" s="8"/>
      <c r="AC9" s="8"/>
      <c r="AD9" s="8"/>
      <c r="AE9" s="8"/>
      <c r="AF9" s="8"/>
      <c r="AG9" s="8"/>
      <c r="AH9" s="8"/>
      <c r="AI9" s="8"/>
      <c r="AJ9" s="8"/>
    </row>
    <row r="10" spans="1:36" ht="15" customHeight="1" thickBot="1" x14ac:dyDescent="0.25">
      <c r="B10" s="778"/>
      <c r="C10" s="775"/>
      <c r="G10" s="338" t="s">
        <v>573</v>
      </c>
      <c r="H10" s="297"/>
      <c r="I10" s="297"/>
      <c r="J10" s="297"/>
      <c r="K10" s="298"/>
      <c r="M10" s="88"/>
      <c r="N10" s="11"/>
      <c r="O10" s="11"/>
      <c r="P10" s="11"/>
      <c r="Q10" s="744"/>
      <c r="R10" s="9"/>
      <c r="S10" s="422" t="s">
        <v>496</v>
      </c>
      <c r="T10" s="8"/>
      <c r="U10" s="8"/>
      <c r="V10" s="8"/>
      <c r="W10" s="8"/>
      <c r="X10" s="8"/>
      <c r="Y10" s="640" t="s">
        <v>530</v>
      </c>
      <c r="Z10" s="301"/>
      <c r="AA10" s="301"/>
      <c r="AB10" s="301"/>
      <c r="AC10" s="298"/>
      <c r="AD10" s="8"/>
      <c r="AE10" s="8"/>
    </row>
    <row r="11" spans="1:36" ht="15" customHeight="1" thickBot="1" x14ac:dyDescent="0.25">
      <c r="B11" s="779"/>
      <c r="C11" s="775"/>
      <c r="G11" s="230" t="s">
        <v>420</v>
      </c>
      <c r="H11" s="220"/>
      <c r="I11" s="220"/>
      <c r="J11" s="231">
        <f>SimpleStep3!N93</f>
        <v>0</v>
      </c>
      <c r="K11" s="296"/>
      <c r="M11" s="162"/>
      <c r="P11" s="746"/>
      <c r="Y11" s="227" t="s">
        <v>448</v>
      </c>
      <c r="Z11" s="69"/>
      <c r="AA11" s="69"/>
      <c r="AB11" s="277" t="e">
        <f>AC12+AC13</f>
        <v>#DIV/0!</v>
      </c>
      <c r="AC11" s="60"/>
    </row>
    <row r="12" spans="1:36" ht="15" customHeight="1" thickBot="1" x14ac:dyDescent="0.25">
      <c r="B12" s="780"/>
      <c r="G12" s="60"/>
      <c r="H12" s="60"/>
      <c r="I12" s="60"/>
      <c r="J12" s="60"/>
      <c r="K12" s="60"/>
      <c r="L12" s="426"/>
      <c r="M12" s="66"/>
      <c r="Q12" s="275"/>
      <c r="R12" s="90"/>
      <c r="S12" s="86"/>
      <c r="T12" s="86"/>
      <c r="U12" s="91"/>
      <c r="V12" s="86"/>
      <c r="W12" s="86"/>
      <c r="X12" s="86"/>
      <c r="Y12" s="181" t="s">
        <v>423</v>
      </c>
      <c r="Z12" s="188"/>
      <c r="AA12" s="188"/>
      <c r="AB12" s="60"/>
      <c r="AC12" s="246">
        <f>J11-K20</f>
        <v>0</v>
      </c>
      <c r="AD12" s="86"/>
      <c r="AE12" s="86"/>
    </row>
    <row r="13" spans="1:36" ht="15" customHeight="1" thickBot="1" x14ac:dyDescent="0.25">
      <c r="B13" s="779"/>
      <c r="C13" s="782"/>
      <c r="G13" s="209" t="s">
        <v>422</v>
      </c>
      <c r="H13" s="211"/>
      <c r="I13" s="212"/>
      <c r="J13" s="212"/>
      <c r="K13" s="255">
        <f>K20</f>
        <v>0</v>
      </c>
      <c r="L13" s="91"/>
      <c r="M13" s="66"/>
      <c r="Q13" s="275"/>
      <c r="R13" s="427"/>
      <c r="S13" s="426"/>
      <c r="T13" s="426"/>
      <c r="U13" s="426"/>
      <c r="V13" s="426"/>
      <c r="W13" s="426"/>
      <c r="X13" s="426"/>
      <c r="Y13" s="181" t="s">
        <v>424</v>
      </c>
      <c r="Z13" s="60"/>
      <c r="AA13" s="60"/>
      <c r="AB13" s="60"/>
      <c r="AC13" s="246" t="e">
        <f>IF($AA$18="Natural Gas",((($K$20*($K$30/100))/($AC$30/100))/$K$21)*AC21,0)</f>
        <v>#DIV/0!</v>
      </c>
      <c r="AD13" s="426"/>
      <c r="AE13" s="426"/>
    </row>
    <row r="14" spans="1:36" ht="15" customHeight="1" thickBot="1" x14ac:dyDescent="0.25">
      <c r="B14" s="778"/>
      <c r="C14" s="775"/>
      <c r="G14" s="60"/>
      <c r="H14" s="60"/>
      <c r="I14" s="60"/>
      <c r="J14" s="60"/>
      <c r="K14" s="525"/>
      <c r="M14" s="162"/>
      <c r="P14" s="112"/>
      <c r="Q14" s="275"/>
      <c r="R14" s="92"/>
      <c r="S14" s="92"/>
      <c r="T14" s="92"/>
      <c r="U14" s="92"/>
      <c r="V14" s="92"/>
      <c r="W14" s="92"/>
      <c r="X14" s="92"/>
      <c r="Y14" s="180" t="s">
        <v>421</v>
      </c>
      <c r="Z14" s="188"/>
      <c r="AA14" s="188"/>
      <c r="AB14" s="292">
        <f>IF($AA$18="District heating",((($K$20*($K$30/100))/($AC$30/100))/$K$21)*AC21,0)</f>
        <v>0</v>
      </c>
      <c r="AC14" s="628">
        <f>AB14</f>
        <v>0</v>
      </c>
      <c r="AD14" s="92"/>
      <c r="AE14" s="92"/>
    </row>
    <row r="15" spans="1:36" ht="15" customHeight="1" thickBot="1" x14ac:dyDescent="0.25">
      <c r="B15" s="783"/>
      <c r="C15" s="775"/>
      <c r="G15" s="168"/>
      <c r="H15" s="60"/>
      <c r="I15" s="60"/>
      <c r="J15" s="169"/>
      <c r="K15" s="271"/>
      <c r="M15" s="162"/>
      <c r="P15" s="112"/>
      <c r="Q15" s="275"/>
      <c r="Y15" s="180" t="s">
        <v>437</v>
      </c>
      <c r="Z15" s="188"/>
      <c r="AA15" s="547"/>
      <c r="AB15" s="181">
        <f>IF($AA$18="Grid electricity",((($K$20*($K$30/100))/($AC$30/100))/$K$21)*AC21,0)</f>
        <v>0</v>
      </c>
      <c r="AC15" s="522">
        <f>AB15</f>
        <v>0</v>
      </c>
    </row>
    <row r="16" spans="1:36" ht="15" customHeight="1" thickBot="1" x14ac:dyDescent="0.25">
      <c r="B16" s="783"/>
      <c r="C16" s="775"/>
      <c r="G16" s="168"/>
      <c r="H16" s="310"/>
      <c r="I16" s="310"/>
      <c r="J16" s="169"/>
      <c r="K16" s="522"/>
      <c r="M16" s="744"/>
      <c r="N16" s="744"/>
      <c r="P16" s="744"/>
      <c r="Q16" s="529"/>
      <c r="Y16" s="168"/>
      <c r="Z16" s="547"/>
      <c r="AA16" s="547"/>
      <c r="AB16" s="547"/>
      <c r="AC16" s="522"/>
    </row>
    <row r="17" spans="2:31" ht="15" customHeight="1" thickBot="1" x14ac:dyDescent="0.25">
      <c r="B17" s="783"/>
      <c r="C17" s="775"/>
      <c r="G17" s="364"/>
      <c r="H17" s="523"/>
      <c r="I17" s="523"/>
      <c r="J17" s="365"/>
      <c r="K17" s="524"/>
      <c r="M17" s="744"/>
      <c r="N17" s="744"/>
      <c r="P17" s="744"/>
      <c r="Q17" s="529"/>
      <c r="Y17" s="364"/>
      <c r="Z17" s="548"/>
      <c r="AA17" s="547"/>
      <c r="AB17" s="548"/>
      <c r="AC17" s="524"/>
    </row>
    <row r="18" spans="2:31" ht="15" customHeight="1" thickBot="1" x14ac:dyDescent="0.25">
      <c r="B18" s="783"/>
      <c r="C18" s="775"/>
      <c r="G18" s="347" t="s">
        <v>283</v>
      </c>
      <c r="H18" s="310"/>
      <c r="I18" s="348" t="s">
        <v>19</v>
      </c>
      <c r="J18" s="310"/>
      <c r="K18" s="528"/>
      <c r="M18" s="66"/>
      <c r="O18" s="87"/>
      <c r="Q18" s="529"/>
      <c r="Y18" s="229" t="s">
        <v>283</v>
      </c>
      <c r="Z18" s="550"/>
      <c r="AA18" s="761" t="str">
        <f>SimpleH!AA18</f>
        <v>Natural gas</v>
      </c>
      <c r="AB18" s="550"/>
      <c r="AC18" s="528"/>
    </row>
    <row r="19" spans="2:31" ht="15" customHeight="1" x14ac:dyDescent="0.2">
      <c r="B19" s="783"/>
      <c r="C19" s="775"/>
      <c r="G19" s="361"/>
      <c r="H19" s="523"/>
      <c r="I19" s="523"/>
      <c r="J19" s="523"/>
      <c r="K19" s="524"/>
      <c r="M19" s="747"/>
      <c r="Q19" s="529"/>
      <c r="Y19" s="353"/>
      <c r="Z19" s="548"/>
      <c r="AA19" s="548"/>
      <c r="AB19" s="548"/>
      <c r="AC19" s="524"/>
    </row>
    <row r="20" spans="2:31" ht="15" customHeight="1" thickBot="1" x14ac:dyDescent="0.25">
      <c r="B20" s="783"/>
      <c r="C20" s="775"/>
      <c r="G20" s="223" t="s">
        <v>431</v>
      </c>
      <c r="H20" s="220"/>
      <c r="I20" s="310"/>
      <c r="J20" s="767">
        <f>SimpleH!J22</f>
        <v>100</v>
      </c>
      <c r="K20" s="244">
        <f>(J20/100)*J11</f>
        <v>0</v>
      </c>
      <c r="L20" s="91"/>
      <c r="Q20" s="529"/>
      <c r="U20" s="8"/>
      <c r="V20" s="8"/>
      <c r="Y20" s="229"/>
      <c r="Z20" s="550"/>
      <c r="AA20" s="550"/>
      <c r="AB20" s="550"/>
      <c r="AC20" s="528"/>
    </row>
    <row r="21" spans="2:31" ht="15" customHeight="1" thickBot="1" x14ac:dyDescent="0.25">
      <c r="B21" s="783"/>
      <c r="C21" s="775"/>
      <c r="G21" s="176" t="s">
        <v>430</v>
      </c>
      <c r="H21" s="171"/>
      <c r="I21" s="171"/>
      <c r="J21" s="768">
        <f>SimpleH!J23</f>
        <v>100</v>
      </c>
      <c r="K21" s="247">
        <f>(J21/100)*Step1!$K$24</f>
        <v>17317</v>
      </c>
      <c r="M21" s="66"/>
      <c r="N21" s="8"/>
      <c r="O21" s="8"/>
      <c r="P21" s="87"/>
      <c r="Q21" s="275"/>
      <c r="Y21" s="181" t="s">
        <v>428</v>
      </c>
      <c r="Z21" s="181"/>
      <c r="AA21" s="181"/>
      <c r="AB21" s="761">
        <f>SimpleH!AB23</f>
        <v>0</v>
      </c>
      <c r="AC21" s="247">
        <f>IF(ISBLANK(AB21),Q21,K21+AB21)</f>
        <v>17317</v>
      </c>
    </row>
    <row r="22" spans="2:31" ht="15" customHeight="1" x14ac:dyDescent="0.2">
      <c r="G22" s="342"/>
      <c r="H22" s="342"/>
      <c r="I22" s="342"/>
      <c r="J22" s="342"/>
      <c r="K22" s="360"/>
      <c r="M22" s="8"/>
      <c r="N22" s="8"/>
      <c r="O22" s="8"/>
      <c r="P22" s="8"/>
      <c r="Q22" s="748"/>
      <c r="U22" s="8"/>
      <c r="V22" s="8"/>
      <c r="Y22" s="353"/>
      <c r="Z22" s="353"/>
      <c r="AA22" s="559"/>
      <c r="AB22" s="548"/>
      <c r="AC22" s="360"/>
    </row>
    <row r="23" spans="2:31" ht="15" customHeight="1" thickBot="1" x14ac:dyDescent="0.25">
      <c r="G23" s="223" t="s">
        <v>230</v>
      </c>
      <c r="H23" s="220"/>
      <c r="I23" s="220"/>
      <c r="J23" s="769">
        <f>SimpleH!J25</f>
        <v>0</v>
      </c>
      <c r="K23" s="245">
        <f>J23</f>
        <v>0</v>
      </c>
      <c r="M23" s="66"/>
      <c r="N23" s="8"/>
      <c r="O23" s="8"/>
      <c r="P23" s="87"/>
      <c r="Q23" s="749"/>
      <c r="U23" s="8"/>
      <c r="V23" s="8"/>
      <c r="Y23" s="270" t="s">
        <v>230</v>
      </c>
      <c r="Z23" s="229"/>
      <c r="AA23" s="390"/>
      <c r="AB23" s="761">
        <f>SimpleH!AB25</f>
        <v>0</v>
      </c>
      <c r="AC23" s="269">
        <f>IF(AA18="District heating",100,AB23)</f>
        <v>0</v>
      </c>
    </row>
    <row r="24" spans="2:31" ht="15" customHeight="1" x14ac:dyDescent="0.2">
      <c r="B24" s="779"/>
      <c r="C24" s="782"/>
      <c r="G24" s="361"/>
      <c r="H24" s="523"/>
      <c r="I24" s="523"/>
      <c r="J24" s="523"/>
      <c r="K24" s="560"/>
      <c r="M24" s="747"/>
      <c r="Q24" s="529"/>
      <c r="Y24" s="366"/>
      <c r="Z24" s="548"/>
      <c r="AA24" s="548"/>
      <c r="AB24" s="551"/>
      <c r="AC24" s="524"/>
    </row>
    <row r="25" spans="2:31" ht="15" customHeight="1" thickBot="1" x14ac:dyDescent="0.25">
      <c r="B25" s="778"/>
      <c r="C25" s="782"/>
      <c r="G25" s="385" t="s">
        <v>419</v>
      </c>
      <c r="H25" s="371"/>
      <c r="I25" s="371"/>
      <c r="J25" s="371"/>
      <c r="K25" s="372"/>
      <c r="L25" s="12"/>
      <c r="M25" s="750"/>
      <c r="N25" s="8"/>
      <c r="O25" s="8"/>
      <c r="P25" s="8"/>
      <c r="Q25" s="250"/>
      <c r="R25" s="12"/>
      <c r="S25" s="8"/>
      <c r="T25" s="8"/>
      <c r="U25" s="10"/>
      <c r="V25" s="8"/>
      <c r="W25" s="10"/>
      <c r="X25" s="8"/>
      <c r="Y25" s="387" t="s">
        <v>419</v>
      </c>
      <c r="Z25" s="371"/>
      <c r="AA25" s="371"/>
      <c r="AB25" s="371"/>
      <c r="AC25" s="372"/>
      <c r="AD25" s="8"/>
      <c r="AE25" s="8"/>
    </row>
    <row r="26" spans="2:31" ht="15" customHeight="1" thickBot="1" x14ac:dyDescent="0.25">
      <c r="B26" s="777"/>
      <c r="C26" s="775"/>
      <c r="G26" s="386" t="s">
        <v>272</v>
      </c>
      <c r="H26" s="328"/>
      <c r="I26" s="326"/>
      <c r="J26" s="770" t="str">
        <f>SimpleH!J28</f>
        <v>No</v>
      </c>
      <c r="K26" s="374">
        <f>IF(J26="Yes",Data!$P$84,0)</f>
        <v>0</v>
      </c>
      <c r="M26" s="66"/>
      <c r="N26" s="10"/>
      <c r="O26" s="8"/>
      <c r="P26" s="87"/>
      <c r="Q26" s="749"/>
      <c r="U26" s="8"/>
      <c r="V26" s="8"/>
      <c r="Y26" s="388" t="s">
        <v>272</v>
      </c>
      <c r="Z26" s="328"/>
      <c r="AA26" s="326"/>
      <c r="AB26" s="762" t="str">
        <f>SimpleH!AB28</f>
        <v>No</v>
      </c>
      <c r="AC26" s="374">
        <f>IF(AB26="Yes",Data!$P$84,0)</f>
        <v>0</v>
      </c>
    </row>
    <row r="27" spans="2:31" ht="15" customHeight="1" thickBot="1" x14ac:dyDescent="0.25">
      <c r="B27" s="777"/>
      <c r="C27" s="775"/>
      <c r="G27" s="386" t="s">
        <v>204</v>
      </c>
      <c r="H27" s="326"/>
      <c r="I27" s="375"/>
      <c r="J27" s="770" t="str">
        <f>SimpleH!J29</f>
        <v>No</v>
      </c>
      <c r="K27" s="374">
        <f>IF(J27="Yes",Data!$P$85,0)</f>
        <v>0</v>
      </c>
      <c r="M27" s="66"/>
      <c r="N27" s="8"/>
      <c r="O27" s="95"/>
      <c r="P27" s="87"/>
      <c r="Q27" s="749"/>
      <c r="U27" s="8"/>
      <c r="V27" s="8"/>
      <c r="Y27" s="388" t="s">
        <v>204</v>
      </c>
      <c r="Z27" s="326"/>
      <c r="AA27" s="375"/>
      <c r="AB27" s="762" t="str">
        <f>SimpleH!AB29</f>
        <v>No</v>
      </c>
      <c r="AC27" s="374">
        <f>IF(AB27="Yes",Data!$P$85,0)</f>
        <v>0</v>
      </c>
    </row>
    <row r="28" spans="2:31" ht="15" customHeight="1" thickBot="1" x14ac:dyDescent="0.25">
      <c r="B28" s="777"/>
      <c r="C28" s="775"/>
      <c r="G28" s="386" t="s">
        <v>273</v>
      </c>
      <c r="H28" s="326"/>
      <c r="I28" s="375"/>
      <c r="J28" s="770" t="str">
        <f>SimpleH!J30</f>
        <v>No</v>
      </c>
      <c r="K28" s="374">
        <f>IF(J28="Yes",Data!$P$86,0)</f>
        <v>0</v>
      </c>
      <c r="M28" s="66"/>
      <c r="N28" s="8"/>
      <c r="O28" s="95"/>
      <c r="P28" s="87"/>
      <c r="Q28" s="749"/>
      <c r="U28" s="8"/>
      <c r="V28" s="8"/>
      <c r="Y28" s="388" t="s">
        <v>273</v>
      </c>
      <c r="Z28" s="326"/>
      <c r="AA28" s="326"/>
      <c r="AB28" s="762" t="str">
        <f>SimpleH!AB30</f>
        <v>No</v>
      </c>
      <c r="AC28" s="374">
        <f>IF(AB28="Yes",Data!$P$86,0)</f>
        <v>0</v>
      </c>
    </row>
    <row r="29" spans="2:31" ht="15" customHeight="1" thickBot="1" x14ac:dyDescent="0.25">
      <c r="B29" s="777"/>
      <c r="C29" s="775"/>
      <c r="G29" s="386" t="s">
        <v>213</v>
      </c>
      <c r="H29" s="326"/>
      <c r="I29" s="375"/>
      <c r="J29" s="770" t="str">
        <f>SimpleH!J31</f>
        <v>No</v>
      </c>
      <c r="K29" s="374">
        <f>IF(J29="Yes",Data!$P$87,0)</f>
        <v>0</v>
      </c>
      <c r="M29" s="66"/>
      <c r="N29" s="95"/>
      <c r="O29" s="95"/>
      <c r="P29" s="87"/>
      <c r="Q29" s="749"/>
      <c r="U29" s="8"/>
      <c r="V29" s="8"/>
      <c r="Y29" s="388" t="s">
        <v>213</v>
      </c>
      <c r="Z29" s="326"/>
      <c r="AA29" s="375"/>
      <c r="AB29" s="762" t="str">
        <f>SimpleH!AB31</f>
        <v>No</v>
      </c>
      <c r="AC29" s="374">
        <f>IF(AB29="Yes",Data!$P$87,0)</f>
        <v>0</v>
      </c>
    </row>
    <row r="30" spans="2:31" ht="15" customHeight="1" thickBot="1" x14ac:dyDescent="0.25">
      <c r="C30" s="775"/>
      <c r="G30" s="386" t="s">
        <v>429</v>
      </c>
      <c r="H30" s="326"/>
      <c r="I30" s="326"/>
      <c r="J30" s="376">
        <f>K30</f>
        <v>0</v>
      </c>
      <c r="K30" s="377">
        <f>IF(OR(I18="Grid electricity",I18="District heating"),K23,K23+IF(SUM(K26:K29)&gt;4,4,SUM(K26:K29)))</f>
        <v>0</v>
      </c>
      <c r="M30" s="66"/>
      <c r="N30" s="8"/>
      <c r="O30" s="8"/>
      <c r="P30" s="751"/>
      <c r="Q30" s="752"/>
      <c r="U30" s="8"/>
      <c r="V30" s="8"/>
      <c r="Y30" s="388" t="s">
        <v>429</v>
      </c>
      <c r="Z30" s="326"/>
      <c r="AA30" s="375"/>
      <c r="AB30" s="391">
        <f>AC30</f>
        <v>0</v>
      </c>
      <c r="AC30" s="377">
        <f>IF(OR(AA18="Grid electricity",AA18="District heating"),AC23,AC23+IF(SUM(AC26:AC29)&gt;4,4,SUM(AC26:AC29)))</f>
        <v>0</v>
      </c>
    </row>
    <row r="31" spans="2:31" ht="15" customHeight="1" x14ac:dyDescent="0.2">
      <c r="B31" s="1068"/>
      <c r="C31" s="1068"/>
      <c r="D31" s="1068"/>
      <c r="G31" s="378"/>
      <c r="H31" s="379"/>
      <c r="I31" s="380"/>
      <c r="J31" s="380"/>
      <c r="K31" s="381"/>
      <c r="M31" s="66"/>
      <c r="N31" s="10"/>
      <c r="O31" s="8"/>
      <c r="P31" s="8"/>
      <c r="Q31" s="8"/>
      <c r="U31" s="8"/>
      <c r="V31" s="8"/>
      <c r="Y31" s="389"/>
      <c r="Z31" s="379"/>
      <c r="AA31" s="379"/>
      <c r="AB31" s="380"/>
      <c r="AC31" s="381"/>
    </row>
    <row r="32" spans="2:31" ht="15" customHeight="1" thickBot="1" x14ac:dyDescent="0.25">
      <c r="C32" s="775"/>
      <c r="E32" s="784"/>
      <c r="G32" s="30" t="s">
        <v>443</v>
      </c>
      <c r="H32" s="13"/>
      <c r="I32" s="13"/>
      <c r="J32" s="31">
        <f>((K21*K35)*(K37*K38*K39))/1000</f>
        <v>0</v>
      </c>
      <c r="K32" s="252"/>
      <c r="M32" s="162"/>
      <c r="N32" s="8"/>
      <c r="O32" s="8"/>
      <c r="P32" s="112"/>
      <c r="Q32" s="250"/>
      <c r="U32" s="8"/>
      <c r="V32" s="8"/>
      <c r="Y32" s="16" t="s">
        <v>443</v>
      </c>
      <c r="Z32" s="18"/>
      <c r="AA32" s="60"/>
      <c r="AB32" s="37">
        <f>IF(OR(AA18="Grid electricity",AA18="District heating"),0,((AC21*AC35)*(AC37*AC38*AC39))/1000)</f>
        <v>0</v>
      </c>
      <c r="AC32" s="245"/>
      <c r="AD32" s="8"/>
    </row>
    <row r="33" spans="2:31" ht="15" customHeight="1" thickBot="1" x14ac:dyDescent="0.25">
      <c r="C33" s="775"/>
      <c r="G33" s="13"/>
      <c r="H33" s="13"/>
      <c r="I33" s="13"/>
      <c r="J33" s="13"/>
      <c r="K33" s="252"/>
      <c r="M33" s="162"/>
      <c r="N33" s="8"/>
      <c r="O33" s="745"/>
      <c r="P33" s="745"/>
      <c r="Q33" s="250"/>
      <c r="U33" s="8"/>
      <c r="V33" s="8"/>
      <c r="Y33" s="16" t="s">
        <v>387</v>
      </c>
      <c r="Z33" s="18"/>
      <c r="AA33" s="18"/>
      <c r="AB33" s="267" t="e">
        <f>1-(AB32/J32)</f>
        <v>#DIV/0!</v>
      </c>
      <c r="AC33" s="243"/>
      <c r="AD33" s="8"/>
    </row>
    <row r="34" spans="2:31" ht="15" customHeight="1" thickBot="1" x14ac:dyDescent="0.25">
      <c r="C34" s="775"/>
      <c r="G34" s="60"/>
      <c r="H34" s="60"/>
      <c r="I34" s="60"/>
      <c r="J34" s="60"/>
      <c r="K34" s="60"/>
      <c r="Y34" s="60"/>
      <c r="Z34" s="60"/>
      <c r="AA34" s="60"/>
      <c r="AB34" s="60"/>
      <c r="AC34" s="60"/>
    </row>
    <row r="35" spans="2:31" ht="15" customHeight="1" thickBot="1" x14ac:dyDescent="0.25">
      <c r="C35" s="785"/>
      <c r="D35" s="785"/>
      <c r="G35" s="176" t="s">
        <v>223</v>
      </c>
      <c r="H35" s="176"/>
      <c r="I35" s="763" t="str">
        <f>SimpleH!I37</f>
        <v>User defined</v>
      </c>
      <c r="J35" s="764">
        <f>SimpleH!J37</f>
        <v>0</v>
      </c>
      <c r="K35" s="253">
        <f>IF(I35="User defined",J35,VLOOKUP(I35,Data!$G$91:$P$94,10,FALSE))</f>
        <v>0</v>
      </c>
      <c r="M35" s="66"/>
      <c r="N35" s="10"/>
      <c r="O35" s="87"/>
      <c r="P35" s="753"/>
      <c r="Q35" s="749"/>
      <c r="U35" s="8"/>
      <c r="V35" s="8"/>
      <c r="Y35" s="181" t="s">
        <v>223</v>
      </c>
      <c r="Z35" s="181"/>
      <c r="AA35" s="763" t="str">
        <f>SimpleH!AA37</f>
        <v>User defined</v>
      </c>
      <c r="AB35" s="764">
        <f>SimpleH!AB37</f>
        <v>0</v>
      </c>
      <c r="AC35" s="253">
        <f>IF(AA35="User defined",AB35,VLOOKUP(AA35,Data!$G$91:$P$94,10,FALSE))</f>
        <v>0</v>
      </c>
    </row>
    <row r="36" spans="2:31" ht="15" customHeight="1" thickBot="1" x14ac:dyDescent="0.25">
      <c r="C36" s="786"/>
      <c r="E36" s="784"/>
      <c r="G36" s="176"/>
      <c r="H36" s="176"/>
      <c r="I36" s="171"/>
      <c r="J36" s="171"/>
      <c r="K36" s="243"/>
      <c r="M36" s="66"/>
      <c r="N36" s="10"/>
      <c r="O36" s="8"/>
      <c r="P36" s="8"/>
      <c r="Q36" s="250"/>
      <c r="U36" s="8"/>
      <c r="V36" s="8"/>
      <c r="Y36" s="181"/>
      <c r="Z36" s="181"/>
      <c r="AA36" s="181"/>
      <c r="AB36" s="181"/>
      <c r="AC36" s="243"/>
    </row>
    <row r="37" spans="2:31" ht="15" customHeight="1" thickBot="1" x14ac:dyDescent="0.25">
      <c r="C37" s="784"/>
      <c r="G37" s="176" t="s">
        <v>217</v>
      </c>
      <c r="H37" s="171"/>
      <c r="I37" s="171"/>
      <c r="J37" s="771">
        <f>SimpleH!J40</f>
        <v>8</v>
      </c>
      <c r="K37" s="243">
        <f>J37</f>
        <v>8</v>
      </c>
      <c r="M37" s="66"/>
      <c r="N37" s="8"/>
      <c r="O37" s="8"/>
      <c r="P37" s="115"/>
      <c r="Q37" s="250"/>
      <c r="U37" s="8"/>
      <c r="V37" s="8"/>
      <c r="Y37" s="181" t="s">
        <v>217</v>
      </c>
      <c r="Z37" s="181"/>
      <c r="AA37" s="181"/>
      <c r="AB37" s="761">
        <f>SimpleH!AB40</f>
        <v>8</v>
      </c>
      <c r="AC37" s="247">
        <f>IF(ISBLANK(AB37),Q37,AB37)</f>
        <v>8</v>
      </c>
    </row>
    <row r="38" spans="2:31" ht="15" customHeight="1" thickBot="1" x14ac:dyDescent="0.25">
      <c r="C38" s="775"/>
      <c r="G38" s="176" t="s">
        <v>222</v>
      </c>
      <c r="H38" s="171"/>
      <c r="I38" s="171"/>
      <c r="J38" s="771">
        <f>SimpleH!J41</f>
        <v>5</v>
      </c>
      <c r="K38" s="243">
        <f>J38</f>
        <v>5</v>
      </c>
      <c r="M38" s="66"/>
      <c r="N38" s="8"/>
      <c r="O38" s="8"/>
      <c r="P38" s="115"/>
      <c r="Q38" s="250"/>
      <c r="Y38" s="181" t="s">
        <v>222</v>
      </c>
      <c r="Z38" s="181"/>
      <c r="AA38" s="181"/>
      <c r="AB38" s="761">
        <f>SimpleH!AB41</f>
        <v>5</v>
      </c>
      <c r="AC38" s="247">
        <f>IF(ISBLANK(AB38),Q38,AB38)</f>
        <v>5</v>
      </c>
    </row>
    <row r="39" spans="2:31" ht="15" customHeight="1" thickBot="1" x14ac:dyDescent="0.25">
      <c r="C39" s="785"/>
      <c r="D39" s="785"/>
      <c r="G39" s="176" t="s">
        <v>206</v>
      </c>
      <c r="H39" s="171"/>
      <c r="I39" s="171"/>
      <c r="J39" s="771">
        <f>SimpleH!J42</f>
        <v>40</v>
      </c>
      <c r="K39" s="243">
        <f>J39</f>
        <v>40</v>
      </c>
      <c r="M39" s="66"/>
      <c r="N39" s="8"/>
      <c r="O39" s="8"/>
      <c r="P39" s="87"/>
      <c r="Q39" s="250"/>
      <c r="Y39" s="181" t="s">
        <v>206</v>
      </c>
      <c r="Z39" s="181"/>
      <c r="AA39" s="181"/>
      <c r="AB39" s="761">
        <f>SimpleH!AB42</f>
        <v>40</v>
      </c>
      <c r="AC39" s="247">
        <f>IF(ISBLANK(AB39),Q39,AB39)</f>
        <v>40</v>
      </c>
    </row>
    <row r="40" spans="2:31" ht="15" customHeight="1" x14ac:dyDescent="0.2">
      <c r="B40" s="777"/>
      <c r="C40" s="775"/>
      <c r="G40" s="342"/>
      <c r="H40" s="342"/>
      <c r="I40" s="342"/>
      <c r="J40" s="342"/>
      <c r="K40" s="360"/>
      <c r="M40" s="8"/>
      <c r="N40" s="8"/>
      <c r="O40" s="8"/>
      <c r="P40" s="8"/>
      <c r="Q40" s="748"/>
      <c r="Y40" s="353"/>
      <c r="Z40" s="353"/>
      <c r="AA40" s="353"/>
      <c r="AB40" s="353"/>
      <c r="AC40" s="360"/>
    </row>
    <row r="41" spans="2:31" ht="15" customHeight="1" thickBot="1" x14ac:dyDescent="0.25">
      <c r="C41" s="775"/>
      <c r="G41" s="219" t="s">
        <v>386</v>
      </c>
      <c r="H41" s="223"/>
      <c r="I41" s="220"/>
      <c r="J41" s="224"/>
      <c r="K41" s="245"/>
      <c r="L41" s="8"/>
      <c r="M41" s="750"/>
      <c r="N41" s="10"/>
      <c r="O41" s="8"/>
      <c r="P41" s="21"/>
      <c r="Q41" s="250"/>
      <c r="R41" s="9"/>
      <c r="S41" s="660" t="s">
        <v>316</v>
      </c>
      <c r="T41" s="664"/>
      <c r="U41" s="665"/>
      <c r="V41" s="659"/>
      <c r="W41" s="659"/>
      <c r="X41" s="8"/>
      <c r="Y41" s="228" t="s">
        <v>386</v>
      </c>
      <c r="Z41" s="223"/>
      <c r="AA41" s="220"/>
      <c r="AB41" s="220"/>
      <c r="AC41" s="264"/>
      <c r="AD41" s="8"/>
      <c r="AE41" s="8"/>
    </row>
    <row r="42" spans="2:31" ht="15" customHeight="1" thickBot="1" x14ac:dyDescent="0.25">
      <c r="C42" s="775"/>
      <c r="G42" s="176" t="s">
        <v>205</v>
      </c>
      <c r="H42" s="171"/>
      <c r="I42" s="175"/>
      <c r="J42" s="765">
        <f>SimpleH!J45</f>
        <v>0</v>
      </c>
      <c r="K42" s="247">
        <f>J42</f>
        <v>0</v>
      </c>
      <c r="M42" s="66"/>
      <c r="N42" s="8"/>
      <c r="O42" s="8"/>
      <c r="P42" s="754"/>
      <c r="Q42" s="275"/>
      <c r="S42" s="532" t="s">
        <v>541</v>
      </c>
      <c r="T42" s="60"/>
      <c r="U42" s="13"/>
      <c r="V42" s="661" t="e">
        <f>J72</f>
        <v>#N/A</v>
      </c>
      <c r="W42" s="662" t="s">
        <v>542</v>
      </c>
      <c r="Y42" s="181" t="s">
        <v>305</v>
      </c>
      <c r="Z42" s="181"/>
      <c r="AA42" s="181"/>
      <c r="AB42" s="765">
        <f>SimpleH!AB45</f>
        <v>0</v>
      </c>
      <c r="AC42" s="247">
        <f>AB42</f>
        <v>0</v>
      </c>
    </row>
    <row r="43" spans="2:31" ht="15" customHeight="1" thickBot="1" x14ac:dyDescent="0.25">
      <c r="C43" s="785"/>
      <c r="D43" s="785"/>
      <c r="G43" s="176" t="s">
        <v>537</v>
      </c>
      <c r="H43" s="171"/>
      <c r="I43" s="175"/>
      <c r="J43" s="765">
        <f>SimpleH!J46</f>
        <v>0</v>
      </c>
      <c r="K43" s="247">
        <f t="shared" ref="K43:K48" si="0">J43</f>
        <v>0</v>
      </c>
      <c r="M43" s="66"/>
      <c r="N43" s="8"/>
      <c r="O43" s="8"/>
      <c r="P43" s="87"/>
      <c r="Q43" s="275"/>
      <c r="S43" s="532" t="s">
        <v>594</v>
      </c>
      <c r="T43" s="60"/>
      <c r="U43" s="60"/>
      <c r="V43" s="661" t="e">
        <f>J73</f>
        <v>#N/A</v>
      </c>
      <c r="W43" s="662" t="s">
        <v>542</v>
      </c>
      <c r="Y43" s="181" t="s">
        <v>537</v>
      </c>
      <c r="Z43" s="181"/>
      <c r="AA43" s="181"/>
      <c r="AB43" s="766">
        <f>SimpleH!AB46</f>
        <v>0</v>
      </c>
      <c r="AC43" s="247">
        <f t="shared" ref="AC43:AC48" si="1">AB43</f>
        <v>0</v>
      </c>
    </row>
    <row r="44" spans="2:31" ht="15" customHeight="1" thickBot="1" x14ac:dyDescent="0.25">
      <c r="B44" s="777"/>
      <c r="C44" s="775"/>
      <c r="G44" s="60"/>
      <c r="H44" s="60"/>
      <c r="I44" s="60"/>
      <c r="J44" s="60"/>
      <c r="K44" s="247"/>
      <c r="Q44" s="275"/>
      <c r="U44" s="8"/>
      <c r="V44" s="8"/>
      <c r="Y44" s="60"/>
      <c r="Z44" s="60"/>
      <c r="AA44" s="60"/>
      <c r="AB44" s="60"/>
      <c r="AC44" s="247"/>
    </row>
    <row r="45" spans="2:31" ht="15" customHeight="1" thickBot="1" x14ac:dyDescent="0.25">
      <c r="B45" s="777"/>
      <c r="C45" s="775"/>
      <c r="G45" s="176" t="s">
        <v>200</v>
      </c>
      <c r="H45" s="171"/>
      <c r="I45" s="177"/>
      <c r="J45" s="766">
        <f>SimpleH!J48</f>
        <v>0</v>
      </c>
      <c r="K45" s="247">
        <f t="shared" si="0"/>
        <v>0</v>
      </c>
      <c r="M45" s="66"/>
      <c r="N45" s="8"/>
      <c r="O45" s="8"/>
      <c r="P45" s="87"/>
      <c r="Q45" s="275"/>
      <c r="R45" s="1"/>
      <c r="Y45" s="181" t="s">
        <v>16</v>
      </c>
      <c r="Z45" s="181"/>
      <c r="AA45" s="181"/>
      <c r="AB45" s="766">
        <f>SimpleH!AB48</f>
        <v>0</v>
      </c>
      <c r="AC45" s="247">
        <f t="shared" si="1"/>
        <v>0</v>
      </c>
      <c r="AD45" s="8"/>
    </row>
    <row r="46" spans="2:31" ht="15" customHeight="1" thickBot="1" x14ac:dyDescent="0.25">
      <c r="B46" s="777"/>
      <c r="C46" s="775"/>
      <c r="G46" s="198"/>
      <c r="H46" s="198"/>
      <c r="I46" s="198"/>
      <c r="J46" s="198"/>
      <c r="K46" s="247"/>
      <c r="M46" s="8"/>
      <c r="N46" s="8"/>
      <c r="O46" s="8"/>
      <c r="P46" s="8"/>
      <c r="Q46" s="275"/>
      <c r="Y46" s="181"/>
      <c r="Z46" s="181"/>
      <c r="AA46" s="181"/>
      <c r="AB46" s="181"/>
      <c r="AC46" s="247"/>
    </row>
    <row r="47" spans="2:31" ht="15" customHeight="1" thickBot="1" x14ac:dyDescent="0.25">
      <c r="G47" s="223" t="s">
        <v>385</v>
      </c>
      <c r="H47" s="223"/>
      <c r="I47" s="356"/>
      <c r="J47" s="765">
        <f>SimpleH!J50</f>
        <v>0</v>
      </c>
      <c r="K47" s="247">
        <f t="shared" si="0"/>
        <v>0</v>
      </c>
      <c r="M47" s="66"/>
      <c r="N47" s="10"/>
      <c r="O47" s="8"/>
      <c r="P47" s="754"/>
      <c r="Q47" s="275"/>
      <c r="R47" s="1"/>
      <c r="Y47" s="229" t="s">
        <v>532</v>
      </c>
      <c r="Z47" s="223"/>
      <c r="AA47" s="356"/>
      <c r="AB47" s="765">
        <f>SimpleH!AB50</f>
        <v>0</v>
      </c>
      <c r="AC47" s="247">
        <f t="shared" si="1"/>
        <v>0</v>
      </c>
      <c r="AD47" s="8"/>
    </row>
    <row r="48" spans="2:31" ht="15" customHeight="1" thickBot="1" x14ac:dyDescent="0.25">
      <c r="G48" s="176" t="s">
        <v>532</v>
      </c>
      <c r="H48" s="176"/>
      <c r="I48" s="340"/>
      <c r="J48" s="765">
        <f>SimpleH!J51</f>
        <v>0</v>
      </c>
      <c r="K48" s="247">
        <f t="shared" si="0"/>
        <v>0</v>
      </c>
      <c r="M48" s="66"/>
      <c r="N48" s="8"/>
      <c r="O48" s="8"/>
      <c r="P48" s="87"/>
      <c r="Q48" s="275"/>
      <c r="R48" s="1"/>
      <c r="Y48" s="181" t="s">
        <v>532</v>
      </c>
      <c r="Z48" s="181"/>
      <c r="AA48" s="181"/>
      <c r="AB48" s="765">
        <f>SimpleH!AB51</f>
        <v>0</v>
      </c>
      <c r="AC48" s="247">
        <f t="shared" si="1"/>
        <v>0</v>
      </c>
      <c r="AD48" s="8"/>
    </row>
    <row r="49" spans="7:36" ht="15" customHeight="1" x14ac:dyDescent="0.2">
      <c r="G49" s="8"/>
      <c r="H49" s="8"/>
      <c r="I49" s="8"/>
      <c r="J49" s="8"/>
      <c r="K49" s="8"/>
      <c r="L49" s="8"/>
      <c r="M49" s="8"/>
      <c r="N49" s="8"/>
      <c r="O49" s="8"/>
      <c r="P49" s="8"/>
      <c r="Q49" s="8"/>
      <c r="R49" s="9"/>
      <c r="S49" s="8"/>
      <c r="T49" s="8"/>
      <c r="U49" s="8"/>
      <c r="V49" s="8"/>
      <c r="W49" s="8"/>
      <c r="X49" s="8"/>
      <c r="Y49" s="10"/>
      <c r="Z49" s="10"/>
      <c r="AA49" s="27"/>
      <c r="AB49" s="8"/>
      <c r="AC49" s="21"/>
      <c r="AD49" s="8"/>
      <c r="AE49" s="8"/>
      <c r="AF49" s="8"/>
      <c r="AG49" s="8"/>
      <c r="AH49" s="8"/>
      <c r="AI49" s="8"/>
      <c r="AJ49" s="8"/>
    </row>
    <row r="50" spans="7:36" ht="15" customHeight="1" x14ac:dyDescent="0.2">
      <c r="G50" s="8"/>
      <c r="H50" s="8"/>
      <c r="I50" s="8"/>
      <c r="J50" s="8"/>
      <c r="K50" s="8"/>
      <c r="L50" s="8"/>
      <c r="M50" s="8"/>
      <c r="N50" s="8"/>
      <c r="O50" s="8"/>
      <c r="P50" s="8"/>
      <c r="Q50" s="8"/>
      <c r="R50" s="9"/>
      <c r="S50" s="8"/>
      <c r="T50" s="8"/>
      <c r="U50" s="8"/>
      <c r="V50" s="8"/>
      <c r="W50" s="8"/>
      <c r="X50" s="8"/>
      <c r="Y50" s="10"/>
      <c r="Z50" s="10"/>
      <c r="AA50" s="27"/>
      <c r="AB50" s="8"/>
      <c r="AC50" s="21"/>
      <c r="AD50" s="8"/>
      <c r="AE50" s="8"/>
      <c r="AF50" s="8"/>
      <c r="AG50" s="8"/>
      <c r="AH50" s="8"/>
      <c r="AI50" s="8"/>
      <c r="AJ50" s="8"/>
    </row>
    <row r="51" spans="7:36" ht="15" customHeight="1" x14ac:dyDescent="0.2">
      <c r="G51" s="8"/>
      <c r="H51" s="8"/>
      <c r="I51" s="8"/>
      <c r="J51" s="8"/>
      <c r="K51" s="8"/>
      <c r="L51" s="8"/>
      <c r="M51" s="8"/>
      <c r="N51" s="8"/>
      <c r="O51" s="8"/>
      <c r="P51" s="8"/>
      <c r="Q51" s="8"/>
      <c r="R51" s="9"/>
      <c r="S51" s="8"/>
      <c r="T51" s="8"/>
      <c r="U51" s="8"/>
      <c r="V51" s="8"/>
      <c r="W51" s="8"/>
      <c r="X51" s="8"/>
      <c r="Y51" s="10"/>
      <c r="Z51" s="10"/>
      <c r="AA51" s="27"/>
      <c r="AB51" s="8"/>
      <c r="AC51" s="21"/>
      <c r="AD51" s="8"/>
      <c r="AE51" s="8"/>
      <c r="AF51" s="8"/>
      <c r="AG51" s="8"/>
      <c r="AH51" s="8"/>
      <c r="AI51" s="8"/>
      <c r="AJ51" s="8"/>
    </row>
    <row r="52" spans="7:36" ht="15" customHeight="1" x14ac:dyDescent="0.2">
      <c r="G52" s="8"/>
      <c r="H52" s="8"/>
      <c r="I52" s="8"/>
      <c r="J52" s="8"/>
      <c r="K52" s="8"/>
      <c r="L52" s="8"/>
      <c r="M52" s="8"/>
      <c r="N52" s="8"/>
      <c r="O52" s="8"/>
      <c r="P52" s="8"/>
      <c r="Q52" s="8"/>
      <c r="R52" s="9"/>
      <c r="S52" s="8"/>
      <c r="T52" s="8"/>
      <c r="U52" s="8"/>
      <c r="V52" s="8"/>
      <c r="W52" s="8"/>
      <c r="X52" s="8"/>
      <c r="Y52" s="10"/>
      <c r="Z52" s="10"/>
      <c r="AA52" s="27"/>
      <c r="AB52" s="8"/>
      <c r="AC52" s="21"/>
      <c r="AD52" s="8"/>
      <c r="AE52" s="8"/>
      <c r="AF52" s="8"/>
      <c r="AG52" s="8"/>
      <c r="AH52" s="8"/>
      <c r="AI52" s="8"/>
      <c r="AJ52" s="8"/>
    </row>
    <row r="53" spans="7:36" ht="15" customHeight="1" x14ac:dyDescent="0.2">
      <c r="G53" s="8"/>
      <c r="H53" s="8"/>
      <c r="I53" s="8"/>
      <c r="J53" s="8"/>
      <c r="K53" s="8"/>
      <c r="L53" s="8"/>
      <c r="M53" s="8"/>
      <c r="N53" s="8"/>
      <c r="O53" s="8"/>
      <c r="P53" s="8"/>
      <c r="Q53" s="8"/>
      <c r="R53" s="9"/>
      <c r="S53" s="8"/>
      <c r="T53" s="8"/>
      <c r="U53" s="8"/>
      <c r="V53" s="8"/>
      <c r="W53" s="8"/>
      <c r="X53" s="8"/>
      <c r="Y53" s="10"/>
      <c r="Z53" s="10"/>
      <c r="AA53" s="27"/>
      <c r="AB53" s="8"/>
      <c r="AC53" s="21"/>
      <c r="AD53" s="8"/>
      <c r="AE53" s="8"/>
      <c r="AF53" s="8"/>
      <c r="AG53" s="8"/>
      <c r="AH53" s="8"/>
      <c r="AI53" s="8"/>
      <c r="AJ53" s="8"/>
    </row>
    <row r="54" spans="7:36" ht="15" customHeight="1" x14ac:dyDescent="0.2">
      <c r="G54" s="8"/>
      <c r="H54" s="8"/>
      <c r="I54" s="8"/>
      <c r="J54" s="8"/>
      <c r="K54" s="8"/>
      <c r="L54" s="8"/>
      <c r="M54" s="8"/>
      <c r="N54" s="8"/>
      <c r="O54" s="8"/>
      <c r="P54" s="8"/>
      <c r="Q54" s="8"/>
      <c r="R54" s="9"/>
      <c r="S54" s="8"/>
      <c r="T54" s="8"/>
      <c r="U54" s="8"/>
      <c r="V54" s="8"/>
      <c r="W54" s="8"/>
      <c r="X54" s="8"/>
      <c r="Y54" s="10"/>
      <c r="Z54" s="10"/>
      <c r="AA54" s="27"/>
      <c r="AB54" s="8"/>
      <c r="AC54" s="21"/>
      <c r="AD54" s="8"/>
      <c r="AE54" s="8"/>
      <c r="AF54" s="8"/>
      <c r="AG54" s="8"/>
      <c r="AH54" s="8"/>
      <c r="AI54" s="8"/>
      <c r="AJ54" s="8"/>
    </row>
    <row r="55" spans="7:36" ht="15" customHeight="1" x14ac:dyDescent="0.2">
      <c r="G55" s="8"/>
      <c r="H55" s="8"/>
      <c r="I55" s="8"/>
      <c r="J55" s="8"/>
      <c r="K55" s="8"/>
      <c r="L55" s="8"/>
      <c r="M55" s="8"/>
      <c r="N55" s="8"/>
      <c r="O55" s="8"/>
      <c r="P55" s="8"/>
      <c r="Q55" s="8"/>
      <c r="R55" s="9"/>
      <c r="S55" s="8"/>
      <c r="T55" s="8"/>
      <c r="U55" s="8"/>
      <c r="V55" s="8"/>
      <c r="W55" s="8"/>
      <c r="X55" s="8"/>
      <c r="Y55" s="10"/>
      <c r="Z55" s="10"/>
      <c r="AA55" s="27"/>
      <c r="AB55" s="8"/>
      <c r="AC55" s="21"/>
      <c r="AD55" s="8"/>
      <c r="AE55" s="8"/>
      <c r="AF55" s="8"/>
      <c r="AG55" s="8"/>
      <c r="AH55" s="8"/>
      <c r="AI55" s="8"/>
      <c r="AJ55" s="8"/>
    </row>
    <row r="56" spans="7:36" ht="15" customHeight="1" x14ac:dyDescent="0.2">
      <c r="G56" s="8"/>
      <c r="H56" s="8"/>
      <c r="I56" s="8"/>
      <c r="J56" s="8"/>
      <c r="K56" s="8"/>
      <c r="L56" s="8"/>
      <c r="M56" s="8"/>
      <c r="N56" s="8"/>
      <c r="O56" s="8"/>
      <c r="P56" s="8"/>
      <c r="Q56" s="8"/>
      <c r="R56" s="9"/>
      <c r="S56" s="8"/>
      <c r="T56" s="8"/>
      <c r="U56" s="8"/>
      <c r="V56" s="8"/>
      <c r="W56" s="8"/>
      <c r="X56" s="8"/>
      <c r="Y56" s="10"/>
      <c r="Z56" s="10"/>
      <c r="AA56" s="27"/>
      <c r="AB56" s="8"/>
      <c r="AC56" s="21"/>
      <c r="AD56" s="8"/>
      <c r="AE56" s="8"/>
      <c r="AF56" s="8"/>
      <c r="AG56" s="8"/>
      <c r="AH56" s="8"/>
      <c r="AI56" s="8"/>
      <c r="AJ56" s="8"/>
    </row>
    <row r="57" spans="7:36" ht="15" customHeight="1" x14ac:dyDescent="0.2">
      <c r="G57" s="8"/>
      <c r="H57" s="8"/>
      <c r="I57" s="8"/>
      <c r="J57" s="8"/>
      <c r="K57" s="8"/>
      <c r="L57" s="8"/>
      <c r="M57" s="8"/>
      <c r="N57" s="8"/>
      <c r="O57" s="8"/>
      <c r="P57" s="8"/>
      <c r="Q57" s="8"/>
      <c r="R57" s="9"/>
      <c r="S57" s="8"/>
      <c r="T57" s="8"/>
      <c r="U57" s="8"/>
      <c r="V57" s="8"/>
      <c r="W57" s="8"/>
      <c r="X57" s="8"/>
      <c r="Y57" s="10"/>
      <c r="Z57" s="10"/>
      <c r="AA57" s="27"/>
      <c r="AB57" s="8"/>
      <c r="AC57" s="21"/>
      <c r="AD57" s="8"/>
      <c r="AE57" s="8"/>
      <c r="AF57" s="8"/>
      <c r="AG57" s="8"/>
      <c r="AH57" s="8"/>
      <c r="AI57" s="8"/>
      <c r="AJ57" s="8"/>
    </row>
    <row r="58" spans="7:36" ht="15" customHeight="1" x14ac:dyDescent="0.2">
      <c r="G58" s="8"/>
      <c r="H58" s="8"/>
      <c r="I58" s="8"/>
      <c r="J58" s="8"/>
      <c r="K58" s="8"/>
      <c r="L58" s="8"/>
      <c r="M58" s="8"/>
      <c r="N58" s="8"/>
      <c r="O58" s="8"/>
      <c r="P58" s="8"/>
      <c r="Q58" s="8"/>
      <c r="R58" s="9"/>
      <c r="S58" s="8"/>
      <c r="T58" s="8"/>
      <c r="U58" s="8"/>
      <c r="V58" s="8"/>
      <c r="W58" s="8"/>
      <c r="X58" s="8"/>
      <c r="Y58" s="10"/>
      <c r="Z58" s="10"/>
      <c r="AA58" s="27"/>
      <c r="AB58" s="8"/>
      <c r="AC58" s="21"/>
      <c r="AD58" s="8"/>
      <c r="AE58" s="8"/>
      <c r="AF58" s="8"/>
      <c r="AG58" s="8"/>
      <c r="AH58" s="8"/>
      <c r="AI58" s="8"/>
      <c r="AJ58" s="8"/>
    </row>
    <row r="59" spans="7:36" ht="15" customHeight="1" x14ac:dyDescent="0.2">
      <c r="G59" s="8"/>
      <c r="H59" s="8"/>
      <c r="I59" s="8"/>
      <c r="J59" s="8"/>
      <c r="K59" s="8"/>
      <c r="L59" s="8"/>
      <c r="M59" s="8"/>
      <c r="N59" s="8"/>
      <c r="O59" s="8"/>
      <c r="P59" s="8"/>
      <c r="Q59" s="8"/>
      <c r="R59" s="9"/>
      <c r="S59" s="8"/>
      <c r="T59" s="8"/>
      <c r="U59" s="8"/>
      <c r="V59" s="8"/>
      <c r="W59" s="8"/>
      <c r="X59" s="8"/>
      <c r="Y59" s="10"/>
      <c r="Z59" s="10"/>
      <c r="AA59" s="27"/>
      <c r="AB59" s="8"/>
      <c r="AC59" s="21"/>
      <c r="AD59" s="8"/>
      <c r="AE59" s="8"/>
      <c r="AF59" s="8"/>
      <c r="AG59" s="8"/>
      <c r="AH59" s="8"/>
      <c r="AI59" s="8"/>
      <c r="AJ59" s="8"/>
    </row>
    <row r="60" spans="7:36" ht="15" customHeight="1" x14ac:dyDescent="0.2">
      <c r="G60" s="8"/>
      <c r="H60" s="8"/>
      <c r="I60" s="8"/>
      <c r="J60" s="8"/>
      <c r="K60" s="8"/>
      <c r="L60" s="8"/>
      <c r="M60" s="8"/>
      <c r="N60" s="8"/>
      <c r="O60" s="8"/>
      <c r="P60" s="8"/>
      <c r="Q60" s="8"/>
      <c r="R60" s="9"/>
      <c r="S60" s="8"/>
      <c r="T60" s="8"/>
      <c r="U60" s="8"/>
      <c r="V60" s="8"/>
      <c r="W60" s="8"/>
      <c r="X60" s="8"/>
      <c r="Y60" s="10"/>
      <c r="Z60" s="10"/>
      <c r="AA60" s="27"/>
      <c r="AB60" s="8"/>
      <c r="AC60" s="21"/>
      <c r="AD60" s="8"/>
      <c r="AE60" s="8"/>
      <c r="AF60" s="8"/>
      <c r="AG60" s="8"/>
      <c r="AH60" s="8"/>
      <c r="AI60" s="8"/>
      <c r="AJ60" s="8"/>
    </row>
    <row r="61" spans="7:36" ht="15" customHeight="1" x14ac:dyDescent="0.2">
      <c r="G61" s="8"/>
      <c r="H61" s="8"/>
      <c r="I61" s="8"/>
      <c r="J61" s="8"/>
      <c r="K61" s="8"/>
      <c r="L61" s="8"/>
      <c r="M61" s="8"/>
      <c r="N61" s="8"/>
      <c r="O61" s="8"/>
      <c r="P61" s="8"/>
      <c r="Q61" s="8"/>
      <c r="R61" s="9"/>
      <c r="S61" s="8"/>
      <c r="T61" s="8"/>
      <c r="U61" s="8"/>
      <c r="V61" s="8"/>
      <c r="W61" s="8"/>
      <c r="X61" s="8"/>
      <c r="Y61" s="10"/>
      <c r="Z61" s="10"/>
      <c r="AA61" s="27"/>
      <c r="AB61" s="8"/>
      <c r="AC61" s="21"/>
      <c r="AD61" s="8"/>
      <c r="AE61" s="8"/>
      <c r="AF61" s="8"/>
      <c r="AG61" s="8"/>
      <c r="AH61" s="8"/>
      <c r="AI61" s="8"/>
      <c r="AJ61" s="8"/>
    </row>
    <row r="62" spans="7:36" ht="15" customHeight="1" x14ac:dyDescent="0.2">
      <c r="G62" s="8"/>
      <c r="H62" s="8"/>
      <c r="I62" s="8"/>
      <c r="J62" s="8"/>
      <c r="K62" s="8"/>
      <c r="L62" s="8"/>
      <c r="M62" s="8"/>
      <c r="N62" s="8"/>
      <c r="O62" s="8"/>
      <c r="P62" s="8"/>
      <c r="Q62" s="8"/>
      <c r="R62" s="9"/>
      <c r="S62" s="8"/>
      <c r="T62" s="8"/>
      <c r="U62" s="8"/>
      <c r="V62" s="8"/>
      <c r="W62" s="8"/>
      <c r="X62" s="8"/>
      <c r="Y62" s="10"/>
      <c r="Z62" s="10"/>
      <c r="AA62" s="27"/>
      <c r="AB62" s="8"/>
      <c r="AC62" s="21"/>
      <c r="AD62" s="8"/>
      <c r="AE62" s="8"/>
      <c r="AF62" s="8"/>
      <c r="AG62" s="8"/>
      <c r="AH62" s="8"/>
      <c r="AI62" s="8"/>
      <c r="AJ62" s="8"/>
    </row>
    <row r="63" spans="7:36" ht="15" customHeight="1" x14ac:dyDescent="0.2">
      <c r="G63" s="8"/>
      <c r="H63" s="8"/>
      <c r="I63" s="8"/>
      <c r="J63" s="8"/>
      <c r="K63" s="8"/>
      <c r="L63" s="8"/>
      <c r="M63" s="8"/>
      <c r="N63" s="8"/>
      <c r="O63" s="8"/>
      <c r="P63" s="8"/>
      <c r="Q63" s="8"/>
      <c r="R63" s="9"/>
      <c r="S63" s="8"/>
      <c r="T63" s="8"/>
      <c r="U63" s="8"/>
      <c r="V63" s="8"/>
      <c r="W63" s="8"/>
      <c r="X63" s="8"/>
      <c r="Y63" s="10"/>
      <c r="Z63" s="10"/>
      <c r="AA63" s="27"/>
      <c r="AB63" s="8"/>
      <c r="AC63" s="21"/>
      <c r="AD63" s="8"/>
      <c r="AE63" s="8"/>
      <c r="AF63" s="8"/>
      <c r="AG63" s="8"/>
      <c r="AH63" s="8"/>
      <c r="AI63" s="8"/>
      <c r="AJ63" s="8"/>
    </row>
    <row r="64" spans="7:36" ht="15" customHeight="1" x14ac:dyDescent="0.2">
      <c r="G64" s="8"/>
      <c r="H64" s="8"/>
      <c r="I64" s="8"/>
      <c r="J64" s="8"/>
      <c r="K64" s="8"/>
      <c r="L64" s="8"/>
      <c r="M64" s="8"/>
      <c r="N64" s="8"/>
      <c r="O64" s="8"/>
      <c r="P64" s="8"/>
      <c r="Q64" s="8"/>
      <c r="R64" s="9"/>
      <c r="S64" s="8"/>
      <c r="T64" s="8"/>
      <c r="U64" s="8"/>
      <c r="V64" s="8"/>
      <c r="W64" s="8"/>
      <c r="X64" s="8"/>
      <c r="Y64" s="10"/>
      <c r="Z64" s="10"/>
      <c r="AA64" s="27"/>
      <c r="AB64" s="8"/>
      <c r="AC64" s="21"/>
      <c r="AD64" s="8"/>
      <c r="AE64" s="8"/>
      <c r="AF64" s="8"/>
      <c r="AG64" s="8"/>
      <c r="AH64" s="8"/>
      <c r="AI64" s="8"/>
      <c r="AJ64" s="8"/>
    </row>
    <row r="65" spans="7:36" ht="15" customHeight="1" x14ac:dyDescent="0.2">
      <c r="G65" s="8"/>
      <c r="H65" s="8"/>
      <c r="I65" s="8"/>
      <c r="J65" s="8"/>
      <c r="K65" s="8"/>
      <c r="L65" s="8"/>
      <c r="M65" s="8"/>
      <c r="N65" s="8"/>
      <c r="O65" s="8"/>
      <c r="P65" s="8"/>
      <c r="Q65" s="8"/>
      <c r="R65" s="9"/>
      <c r="S65" s="8"/>
      <c r="T65" s="8"/>
      <c r="U65" s="8"/>
      <c r="V65" s="8"/>
      <c r="W65" s="8"/>
      <c r="X65" s="8"/>
      <c r="Y65" s="10"/>
      <c r="Z65" s="10"/>
      <c r="AA65" s="27"/>
      <c r="AB65" s="8"/>
      <c r="AC65" s="21"/>
      <c r="AD65" s="8"/>
      <c r="AE65" s="8"/>
      <c r="AF65" s="8"/>
      <c r="AG65" s="8"/>
      <c r="AH65" s="8"/>
      <c r="AI65" s="8"/>
      <c r="AJ65" s="8"/>
    </row>
    <row r="66" spans="7:36" ht="15" customHeight="1" x14ac:dyDescent="0.2">
      <c r="G66" s="8"/>
      <c r="H66" s="8"/>
      <c r="I66" s="8"/>
      <c r="J66" s="8"/>
      <c r="K66" s="8"/>
      <c r="L66" s="8"/>
      <c r="M66" s="8"/>
      <c r="N66" s="8"/>
      <c r="O66" s="8"/>
      <c r="P66" s="8"/>
      <c r="Q66" s="8"/>
      <c r="R66" s="9"/>
      <c r="S66" s="8"/>
      <c r="T66" s="8"/>
      <c r="U66" s="8"/>
      <c r="V66" s="8"/>
      <c r="W66" s="8"/>
      <c r="X66" s="8"/>
      <c r="Y66" s="10"/>
      <c r="Z66" s="10"/>
      <c r="AA66" s="27"/>
      <c r="AB66" s="8"/>
      <c r="AC66" s="21"/>
      <c r="AD66" s="8"/>
      <c r="AE66" s="8"/>
      <c r="AF66" s="8"/>
      <c r="AG66" s="8"/>
      <c r="AH66" s="8"/>
      <c r="AI66" s="8"/>
      <c r="AJ66" s="8"/>
    </row>
    <row r="67" spans="7:36" ht="15" customHeight="1" x14ac:dyDescent="0.2">
      <c r="G67" s="8"/>
      <c r="H67" s="8"/>
      <c r="I67" s="8"/>
      <c r="J67" s="8"/>
      <c r="K67" s="8"/>
      <c r="L67" s="8"/>
      <c r="M67" s="8"/>
      <c r="N67" s="8"/>
      <c r="O67" s="8"/>
      <c r="P67" s="8"/>
      <c r="Q67" s="8"/>
      <c r="R67" s="9"/>
      <c r="S67" s="8"/>
      <c r="T67" s="8"/>
      <c r="U67" s="8"/>
      <c r="V67" s="8"/>
      <c r="W67" s="8"/>
      <c r="X67" s="8"/>
      <c r="Y67" s="10"/>
      <c r="Z67" s="10"/>
      <c r="AA67" s="27"/>
      <c r="AB67" s="8"/>
      <c r="AC67" s="21"/>
      <c r="AD67" s="8"/>
      <c r="AE67" s="8"/>
      <c r="AF67" s="8"/>
      <c r="AG67" s="8"/>
      <c r="AH67" s="8"/>
      <c r="AI67" s="8"/>
      <c r="AJ67" s="8"/>
    </row>
    <row r="68" spans="7:36" ht="15" customHeight="1" x14ac:dyDescent="0.2">
      <c r="G68" s="8"/>
      <c r="H68" s="8"/>
      <c r="I68" s="8"/>
      <c r="J68" s="8"/>
      <c r="K68" s="8"/>
      <c r="L68" s="8"/>
      <c r="M68" s="8"/>
      <c r="N68" s="8"/>
      <c r="O68" s="8"/>
      <c r="P68" s="8"/>
      <c r="Q68" s="8"/>
      <c r="R68" s="9"/>
      <c r="S68" s="8"/>
      <c r="T68" s="8"/>
      <c r="U68" s="8"/>
      <c r="V68" s="8"/>
      <c r="W68" s="8"/>
      <c r="X68" s="8"/>
      <c r="Y68" s="10"/>
      <c r="Z68" s="10"/>
      <c r="AA68" s="27"/>
      <c r="AB68" s="8"/>
      <c r="AC68" s="21"/>
      <c r="AD68" s="8"/>
      <c r="AE68" s="8"/>
      <c r="AF68" s="8"/>
      <c r="AG68" s="8"/>
      <c r="AH68" s="8"/>
      <c r="AI68" s="8"/>
      <c r="AJ68" s="8"/>
    </row>
    <row r="69" spans="7:36" ht="15" customHeight="1" x14ac:dyDescent="0.2">
      <c r="G69" s="8"/>
      <c r="H69" s="8"/>
      <c r="I69" s="8"/>
      <c r="J69" s="8"/>
      <c r="K69" s="8"/>
      <c r="L69" s="8"/>
      <c r="M69" s="8"/>
      <c r="N69" s="8"/>
      <c r="O69" s="8"/>
      <c r="P69" s="8"/>
      <c r="Q69" s="8"/>
      <c r="R69" s="9"/>
      <c r="S69" s="8"/>
      <c r="T69" s="8"/>
      <c r="U69" s="8"/>
      <c r="V69" s="8"/>
      <c r="W69" s="8"/>
      <c r="X69" s="8"/>
      <c r="Y69" s="10"/>
      <c r="Z69" s="10"/>
      <c r="AA69" s="27"/>
      <c r="AB69" s="8"/>
      <c r="AC69" s="21"/>
      <c r="AD69" s="8"/>
      <c r="AE69" s="8"/>
      <c r="AF69" s="8"/>
      <c r="AG69" s="8"/>
      <c r="AH69" s="8"/>
      <c r="AI69" s="8"/>
      <c r="AJ69" s="8"/>
    </row>
    <row r="70" spans="7:36" ht="15" customHeight="1" x14ac:dyDescent="0.2">
      <c r="G70" s="14"/>
      <c r="H70" s="14"/>
      <c r="I70" s="13"/>
      <c r="J70" s="13"/>
      <c r="K70" s="40">
        <v>0</v>
      </c>
      <c r="L70" s="40">
        <v>1</v>
      </c>
      <c r="M70" s="40">
        <v>2</v>
      </c>
      <c r="N70" s="40">
        <v>3</v>
      </c>
      <c r="O70" s="40">
        <v>4</v>
      </c>
      <c r="P70" s="40">
        <v>5</v>
      </c>
      <c r="Q70" s="40">
        <v>6</v>
      </c>
      <c r="R70" s="40">
        <v>7</v>
      </c>
      <c r="S70" s="40">
        <v>8</v>
      </c>
      <c r="T70" s="40">
        <v>9</v>
      </c>
      <c r="U70" s="40">
        <v>10</v>
      </c>
      <c r="V70" s="40">
        <v>11</v>
      </c>
      <c r="W70" s="40">
        <v>12</v>
      </c>
      <c r="X70" s="40">
        <v>13</v>
      </c>
      <c r="Y70" s="40">
        <v>14</v>
      </c>
      <c r="Z70" s="40">
        <v>15</v>
      </c>
      <c r="AA70" s="40">
        <v>16</v>
      </c>
      <c r="AB70" s="40">
        <v>17</v>
      </c>
      <c r="AC70" s="40">
        <v>18</v>
      </c>
      <c r="AD70" s="40">
        <v>19</v>
      </c>
      <c r="AE70" s="40">
        <v>20</v>
      </c>
      <c r="AF70" s="40">
        <v>21</v>
      </c>
      <c r="AG70" s="40">
        <v>22</v>
      </c>
      <c r="AH70" s="40">
        <v>23</v>
      </c>
      <c r="AI70" s="40">
        <v>24</v>
      </c>
      <c r="AJ70" s="40">
        <v>25</v>
      </c>
    </row>
    <row r="71" spans="7:36" ht="15" customHeight="1" x14ac:dyDescent="0.2">
      <c r="G71" s="14" t="s">
        <v>183</v>
      </c>
      <c r="H71" s="14"/>
      <c r="I71" s="13"/>
      <c r="J71" s="13"/>
      <c r="K71" s="41">
        <v>1</v>
      </c>
      <c r="L71" s="41">
        <f>K71+1</f>
        <v>2</v>
      </c>
      <c r="M71" s="41">
        <f t="shared" ref="M71:AH71" si="2">L71+1</f>
        <v>3</v>
      </c>
      <c r="N71" s="41">
        <f t="shared" si="2"/>
        <v>4</v>
      </c>
      <c r="O71" s="41">
        <f t="shared" si="2"/>
        <v>5</v>
      </c>
      <c r="P71" s="41">
        <f t="shared" si="2"/>
        <v>6</v>
      </c>
      <c r="Q71" s="41">
        <f t="shared" si="2"/>
        <v>7</v>
      </c>
      <c r="R71" s="41">
        <f t="shared" si="2"/>
        <v>8</v>
      </c>
      <c r="S71" s="41">
        <f t="shared" si="2"/>
        <v>9</v>
      </c>
      <c r="T71" s="41">
        <f t="shared" si="2"/>
        <v>10</v>
      </c>
      <c r="U71" s="41">
        <f t="shared" si="2"/>
        <v>11</v>
      </c>
      <c r="V71" s="41">
        <f t="shared" si="2"/>
        <v>12</v>
      </c>
      <c r="W71" s="41">
        <f t="shared" si="2"/>
        <v>13</v>
      </c>
      <c r="X71" s="41">
        <f t="shared" si="2"/>
        <v>14</v>
      </c>
      <c r="Y71" s="41">
        <f t="shared" si="2"/>
        <v>15</v>
      </c>
      <c r="Z71" s="41">
        <f t="shared" si="2"/>
        <v>16</v>
      </c>
      <c r="AA71" s="41">
        <f t="shared" si="2"/>
        <v>17</v>
      </c>
      <c r="AB71" s="41">
        <f t="shared" si="2"/>
        <v>18</v>
      </c>
      <c r="AC71" s="41">
        <f t="shared" si="2"/>
        <v>19</v>
      </c>
      <c r="AD71" s="41">
        <f t="shared" si="2"/>
        <v>20</v>
      </c>
      <c r="AE71" s="41">
        <f t="shared" si="2"/>
        <v>21</v>
      </c>
      <c r="AF71" s="41">
        <f t="shared" si="2"/>
        <v>22</v>
      </c>
      <c r="AG71" s="41">
        <f t="shared" si="2"/>
        <v>23</v>
      </c>
      <c r="AH71" s="41">
        <f t="shared" si="2"/>
        <v>24</v>
      </c>
      <c r="AI71" s="41">
        <f>AH71+1</f>
        <v>25</v>
      </c>
      <c r="AJ71" s="41">
        <f>AI71+1</f>
        <v>26</v>
      </c>
    </row>
    <row r="72" spans="7:36" ht="15" customHeight="1" x14ac:dyDescent="0.2">
      <c r="G72" s="14" t="s">
        <v>548</v>
      </c>
      <c r="H72" s="69"/>
      <c r="I72" s="69"/>
      <c r="J72" s="742" t="e">
        <f>INDEX(K$70:AJ$70,MATCH(TRUE,INDEX(K72:AJ72&lt;&gt;0,),0))</f>
        <v>#N/A</v>
      </c>
      <c r="K72" s="69" t="e">
        <f t="shared" ref="K72:AJ72" si="3">IF(K70&lt;$Q$43,0,IF(K136&lt;K112,1,0))</f>
        <v>#N/A</v>
      </c>
      <c r="L72" s="69" t="e">
        <f t="shared" si="3"/>
        <v>#N/A</v>
      </c>
      <c r="M72" s="69" t="e">
        <f t="shared" si="3"/>
        <v>#N/A</v>
      </c>
      <c r="N72" s="69" t="e">
        <f t="shared" si="3"/>
        <v>#N/A</v>
      </c>
      <c r="O72" s="69" t="e">
        <f t="shared" si="3"/>
        <v>#N/A</v>
      </c>
      <c r="P72" s="69" t="e">
        <f t="shared" si="3"/>
        <v>#N/A</v>
      </c>
      <c r="Q72" s="69" t="e">
        <f t="shared" si="3"/>
        <v>#N/A</v>
      </c>
      <c r="R72" s="69" t="e">
        <f t="shared" si="3"/>
        <v>#N/A</v>
      </c>
      <c r="S72" s="69" t="e">
        <f t="shared" si="3"/>
        <v>#N/A</v>
      </c>
      <c r="T72" s="69" t="e">
        <f t="shared" si="3"/>
        <v>#N/A</v>
      </c>
      <c r="U72" s="69" t="e">
        <f t="shared" si="3"/>
        <v>#N/A</v>
      </c>
      <c r="V72" s="69" t="e">
        <f t="shared" si="3"/>
        <v>#N/A</v>
      </c>
      <c r="W72" s="69" t="e">
        <f t="shared" si="3"/>
        <v>#N/A</v>
      </c>
      <c r="X72" s="69" t="e">
        <f t="shared" si="3"/>
        <v>#N/A</v>
      </c>
      <c r="Y72" s="69" t="e">
        <f t="shared" si="3"/>
        <v>#N/A</v>
      </c>
      <c r="Z72" s="69" t="e">
        <f t="shared" si="3"/>
        <v>#N/A</v>
      </c>
      <c r="AA72" s="69" t="e">
        <f t="shared" si="3"/>
        <v>#N/A</v>
      </c>
      <c r="AB72" s="69" t="e">
        <f t="shared" si="3"/>
        <v>#N/A</v>
      </c>
      <c r="AC72" s="69" t="e">
        <f t="shared" si="3"/>
        <v>#N/A</v>
      </c>
      <c r="AD72" s="69" t="e">
        <f t="shared" si="3"/>
        <v>#N/A</v>
      </c>
      <c r="AE72" s="69" t="e">
        <f t="shared" si="3"/>
        <v>#N/A</v>
      </c>
      <c r="AF72" s="69" t="e">
        <f t="shared" si="3"/>
        <v>#N/A</v>
      </c>
      <c r="AG72" s="69" t="e">
        <f t="shared" si="3"/>
        <v>#N/A</v>
      </c>
      <c r="AH72" s="69" t="e">
        <f t="shared" si="3"/>
        <v>#N/A</v>
      </c>
      <c r="AI72" s="69" t="e">
        <f t="shared" si="3"/>
        <v>#N/A</v>
      </c>
      <c r="AJ72" s="69" t="e">
        <f t="shared" si="3"/>
        <v>#N/A</v>
      </c>
    </row>
    <row r="73" spans="7:36" ht="15" customHeight="1" x14ac:dyDescent="0.2">
      <c r="G73" s="445" t="s">
        <v>592</v>
      </c>
      <c r="H73" s="741"/>
      <c r="I73" s="741"/>
      <c r="J73" s="742" t="e">
        <f>INDEX(K$70:AJ$70,MATCH(TRUE,INDEX(K73:AJ73&lt;&gt;0,),0))</f>
        <v>#N/A</v>
      </c>
      <c r="K73" s="741" t="e">
        <f>IF(K71&lt;$Q$19,0,IF(K160&lt;K112,1,0))</f>
        <v>#DIV/0!</v>
      </c>
      <c r="L73" s="741" t="e">
        <f t="shared" ref="L73:AJ73" si="4">IF(L71&lt;$Q$19,0,IF(L160&lt;L112,1,0))</f>
        <v>#DIV/0!</v>
      </c>
      <c r="M73" s="741" t="e">
        <f t="shared" si="4"/>
        <v>#DIV/0!</v>
      </c>
      <c r="N73" s="741" t="e">
        <f t="shared" si="4"/>
        <v>#DIV/0!</v>
      </c>
      <c r="O73" s="741" t="e">
        <f t="shared" si="4"/>
        <v>#DIV/0!</v>
      </c>
      <c r="P73" s="741" t="e">
        <f t="shared" si="4"/>
        <v>#DIV/0!</v>
      </c>
      <c r="Q73" s="741" t="e">
        <f t="shared" si="4"/>
        <v>#DIV/0!</v>
      </c>
      <c r="R73" s="741" t="e">
        <f t="shared" si="4"/>
        <v>#DIV/0!</v>
      </c>
      <c r="S73" s="741" t="e">
        <f t="shared" si="4"/>
        <v>#DIV/0!</v>
      </c>
      <c r="T73" s="741" t="e">
        <f t="shared" si="4"/>
        <v>#DIV/0!</v>
      </c>
      <c r="U73" s="741" t="e">
        <f t="shared" si="4"/>
        <v>#DIV/0!</v>
      </c>
      <c r="V73" s="741" t="e">
        <f t="shared" si="4"/>
        <v>#DIV/0!</v>
      </c>
      <c r="W73" s="741" t="e">
        <f t="shared" si="4"/>
        <v>#DIV/0!</v>
      </c>
      <c r="X73" s="741" t="e">
        <f t="shared" si="4"/>
        <v>#DIV/0!</v>
      </c>
      <c r="Y73" s="741" t="e">
        <f t="shared" si="4"/>
        <v>#DIV/0!</v>
      </c>
      <c r="Z73" s="741" t="e">
        <f t="shared" si="4"/>
        <v>#DIV/0!</v>
      </c>
      <c r="AA73" s="741" t="e">
        <f t="shared" si="4"/>
        <v>#DIV/0!</v>
      </c>
      <c r="AB73" s="741" t="e">
        <f t="shared" si="4"/>
        <v>#DIV/0!</v>
      </c>
      <c r="AC73" s="741" t="e">
        <f t="shared" si="4"/>
        <v>#DIV/0!</v>
      </c>
      <c r="AD73" s="741" t="e">
        <f t="shared" si="4"/>
        <v>#DIV/0!</v>
      </c>
      <c r="AE73" s="741" t="e">
        <f t="shared" si="4"/>
        <v>#DIV/0!</v>
      </c>
      <c r="AF73" s="741" t="e">
        <f t="shared" si="4"/>
        <v>#DIV/0!</v>
      </c>
      <c r="AG73" s="741" t="e">
        <f t="shared" si="4"/>
        <v>#DIV/0!</v>
      </c>
      <c r="AH73" s="741" t="e">
        <f t="shared" si="4"/>
        <v>#DIV/0!</v>
      </c>
      <c r="AI73" s="741" t="e">
        <f t="shared" si="4"/>
        <v>#DIV/0!</v>
      </c>
      <c r="AJ73" s="741" t="e">
        <f t="shared" si="4"/>
        <v>#DIV/0!</v>
      </c>
    </row>
    <row r="74" spans="7:36" ht="15" customHeight="1" x14ac:dyDescent="0.2">
      <c r="G74" s="14"/>
      <c r="H74" s="69"/>
      <c r="I74" s="69"/>
      <c r="J74" s="196"/>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row>
    <row r="75" spans="7:36" ht="15" customHeight="1" x14ac:dyDescent="0.2">
      <c r="G75" s="14" t="s">
        <v>309</v>
      </c>
      <c r="H75" s="69"/>
      <c r="I75" s="69"/>
      <c r="J75" s="196"/>
      <c r="K75" s="394">
        <f>Data!$P$170</f>
        <v>0</v>
      </c>
      <c r="L75" s="103">
        <f>K75*(1+(Data!$P$196/100))</f>
        <v>0</v>
      </c>
      <c r="M75" s="103">
        <f>L75*(1+(Data!$P$196/100))</f>
        <v>0</v>
      </c>
      <c r="N75" s="103">
        <f>M75*(1+(Data!$P$196/100))</f>
        <v>0</v>
      </c>
      <c r="O75" s="103">
        <f>N75*(1+(Data!$P$196/100))</f>
        <v>0</v>
      </c>
      <c r="P75" s="103">
        <f>O75*(1+(Data!$P$196/100))</f>
        <v>0</v>
      </c>
      <c r="Q75" s="103">
        <f>P75*(1+(Data!$P$196/100))</f>
        <v>0</v>
      </c>
      <c r="R75" s="103">
        <f>Q75*(1+(Data!$P$196/100))</f>
        <v>0</v>
      </c>
      <c r="S75" s="103">
        <f>R75*(1+(Data!$P$196/100))</f>
        <v>0</v>
      </c>
      <c r="T75" s="103">
        <f>S75*(1+(Data!$P$196/100))</f>
        <v>0</v>
      </c>
      <c r="U75" s="103">
        <f>T75*(1+(Data!$P$196/100))</f>
        <v>0</v>
      </c>
      <c r="V75" s="103">
        <f>U75*(1+(Data!$P$196/100))</f>
        <v>0</v>
      </c>
      <c r="W75" s="103">
        <f>V75*(1+(Data!$P$196/100))</f>
        <v>0</v>
      </c>
      <c r="X75" s="103">
        <f>W75*(1+(Data!$P$196/100))</f>
        <v>0</v>
      </c>
      <c r="Y75" s="103">
        <f>X75*(1+(Data!$P$196/100))</f>
        <v>0</v>
      </c>
      <c r="Z75" s="103">
        <f>Y75*(1+(Data!$P$196/100))</f>
        <v>0</v>
      </c>
      <c r="AA75" s="103">
        <f>Z75*(1+(Data!$P$196/100))</f>
        <v>0</v>
      </c>
      <c r="AB75" s="103">
        <f>AA75*(1+(Data!$P$196/100))</f>
        <v>0</v>
      </c>
      <c r="AC75" s="103">
        <f>AB75*(1+(Data!$P$196/100))</f>
        <v>0</v>
      </c>
      <c r="AD75" s="103">
        <f>AC75*(1+(Data!$P$196/100))</f>
        <v>0</v>
      </c>
      <c r="AE75" s="103">
        <f>AD75*(1+(Data!$P$196/100))</f>
        <v>0</v>
      </c>
      <c r="AF75" s="103">
        <f>AE75*(1+(Data!$P$196/100))</f>
        <v>0</v>
      </c>
      <c r="AG75" s="103">
        <f>AF75*(1+(Data!$P$196/100))</f>
        <v>0</v>
      </c>
      <c r="AH75" s="103">
        <f>AG75*(1+(Data!$P$196/100))</f>
        <v>0</v>
      </c>
      <c r="AI75" s="103">
        <f>AH75*(1+(Data!$P$196/100))</f>
        <v>0</v>
      </c>
      <c r="AJ75" s="103">
        <f>AI75*(1+(Data!$P$196/100))</f>
        <v>0</v>
      </c>
    </row>
    <row r="76" spans="7:36" ht="15" customHeight="1" x14ac:dyDescent="0.2">
      <c r="G76" s="14" t="s">
        <v>284</v>
      </c>
      <c r="H76" s="14"/>
      <c r="I76" s="14"/>
      <c r="J76" s="14"/>
      <c r="K76" s="103">
        <f>Data!$P$171</f>
        <v>0.184</v>
      </c>
      <c r="L76" s="103">
        <f>K76*(1+(Data!$P$197/100))</f>
        <v>0.184</v>
      </c>
      <c r="M76" s="103">
        <f>L76*(1+(Data!$P$197/100))</f>
        <v>0.184</v>
      </c>
      <c r="N76" s="103">
        <f>M76*(1+(Data!$P$197/100))</f>
        <v>0.184</v>
      </c>
      <c r="O76" s="103">
        <f>N76*(1+(Data!$P$197/100))</f>
        <v>0.184</v>
      </c>
      <c r="P76" s="103">
        <f>O76*(1+(Data!$P$197/100))</f>
        <v>0.184</v>
      </c>
      <c r="Q76" s="103">
        <f>P76*(1+(Data!$P$197/100))</f>
        <v>0.184</v>
      </c>
      <c r="R76" s="103">
        <f>Q76*(1+(Data!$P$197/100))</f>
        <v>0.184</v>
      </c>
      <c r="S76" s="103">
        <f>R76*(1+(Data!$P$197/100))</f>
        <v>0.184</v>
      </c>
      <c r="T76" s="103">
        <f>S76*(1+(Data!$P$197/100))</f>
        <v>0.184</v>
      </c>
      <c r="U76" s="103">
        <f>T76*(1+(Data!$P$197/100))</f>
        <v>0.184</v>
      </c>
      <c r="V76" s="103">
        <f>U76*(1+(Data!$P$197/100))</f>
        <v>0.184</v>
      </c>
      <c r="W76" s="103">
        <f>V76*(1+(Data!$P$197/100))</f>
        <v>0.184</v>
      </c>
      <c r="X76" s="103">
        <f>W76*(1+(Data!$P$197/100))</f>
        <v>0.184</v>
      </c>
      <c r="Y76" s="103">
        <f>X76*(1+(Data!$P$197/100))</f>
        <v>0.184</v>
      </c>
      <c r="Z76" s="103">
        <f>Y76*(1+(Data!$P$197/100))</f>
        <v>0.184</v>
      </c>
      <c r="AA76" s="103">
        <f>Z76*(1+(Data!$P$197/100))</f>
        <v>0.184</v>
      </c>
      <c r="AB76" s="103">
        <f>AA76*(1+(Data!$P$197/100))</f>
        <v>0.184</v>
      </c>
      <c r="AC76" s="103">
        <f>AB76*(1+(Data!$P$197/100))</f>
        <v>0.184</v>
      </c>
      <c r="AD76" s="103">
        <f>AC76*(1+(Data!$P$197/100))</f>
        <v>0.184</v>
      </c>
      <c r="AE76" s="103">
        <f>AD76*(1+(Data!$P$197/100))</f>
        <v>0.184</v>
      </c>
      <c r="AF76" s="103">
        <f>AE76*(1+(Data!$P$197/100))</f>
        <v>0.184</v>
      </c>
      <c r="AG76" s="103">
        <f>AF76*(1+(Data!$P$197/100))</f>
        <v>0.184</v>
      </c>
      <c r="AH76" s="103">
        <f>AG76*(1+(Data!$P$197/100))</f>
        <v>0.184</v>
      </c>
      <c r="AI76" s="103">
        <f>AH76*(1+(Data!$P$197/100))</f>
        <v>0.184</v>
      </c>
      <c r="AJ76" s="103">
        <f>AI76*(1+(Data!$P$197/100))</f>
        <v>0.184</v>
      </c>
    </row>
    <row r="77" spans="7:36" ht="15" customHeight="1" x14ac:dyDescent="0.2">
      <c r="G77" s="14" t="s">
        <v>259</v>
      </c>
      <c r="H77" s="14"/>
      <c r="I77" s="14"/>
      <c r="J77" s="14"/>
      <c r="K77" s="103">
        <f>Data!$P$172</f>
        <v>0.17072999999999999</v>
      </c>
      <c r="L77" s="103">
        <f>K77*(1+(Data!$P$198/100))</f>
        <v>0.17072999999999999</v>
      </c>
      <c r="M77" s="103">
        <f>L77*(1+(Data!$P$198/100))</f>
        <v>0.17072999999999999</v>
      </c>
      <c r="N77" s="103">
        <f>M77*(1+(Data!$P$198/100))</f>
        <v>0.17072999999999999</v>
      </c>
      <c r="O77" s="103">
        <f>N77*(1+(Data!$P$198/100))</f>
        <v>0.17072999999999999</v>
      </c>
      <c r="P77" s="103">
        <f>O77*(1+(Data!$P$198/100))</f>
        <v>0.17072999999999999</v>
      </c>
      <c r="Q77" s="103">
        <f>P77*(1+(Data!$P$198/100))</f>
        <v>0.17072999999999999</v>
      </c>
      <c r="R77" s="103">
        <f>Q77*(1+(Data!$P$198/100))</f>
        <v>0.17072999999999999</v>
      </c>
      <c r="S77" s="103">
        <f>R77*(1+(Data!$P$198/100))</f>
        <v>0.17072999999999999</v>
      </c>
      <c r="T77" s="103">
        <f>S77*(1+(Data!$P$198/100))</f>
        <v>0.17072999999999999</v>
      </c>
      <c r="U77" s="103">
        <f>T77*(1+(Data!$P$198/100))</f>
        <v>0.17072999999999999</v>
      </c>
      <c r="V77" s="103">
        <f>U77*(1+(Data!$P$198/100))</f>
        <v>0.17072999999999999</v>
      </c>
      <c r="W77" s="103">
        <f>V77*(1+(Data!$P$198/100))</f>
        <v>0.17072999999999999</v>
      </c>
      <c r="X77" s="103">
        <f>W77*(1+(Data!$P$198/100))</f>
        <v>0.17072999999999999</v>
      </c>
      <c r="Y77" s="103">
        <f>X77*(1+(Data!$P$198/100))</f>
        <v>0.17072999999999999</v>
      </c>
      <c r="Z77" s="103">
        <f>Y77*(1+(Data!$P$198/100))</f>
        <v>0.17072999999999999</v>
      </c>
      <c r="AA77" s="103">
        <f>Z77*(1+(Data!$P$198/100))</f>
        <v>0.17072999999999999</v>
      </c>
      <c r="AB77" s="103">
        <f>AA77*(1+(Data!$P$198/100))</f>
        <v>0.17072999999999999</v>
      </c>
      <c r="AC77" s="103">
        <f>AB77*(1+(Data!$P$198/100))</f>
        <v>0.17072999999999999</v>
      </c>
      <c r="AD77" s="103">
        <f>AC77*(1+(Data!$P$198/100))</f>
        <v>0.17072999999999999</v>
      </c>
      <c r="AE77" s="103">
        <f>AD77*(1+(Data!$P$198/100))</f>
        <v>0.17072999999999999</v>
      </c>
      <c r="AF77" s="103">
        <f>AE77*(1+(Data!$P$198/100))</f>
        <v>0.17072999999999999</v>
      </c>
      <c r="AG77" s="103">
        <f>AF77*(1+(Data!$P$198/100))</f>
        <v>0.17072999999999999</v>
      </c>
      <c r="AH77" s="103">
        <f>AG77*(1+(Data!$P$198/100))</f>
        <v>0.17072999999999999</v>
      </c>
      <c r="AI77" s="103">
        <f>AH77*(1+(Data!$P$198/100))</f>
        <v>0.17072999999999999</v>
      </c>
      <c r="AJ77" s="103">
        <f>AI77*(1+(Data!$P$198/100))</f>
        <v>0.17072999999999999</v>
      </c>
    </row>
    <row r="78" spans="7:36" ht="15" customHeight="1" x14ac:dyDescent="0.2">
      <c r="G78" s="14" t="s">
        <v>320</v>
      </c>
      <c r="H78" s="14"/>
      <c r="I78" s="14"/>
      <c r="J78" s="14"/>
      <c r="K78" s="103">
        <f>Data!$P$173</f>
        <v>0.17072999999999999</v>
      </c>
      <c r="L78" s="103">
        <f>K78*(1+(Data!$P$199/100))</f>
        <v>0.17072999999999999</v>
      </c>
      <c r="M78" s="103">
        <f>L78*(1+(Data!$P$199/100))</f>
        <v>0.17072999999999999</v>
      </c>
      <c r="N78" s="103">
        <f>M78*(1+(Data!$P$199/100))</f>
        <v>0.17072999999999999</v>
      </c>
      <c r="O78" s="103">
        <f>N78*(1+(Data!$P$199/100))</f>
        <v>0.17072999999999999</v>
      </c>
      <c r="P78" s="103">
        <f>O78*(1+(Data!$P$199/100))</f>
        <v>0.17072999999999999</v>
      </c>
      <c r="Q78" s="103">
        <f>P78*(1+(Data!$P$199/100))</f>
        <v>0.17072999999999999</v>
      </c>
      <c r="R78" s="103">
        <f>Q78*(1+(Data!$P$199/100))</f>
        <v>0.17072999999999999</v>
      </c>
      <c r="S78" s="103">
        <f>R78*(1+(Data!$P$199/100))</f>
        <v>0.17072999999999999</v>
      </c>
      <c r="T78" s="103">
        <f>S78*(1+(Data!$P$199/100))</f>
        <v>0.17072999999999999</v>
      </c>
      <c r="U78" s="103">
        <f>T78*(1+(Data!$P$199/100))</f>
        <v>0.17072999999999999</v>
      </c>
      <c r="V78" s="103">
        <f>U78*(1+(Data!$P$199/100))</f>
        <v>0.17072999999999999</v>
      </c>
      <c r="W78" s="103">
        <f>V78*(1+(Data!$P$199/100))</f>
        <v>0.17072999999999999</v>
      </c>
      <c r="X78" s="103">
        <f>W78*(1+(Data!$P$199/100))</f>
        <v>0.17072999999999999</v>
      </c>
      <c r="Y78" s="103">
        <f>X78*(1+(Data!$P$199/100))</f>
        <v>0.17072999999999999</v>
      </c>
      <c r="Z78" s="103">
        <f>Y78*(1+(Data!$P$199/100))</f>
        <v>0.17072999999999999</v>
      </c>
      <c r="AA78" s="103">
        <f>Z78*(1+(Data!$P$199/100))</f>
        <v>0.17072999999999999</v>
      </c>
      <c r="AB78" s="103">
        <f>AA78*(1+(Data!$P$199/100))</f>
        <v>0.17072999999999999</v>
      </c>
      <c r="AC78" s="103">
        <f>AB78*(1+(Data!$P$199/100))</f>
        <v>0.17072999999999999</v>
      </c>
      <c r="AD78" s="103">
        <f>AC78*(1+(Data!$P$199/100))</f>
        <v>0.17072999999999999</v>
      </c>
      <c r="AE78" s="103">
        <f>AD78*(1+(Data!$P$199/100))</f>
        <v>0.17072999999999999</v>
      </c>
      <c r="AF78" s="103">
        <f>AE78*(1+(Data!$P$199/100))</f>
        <v>0.17072999999999999</v>
      </c>
      <c r="AG78" s="103">
        <f>AF78*(1+(Data!$P$199/100))</f>
        <v>0.17072999999999999</v>
      </c>
      <c r="AH78" s="103">
        <f>AG78*(1+(Data!$P$199/100))</f>
        <v>0.17072999999999999</v>
      </c>
      <c r="AI78" s="103">
        <f>AH78*(1+(Data!$P$199/100))</f>
        <v>0.17072999999999999</v>
      </c>
      <c r="AJ78" s="103">
        <f>AI78*(1+(Data!$P$199/100))</f>
        <v>0.17072999999999999</v>
      </c>
    </row>
    <row r="79" spans="7:36" ht="15" customHeight="1" x14ac:dyDescent="0.2">
      <c r="G79" s="14" t="s">
        <v>252</v>
      </c>
      <c r="H79" s="14"/>
      <c r="I79" s="14"/>
      <c r="J79" s="14"/>
      <c r="K79" s="103">
        <f>Data!$P$174</f>
        <v>0.19338</v>
      </c>
      <c r="L79" s="103">
        <f>K79*(1+(Data!$P$200/100))</f>
        <v>0.18757859999999998</v>
      </c>
      <c r="M79" s="103">
        <f>L79*(1+(Data!$P$200/100))</f>
        <v>0.18195124199999999</v>
      </c>
      <c r="N79" s="103">
        <f>M79*(1+(Data!$P$200/100))</f>
        <v>0.17649270473999998</v>
      </c>
      <c r="O79" s="103">
        <f>N79*(1+(Data!$P$200/100))</f>
        <v>0.17119792359779998</v>
      </c>
      <c r="P79" s="103">
        <f>O79*(1+(Data!$P$200/100))</f>
        <v>0.16606198588986598</v>
      </c>
      <c r="Q79" s="103">
        <f>P79*(1+(Data!$P$200/100))</f>
        <v>0.16108012631317001</v>
      </c>
      <c r="R79" s="103">
        <f>Q79*(1+(Data!$P$200/100))</f>
        <v>0.15624772252377489</v>
      </c>
      <c r="S79" s="103">
        <f>R79*(1+(Data!$P$200/100))</f>
        <v>0.15156029084806164</v>
      </c>
      <c r="T79" s="103">
        <f>S79*(1+(Data!$P$200/100))</f>
        <v>0.14701348212261978</v>
      </c>
      <c r="U79" s="103">
        <f>T79*(1+(Data!$P$200/100))</f>
        <v>0.14260307765894117</v>
      </c>
      <c r="V79" s="103">
        <f>U79*(1+(Data!$P$200/100))</f>
        <v>0.13832498532917292</v>
      </c>
      <c r="W79" s="103">
        <f>V79*(1+(Data!$P$200/100))</f>
        <v>0.13417523576929774</v>
      </c>
      <c r="X79" s="103">
        <f>W79*(1+(Data!$P$200/100))</f>
        <v>0.1301499786962188</v>
      </c>
      <c r="Y79" s="103">
        <f>X79*(1+(Data!$P$200/100))</f>
        <v>0.12624547933533223</v>
      </c>
      <c r="Z79" s="103">
        <f>Y79*(1+(Data!$P$200/100))</f>
        <v>0.12245811495527226</v>
      </c>
      <c r="AA79" s="103">
        <f>Z79*(1+(Data!$P$200/100))</f>
        <v>0.11878437150661408</v>
      </c>
      <c r="AB79" s="103">
        <f>AA79*(1+(Data!$P$200/100))</f>
        <v>0.11522084036141565</v>
      </c>
      <c r="AC79" s="103">
        <f>AB79*(1+(Data!$P$200/100))</f>
        <v>0.11176421515057318</v>
      </c>
      <c r="AD79" s="103">
        <f>AC79*(1+(Data!$P$200/100))</f>
        <v>0.10841128869605599</v>
      </c>
      <c r="AE79" s="103">
        <f>AD79*(1+(Data!$P$200/100))</f>
        <v>0.10515895003517431</v>
      </c>
      <c r="AF79" s="103">
        <f>AE79*(1+(Data!$P$200/100))</f>
        <v>0.10200418153411908</v>
      </c>
      <c r="AG79" s="103">
        <f>AF79*(1+(Data!$P$200/100))</f>
        <v>9.8944056088095506E-2</v>
      </c>
      <c r="AH79" s="103">
        <f>AG79*(1+(Data!$P$200/100))</f>
        <v>9.5975734405452637E-2</v>
      </c>
      <c r="AI79" s="103">
        <f>AH79*(1+(Data!$P$200/100))</f>
        <v>9.3096462373289057E-2</v>
      </c>
      <c r="AJ79" s="103">
        <f>AI79*(1+(Data!$P$200/100))</f>
        <v>9.0303568502090384E-2</v>
      </c>
    </row>
    <row r="80" spans="7:36" ht="15" customHeight="1" x14ac:dyDescent="0.2">
      <c r="G80" s="14"/>
      <c r="H80" s="69"/>
      <c r="I80" s="69"/>
      <c r="J80" s="196"/>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row>
    <row r="81" spans="7:36" ht="15" customHeight="1" x14ac:dyDescent="0.2">
      <c r="G81" s="14" t="s">
        <v>309</v>
      </c>
      <c r="H81" s="69"/>
      <c r="I81" s="69"/>
      <c r="J81" s="196"/>
      <c r="K81" s="394">
        <f>Data!$P$177</f>
        <v>0</v>
      </c>
      <c r="L81" s="103">
        <f>K81*(1+(Data!$P$188/100))</f>
        <v>0</v>
      </c>
      <c r="M81" s="103">
        <f>L81*(1+(Data!$P$188/100))</f>
        <v>0</v>
      </c>
      <c r="N81" s="103">
        <f>M81*(1+(Data!$P$188/100))</f>
        <v>0</v>
      </c>
      <c r="O81" s="103">
        <f>N81*(1+(Data!$P$188/100))</f>
        <v>0</v>
      </c>
      <c r="P81" s="103">
        <f>O81*(1+(Data!$P$188/100))</f>
        <v>0</v>
      </c>
      <c r="Q81" s="103">
        <f>P81*(1+(Data!$P$188/100))</f>
        <v>0</v>
      </c>
      <c r="R81" s="103">
        <f>Q81*(1+(Data!$P$188/100))</f>
        <v>0</v>
      </c>
      <c r="S81" s="103">
        <f>R81*(1+(Data!$P$188/100))</f>
        <v>0</v>
      </c>
      <c r="T81" s="103">
        <f>S81*(1+(Data!$P$188/100))</f>
        <v>0</v>
      </c>
      <c r="U81" s="103">
        <f>T81*(1+(Data!$P$188/100))</f>
        <v>0</v>
      </c>
      <c r="V81" s="103">
        <f>U81*(1+(Data!$P$188/100))</f>
        <v>0</v>
      </c>
      <c r="W81" s="103">
        <f>V81*(1+(Data!$P$188/100))</f>
        <v>0</v>
      </c>
      <c r="X81" s="103">
        <f>W81*(1+(Data!$P$188/100))</f>
        <v>0</v>
      </c>
      <c r="Y81" s="103">
        <f>X81*(1+(Data!$P$188/100))</f>
        <v>0</v>
      </c>
      <c r="Z81" s="103">
        <f>Y81*(1+(Data!$P$188/100))</f>
        <v>0</v>
      </c>
      <c r="AA81" s="103">
        <f>Z81*(1+(Data!$P$188/100))</f>
        <v>0</v>
      </c>
      <c r="AB81" s="103">
        <f>AA81*(1+(Data!$P$188/100))</f>
        <v>0</v>
      </c>
      <c r="AC81" s="103">
        <f>AB81*(1+(Data!$P$188/100))</f>
        <v>0</v>
      </c>
      <c r="AD81" s="103">
        <f>AC81*(1+(Data!$P$188/100))</f>
        <v>0</v>
      </c>
      <c r="AE81" s="103">
        <f>AD81*(1+(Data!$P$188/100))</f>
        <v>0</v>
      </c>
      <c r="AF81" s="103">
        <f>AE81*(1+(Data!$P$188/100))</f>
        <v>0</v>
      </c>
      <c r="AG81" s="103">
        <f>AF81*(1+(Data!$P$188/100))</f>
        <v>0</v>
      </c>
      <c r="AH81" s="103">
        <f>AG81*(1+(Data!$P$188/100))</f>
        <v>0</v>
      </c>
      <c r="AI81" s="103">
        <f>AH81*(1+(Data!$P$188/100))</f>
        <v>0</v>
      </c>
      <c r="AJ81" s="103">
        <f>AI81*(1+(Data!$P$188/100))</f>
        <v>0</v>
      </c>
    </row>
    <row r="82" spans="7:36" ht="15" customHeight="1" x14ac:dyDescent="0.2">
      <c r="G82" s="14" t="s">
        <v>284</v>
      </c>
      <c r="H82" s="69"/>
      <c r="I82" s="69"/>
      <c r="J82" s="196"/>
      <c r="K82" s="392">
        <f>Data!$P$178</f>
        <v>0.09</v>
      </c>
      <c r="L82" s="103">
        <f>K82*(1+(Data!$P$189/100))</f>
        <v>9.5399999999999999E-2</v>
      </c>
      <c r="M82" s="103">
        <f>L82*(1+(Data!$P$189/100))</f>
        <v>0.10112400000000001</v>
      </c>
      <c r="N82" s="103">
        <f>M82*(1+(Data!$P$189/100))</f>
        <v>0.10719144000000001</v>
      </c>
      <c r="O82" s="103">
        <f>N82*(1+(Data!$P$189/100))</f>
        <v>0.11362292640000002</v>
      </c>
      <c r="P82" s="103">
        <f>O82*(1+(Data!$P$189/100))</f>
        <v>0.12044030198400002</v>
      </c>
      <c r="Q82" s="103">
        <f>P82*(1+(Data!$P$189/100))</f>
        <v>0.12766672010304003</v>
      </c>
      <c r="R82" s="103">
        <f>Q82*(1+(Data!$P$189/100))</f>
        <v>0.13532672330922244</v>
      </c>
      <c r="S82" s="103">
        <f>R82*(1+(Data!$P$189/100))</f>
        <v>0.1434463267077758</v>
      </c>
      <c r="T82" s="103">
        <f>S82*(1+(Data!$P$189/100))</f>
        <v>0.15205310631024235</v>
      </c>
      <c r="U82" s="103">
        <f>T82*(1+(Data!$P$189/100))</f>
        <v>0.16117629268885691</v>
      </c>
      <c r="V82" s="103">
        <f>U82*(1+(Data!$P$189/100))</f>
        <v>0.17084687025018833</v>
      </c>
      <c r="W82" s="103">
        <f>V82*(1+(Data!$P$189/100))</f>
        <v>0.18109768246519964</v>
      </c>
      <c r="X82" s="103">
        <f>W82*(1+(Data!$P$189/100))</f>
        <v>0.19196354341311161</v>
      </c>
      <c r="Y82" s="103">
        <f>X82*(1+(Data!$P$189/100))</f>
        <v>0.20348135601789832</v>
      </c>
      <c r="Z82" s="103">
        <f>Y82*(1+(Data!$P$189/100))</f>
        <v>0.21569023737897222</v>
      </c>
      <c r="AA82" s="103">
        <f>Z82*(1+(Data!$P$189/100))</f>
        <v>0.22863165162171056</v>
      </c>
      <c r="AB82" s="103">
        <f>AA82*(1+(Data!$P$189/100))</f>
        <v>0.24234955071901321</v>
      </c>
      <c r="AC82" s="103">
        <f>AB82*(1+(Data!$P$189/100))</f>
        <v>0.25689052376215399</v>
      </c>
      <c r="AD82" s="103">
        <f>AC82*(1+(Data!$P$189/100))</f>
        <v>0.27230395518788325</v>
      </c>
      <c r="AE82" s="103">
        <f>AD82*(1+(Data!$P$189/100))</f>
        <v>0.28864219249915624</v>
      </c>
      <c r="AF82" s="103">
        <f>AE82*(1+(Data!$P$189/100))</f>
        <v>0.30596072404910563</v>
      </c>
      <c r="AG82" s="103">
        <f>AF82*(1+(Data!$P$189/100))</f>
        <v>0.32431836749205201</v>
      </c>
      <c r="AH82" s="103">
        <f>AG82*(1+(Data!$P$189/100))</f>
        <v>0.34377746954157512</v>
      </c>
      <c r="AI82" s="103">
        <f>AH82*(1+(Data!$P$189/100))</f>
        <v>0.36440411771406966</v>
      </c>
      <c r="AJ82" s="103">
        <f>AI82*(1+(Data!$P$189/100))</f>
        <v>0.38626836477691384</v>
      </c>
    </row>
    <row r="83" spans="7:36" ht="15" customHeight="1" x14ac:dyDescent="0.2">
      <c r="G83" s="14" t="s">
        <v>259</v>
      </c>
      <c r="H83" s="69"/>
      <c r="I83" s="69"/>
      <c r="J83" s="196"/>
      <c r="K83" s="392">
        <f>Data!$P$179</f>
        <v>0.09</v>
      </c>
      <c r="L83" s="103">
        <f>K83*(1+(Data!$P$190/100))</f>
        <v>9.5399999999999999E-2</v>
      </c>
      <c r="M83" s="103">
        <f>L83*(1+(Data!$P$190/100))</f>
        <v>0.10112400000000001</v>
      </c>
      <c r="N83" s="103">
        <f>M83*(1+(Data!$P$190/100))</f>
        <v>0.10719144000000001</v>
      </c>
      <c r="O83" s="103">
        <f>N83*(1+(Data!$P$190/100))</f>
        <v>0.11362292640000002</v>
      </c>
      <c r="P83" s="103">
        <f>O83*(1+(Data!$P$190/100))</f>
        <v>0.12044030198400002</v>
      </c>
      <c r="Q83" s="103">
        <f>P83*(1+(Data!$P$190/100))</f>
        <v>0.12766672010304003</v>
      </c>
      <c r="R83" s="103">
        <f>Q83*(1+(Data!$P$190/100))</f>
        <v>0.13532672330922244</v>
      </c>
      <c r="S83" s="103">
        <f>R83*(1+(Data!$P$190/100))</f>
        <v>0.1434463267077758</v>
      </c>
      <c r="T83" s="103">
        <f>S83*(1+(Data!$P$190/100))</f>
        <v>0.15205310631024235</v>
      </c>
      <c r="U83" s="103">
        <f>T83*(1+(Data!$P$190/100))</f>
        <v>0.16117629268885691</v>
      </c>
      <c r="V83" s="103">
        <f>U83*(1+(Data!$P$190/100))</f>
        <v>0.17084687025018833</v>
      </c>
      <c r="W83" s="103">
        <f>V83*(1+(Data!$P$190/100))</f>
        <v>0.18109768246519964</v>
      </c>
      <c r="X83" s="103">
        <f>W83*(1+(Data!$P$190/100))</f>
        <v>0.19196354341311161</v>
      </c>
      <c r="Y83" s="103">
        <f>X83*(1+(Data!$P$190/100))</f>
        <v>0.20348135601789832</v>
      </c>
      <c r="Z83" s="103">
        <f>Y83*(1+(Data!$P$190/100))</f>
        <v>0.21569023737897222</v>
      </c>
      <c r="AA83" s="103">
        <f>Z83*(1+(Data!$P$190/100))</f>
        <v>0.22863165162171056</v>
      </c>
      <c r="AB83" s="103">
        <f>AA83*(1+(Data!$P$190/100))</f>
        <v>0.24234955071901321</v>
      </c>
      <c r="AC83" s="103">
        <f>AB83*(1+(Data!$P$190/100))</f>
        <v>0.25689052376215399</v>
      </c>
      <c r="AD83" s="103">
        <f>AC83*(1+(Data!$P$190/100))</f>
        <v>0.27230395518788325</v>
      </c>
      <c r="AE83" s="103">
        <f>AD83*(1+(Data!$P$190/100))</f>
        <v>0.28864219249915624</v>
      </c>
      <c r="AF83" s="103">
        <f>AE83*(1+(Data!$P$190/100))</f>
        <v>0.30596072404910563</v>
      </c>
      <c r="AG83" s="103">
        <f>AF83*(1+(Data!$P$190/100))</f>
        <v>0.32431836749205201</v>
      </c>
      <c r="AH83" s="103">
        <f>AG83*(1+(Data!$P$190/100))</f>
        <v>0.34377746954157512</v>
      </c>
      <c r="AI83" s="103">
        <f>AH83*(1+(Data!$P$190/100))</f>
        <v>0.36440411771406966</v>
      </c>
      <c r="AJ83" s="103">
        <f>AI83*(1+(Data!$P$190/100))</f>
        <v>0.38626836477691384</v>
      </c>
    </row>
    <row r="84" spans="7:36" ht="15" customHeight="1" x14ac:dyDescent="0.2">
      <c r="G84" s="14" t="s">
        <v>320</v>
      </c>
      <c r="H84" s="69"/>
      <c r="I84" s="69"/>
      <c r="J84" s="196"/>
      <c r="K84" s="392">
        <f>Data!$P$180</f>
        <v>0.16463429999999998</v>
      </c>
      <c r="L84" s="103">
        <f>K84*(1+(Data!$P$191/100))</f>
        <v>0.17451235799999998</v>
      </c>
      <c r="M84" s="103">
        <f>L84*(1+(Data!$P$191/100))</f>
        <v>0.18498309948</v>
      </c>
      <c r="N84" s="103">
        <f>M84*(1+(Data!$P$191/100))</f>
        <v>0.19608208544880001</v>
      </c>
      <c r="O84" s="103">
        <f>N84*(1+(Data!$P$191/100))</f>
        <v>0.20784701057572802</v>
      </c>
      <c r="P84" s="103">
        <f>O84*(1+(Data!$P$191/100))</f>
        <v>0.22031783121027171</v>
      </c>
      <c r="Q84" s="103">
        <f>P84*(1+(Data!$P$191/100))</f>
        <v>0.23353690108288802</v>
      </c>
      <c r="R84" s="103">
        <f>Q84*(1+(Data!$P$191/100))</f>
        <v>0.24754911514786132</v>
      </c>
      <c r="S84" s="103">
        <f>R84*(1+(Data!$P$191/100))</f>
        <v>0.262402062056733</v>
      </c>
      <c r="T84" s="103">
        <f>S84*(1+(Data!$P$191/100))</f>
        <v>0.278146185780137</v>
      </c>
      <c r="U84" s="103">
        <f>T84*(1+(Data!$P$191/100))</f>
        <v>0.29483495692694522</v>
      </c>
      <c r="V84" s="103">
        <f>U84*(1+(Data!$P$191/100))</f>
        <v>0.31252505434256195</v>
      </c>
      <c r="W84" s="103">
        <f>V84*(1+(Data!$P$191/100))</f>
        <v>0.3312765576031157</v>
      </c>
      <c r="X84" s="103">
        <f>W84*(1+(Data!$P$191/100))</f>
        <v>0.35115315105930267</v>
      </c>
      <c r="Y84" s="103">
        <f>X84*(1+(Data!$P$191/100))</f>
        <v>0.37222234012286087</v>
      </c>
      <c r="Z84" s="103">
        <f>Y84*(1+(Data!$P$191/100))</f>
        <v>0.39455568053023254</v>
      </c>
      <c r="AA84" s="103">
        <f>Z84*(1+(Data!$P$191/100))</f>
        <v>0.41822902136204654</v>
      </c>
      <c r="AB84" s="103">
        <f>AA84*(1+(Data!$P$191/100))</f>
        <v>0.44332276264376935</v>
      </c>
      <c r="AC84" s="103">
        <f>AB84*(1+(Data!$P$191/100))</f>
        <v>0.46992212840239556</v>
      </c>
      <c r="AD84" s="103">
        <f>AC84*(1+(Data!$P$191/100))</f>
        <v>0.49811745610653929</v>
      </c>
      <c r="AE84" s="103">
        <f>AD84*(1+(Data!$P$191/100))</f>
        <v>0.52800450347293171</v>
      </c>
      <c r="AF84" s="103">
        <f>AE84*(1+(Data!$P$191/100))</f>
        <v>0.55968477368130765</v>
      </c>
      <c r="AG84" s="103">
        <f>AF84*(1+(Data!$P$191/100))</f>
        <v>0.59326586010218618</v>
      </c>
      <c r="AH84" s="103">
        <f>AG84*(1+(Data!$P$191/100))</f>
        <v>0.62886181170831734</v>
      </c>
      <c r="AI84" s="103">
        <f>AH84*(1+(Data!$P$191/100))</f>
        <v>0.66659352041081643</v>
      </c>
      <c r="AJ84" s="103">
        <f>AI84*(1+(Data!$P$191/100))</f>
        <v>0.70658913163546544</v>
      </c>
    </row>
    <row r="85" spans="7:36" ht="15" customHeight="1" x14ac:dyDescent="0.2">
      <c r="G85" s="14" t="s">
        <v>252</v>
      </c>
      <c r="H85" s="69"/>
      <c r="I85" s="69"/>
      <c r="J85" s="196"/>
      <c r="K85" s="392">
        <f>Data!$P$181</f>
        <v>0.31</v>
      </c>
      <c r="L85" s="103">
        <f>K85*(1+(Data!$P$192/100))</f>
        <v>0.34100000000000003</v>
      </c>
      <c r="M85" s="103">
        <f>L85*(1+(Data!$P$192/100))</f>
        <v>0.37510000000000004</v>
      </c>
      <c r="N85" s="103">
        <f>M85*(1+(Data!$P$192/100))</f>
        <v>0.41261000000000009</v>
      </c>
      <c r="O85" s="103">
        <f>N85*(1+(Data!$P$192/100))</f>
        <v>0.45387100000000014</v>
      </c>
      <c r="P85" s="103">
        <f>O85*(1+(Data!$P$192/100))</f>
        <v>0.4992581000000002</v>
      </c>
      <c r="Q85" s="103">
        <f>P85*(1+(Data!$P$192/100))</f>
        <v>0.54918391000000022</v>
      </c>
      <c r="R85" s="103">
        <f>Q85*(1+(Data!$P$192/100))</f>
        <v>0.60410230100000029</v>
      </c>
      <c r="S85" s="103">
        <f>R85*(1+(Data!$P$192/100))</f>
        <v>0.66451253110000041</v>
      </c>
      <c r="T85" s="103">
        <f>S85*(1+(Data!$P$192/100))</f>
        <v>0.73096378421000052</v>
      </c>
      <c r="U85" s="103">
        <f>T85*(1+(Data!$P$192/100))</f>
        <v>0.80406016263100066</v>
      </c>
      <c r="V85" s="103">
        <f>U85*(1+(Data!$P$192/100))</f>
        <v>0.88446617889410084</v>
      </c>
      <c r="W85" s="103">
        <f>V85*(1+(Data!$P$192/100))</f>
        <v>0.97291279678351106</v>
      </c>
      <c r="X85" s="103">
        <f>W85*(1+(Data!$P$192/100))</f>
        <v>1.0702040764618623</v>
      </c>
      <c r="Y85" s="103">
        <f>X85*(1+(Data!$P$192/100))</f>
        <v>1.1772244841080486</v>
      </c>
      <c r="Z85" s="103">
        <f>Y85*(1+(Data!$P$192/100))</f>
        <v>1.2949469325188536</v>
      </c>
      <c r="AA85" s="103">
        <f>Z85*(1+(Data!$P$192/100))</f>
        <v>1.4244416257707391</v>
      </c>
      <c r="AB85" s="103">
        <f>AA85*(1+(Data!$P$192/100))</f>
        <v>1.5668857883478131</v>
      </c>
      <c r="AC85" s="103">
        <f>AB85*(1+(Data!$P$192/100))</f>
        <v>1.7235743671825945</v>
      </c>
      <c r="AD85" s="103">
        <f>AC85*(1+(Data!$P$192/100))</f>
        <v>1.8959318039008541</v>
      </c>
      <c r="AE85" s="103">
        <f>AD85*(1+(Data!$P$192/100))</f>
        <v>2.0855249842909398</v>
      </c>
      <c r="AF85" s="103">
        <f>AE85*(1+(Data!$P$192/100))</f>
        <v>2.2940774827200339</v>
      </c>
      <c r="AG85" s="103">
        <f>AF85*(1+(Data!$P$192/100))</f>
        <v>2.5234852309920375</v>
      </c>
      <c r="AH85" s="103">
        <f>AG85*(1+(Data!$P$192/100))</f>
        <v>2.7758337540912414</v>
      </c>
      <c r="AI85" s="103">
        <f>AH85*(1+(Data!$P$192/100))</f>
        <v>3.053417129500366</v>
      </c>
      <c r="AJ85" s="103">
        <f>AI85*(1+(Data!$P$192/100))</f>
        <v>3.3587588424504031</v>
      </c>
    </row>
    <row r="86" spans="7:36" ht="15" customHeight="1" x14ac:dyDescent="0.2">
      <c r="G86" s="14"/>
      <c r="H86" s="69"/>
      <c r="I86" s="69"/>
      <c r="J86" s="196"/>
      <c r="K86" s="392"/>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row>
    <row r="87" spans="7:36" ht="15" customHeight="1" x14ac:dyDescent="0.2">
      <c r="G87" s="14" t="s">
        <v>307</v>
      </c>
      <c r="H87" s="14"/>
      <c r="I87" s="14"/>
      <c r="J87" s="14"/>
      <c r="K87" s="103">
        <v>1</v>
      </c>
      <c r="L87" s="103">
        <f>K87*(1+(Data!$P$194)/100)</f>
        <v>1.02</v>
      </c>
      <c r="M87" s="103">
        <f>L87*(1+(Data!$P$194)/100)</f>
        <v>1.0404</v>
      </c>
      <c r="N87" s="103">
        <f>M87*(1+(Data!$P$194)/100)</f>
        <v>1.0612079999999999</v>
      </c>
      <c r="O87" s="103">
        <f>N87*(1+(Data!$P$194)/100)</f>
        <v>1.08243216</v>
      </c>
      <c r="P87" s="103">
        <f>O87*(1+(Data!$P$194)/100)</f>
        <v>1.1040808032</v>
      </c>
      <c r="Q87" s="103">
        <f>P87*(1+(Data!$P$194)/100)</f>
        <v>1.1261624192640001</v>
      </c>
      <c r="R87" s="103">
        <f>Q87*(1+(Data!$P$194)/100)</f>
        <v>1.14868566764928</v>
      </c>
      <c r="S87" s="103">
        <f>R87*(1+(Data!$P$194)/100)</f>
        <v>1.1716593810022657</v>
      </c>
      <c r="T87" s="103">
        <f>S87*(1+(Data!$P$194)/100)</f>
        <v>1.1950925686223111</v>
      </c>
      <c r="U87" s="103">
        <f>T87*(1+(Data!$P$194)/100)</f>
        <v>1.2189944199947573</v>
      </c>
      <c r="V87" s="103">
        <f>U87*(1+(Data!$P$194)/100)</f>
        <v>1.2433743083946525</v>
      </c>
      <c r="W87" s="103">
        <f>V87*(1+(Data!$P$194)/100)</f>
        <v>1.2682417945625455</v>
      </c>
      <c r="X87" s="103">
        <f>W87*(1+(Data!$P$194)/100)</f>
        <v>1.2936066304537963</v>
      </c>
      <c r="Y87" s="103">
        <f>X87*(1+(Data!$P$194)/100)</f>
        <v>1.3194787630628724</v>
      </c>
      <c r="Z87" s="103">
        <f>Y87*(1+(Data!$P$194)/100)</f>
        <v>1.3458683383241299</v>
      </c>
      <c r="AA87" s="103">
        <f>Z87*(1+(Data!$P$194)/100)</f>
        <v>1.3727857050906125</v>
      </c>
      <c r="AB87" s="103">
        <f>AA87*(1+(Data!$P$194)/100)</f>
        <v>1.4002414191924248</v>
      </c>
      <c r="AC87" s="103">
        <f>AB87*(1+(Data!$P$194)/100)</f>
        <v>1.4282462475762734</v>
      </c>
      <c r="AD87" s="103">
        <f>AC87*(1+(Data!$P$194)/100)</f>
        <v>1.4568111725277988</v>
      </c>
      <c r="AE87" s="103">
        <f>AD87*(1+(Data!$P$194)/100)</f>
        <v>1.4859473959783549</v>
      </c>
      <c r="AF87" s="103">
        <f>AE87*(1+(Data!$P$194)/100)</f>
        <v>1.5156663438979221</v>
      </c>
      <c r="AG87" s="103">
        <f>AF87*(1+(Data!$P$194)/100)</f>
        <v>1.5459796707758806</v>
      </c>
      <c r="AH87" s="103">
        <f>AG87*(1+(Data!$P$194)/100)</f>
        <v>1.5768992641913981</v>
      </c>
      <c r="AI87" s="103">
        <f>AH87*(1+(Data!$P$194)/100)</f>
        <v>1.6084372494752261</v>
      </c>
      <c r="AJ87" s="103">
        <f>AI87*(1+(Data!$P$194)/100)</f>
        <v>1.6406059944647307</v>
      </c>
    </row>
    <row r="88" spans="7:36" ht="15" customHeight="1" x14ac:dyDescent="0.2">
      <c r="G88" s="14" t="s">
        <v>3</v>
      </c>
      <c r="H88" s="14"/>
      <c r="I88" s="14"/>
      <c r="J88" s="14"/>
      <c r="K88" s="103">
        <f>Data!$P$183</f>
        <v>0.1</v>
      </c>
      <c r="L88" s="103">
        <f>K88*((100+Data!$P$202)/100)</f>
        <v>0.10200000000000001</v>
      </c>
      <c r="M88" s="103">
        <f>L88*((100+Data!$P$202)/100)</f>
        <v>0.10404000000000001</v>
      </c>
      <c r="N88" s="103">
        <f>M88*((100+Data!$P$202)/100)</f>
        <v>0.10612080000000002</v>
      </c>
      <c r="O88" s="103">
        <f>N88*((100+Data!$P$202)/100)</f>
        <v>0.10824321600000002</v>
      </c>
      <c r="P88" s="103">
        <f>O88*((100+Data!$P$202)/100)</f>
        <v>0.11040808032000002</v>
      </c>
      <c r="Q88" s="103">
        <f>P88*((100+Data!$P$202)/100)</f>
        <v>0.11261624192640002</v>
      </c>
      <c r="R88" s="103">
        <f>Q88*((100+Data!$P$202)/100)</f>
        <v>0.11486856676492802</v>
      </c>
      <c r="S88" s="103">
        <f>R88*((100+Data!$P$202)/100)</f>
        <v>0.11716593810022657</v>
      </c>
      <c r="T88" s="103">
        <f>S88*((100+Data!$P$202)/100)</f>
        <v>0.11950925686223111</v>
      </c>
      <c r="U88" s="103">
        <f>T88*((100+Data!$P$202)/100)</f>
        <v>0.12189944199947574</v>
      </c>
      <c r="V88" s="103">
        <f>U88*((100+Data!$P$202)/100)</f>
        <v>0.12433743083946525</v>
      </c>
      <c r="W88" s="103">
        <f>V88*((100+Data!$P$202)/100)</f>
        <v>0.12682417945625454</v>
      </c>
      <c r="X88" s="103">
        <f>W88*((100+Data!$P$202)/100)</f>
        <v>0.12936066304537963</v>
      </c>
      <c r="Y88" s="103">
        <f>X88*((100+Data!$P$202)/100)</f>
        <v>0.13194787630628724</v>
      </c>
      <c r="Z88" s="103">
        <f>Y88*((100+Data!$P$202)/100)</f>
        <v>0.13458683383241299</v>
      </c>
      <c r="AA88" s="103">
        <f>Z88*((100+Data!$P$202)/100)</f>
        <v>0.13727857050906125</v>
      </c>
      <c r="AB88" s="103">
        <f>AA88*((100+Data!$P$202)/100)</f>
        <v>0.14002414191924248</v>
      </c>
      <c r="AC88" s="103">
        <f>AB88*((100+Data!$P$202)/100)</f>
        <v>0.14282462475762733</v>
      </c>
      <c r="AD88" s="103">
        <f>AC88*((100+Data!$P$202)/100)</f>
        <v>0.14568111725277988</v>
      </c>
      <c r="AE88" s="103">
        <f>AD88*((100+Data!$P$202)/100)</f>
        <v>0.14859473959783548</v>
      </c>
      <c r="AF88" s="103">
        <f>AE88*((100+Data!$P$202)/100)</f>
        <v>0.1515666343897922</v>
      </c>
      <c r="AG88" s="103">
        <f>AF88*((100+Data!$P$202)/100)</f>
        <v>0.15459796707758805</v>
      </c>
      <c r="AH88" s="103">
        <f>AG88*((100+Data!$P$202)/100)</f>
        <v>0.15768992641913981</v>
      </c>
      <c r="AI88" s="103">
        <f>AH88*((100+Data!$P$202)/100)</f>
        <v>0.16084372494752261</v>
      </c>
      <c r="AJ88" s="103">
        <f>AI88*((100+Data!$P$202)/100)</f>
        <v>0.16406059944647305</v>
      </c>
    </row>
    <row r="89" spans="7:36" ht="15" customHeight="1" x14ac:dyDescent="0.2">
      <c r="G89" s="10"/>
      <c r="H89" s="10"/>
      <c r="I89" s="8"/>
      <c r="J89" s="8"/>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row>
    <row r="90" spans="7:36" ht="15" customHeight="1" x14ac:dyDescent="0.2">
      <c r="G90" s="489" t="s">
        <v>290</v>
      </c>
      <c r="H90" s="14"/>
      <c r="I90" s="13"/>
      <c r="J90" s="13"/>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row>
    <row r="91" spans="7:36" ht="15" customHeight="1" x14ac:dyDescent="0.2">
      <c r="G91" s="14"/>
      <c r="H91" s="14"/>
      <c r="I91" s="13"/>
      <c r="J91" s="13"/>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row>
    <row r="92" spans="7:36" ht="15" customHeight="1" x14ac:dyDescent="0.2">
      <c r="G92" s="14" t="s">
        <v>2</v>
      </c>
      <c r="H92" s="60"/>
      <c r="I92" s="60"/>
      <c r="J92" s="60"/>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row>
    <row r="93" spans="7:36" ht="15" customHeight="1" x14ac:dyDescent="0.2">
      <c r="G93" s="14" t="s">
        <v>1</v>
      </c>
      <c r="H93" s="60"/>
      <c r="I93" s="60"/>
      <c r="J93" s="60"/>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1"/>
      <c r="AI93" s="111"/>
      <c r="AJ93" s="111"/>
    </row>
    <row r="94" spans="7:36" ht="15" customHeight="1" x14ac:dyDescent="0.2">
      <c r="G94" s="60"/>
      <c r="H94" s="60"/>
      <c r="I94" s="60"/>
      <c r="J94" s="60"/>
      <c r="K94" s="60"/>
      <c r="L94" s="60"/>
      <c r="M94" s="60"/>
      <c r="N94" s="60"/>
      <c r="O94" s="60"/>
      <c r="P94" s="60"/>
      <c r="Q94" s="60"/>
      <c r="R94" s="61"/>
      <c r="S94" s="60"/>
      <c r="T94" s="60"/>
      <c r="U94" s="60"/>
      <c r="V94" s="60"/>
      <c r="W94" s="60"/>
      <c r="X94" s="60"/>
      <c r="Y94" s="60"/>
      <c r="Z94" s="60"/>
      <c r="AA94" s="60"/>
      <c r="AB94" s="60"/>
      <c r="AC94" s="60"/>
      <c r="AD94" s="60"/>
      <c r="AE94" s="60"/>
      <c r="AF94" s="60"/>
      <c r="AG94" s="60"/>
      <c r="AH94" s="60"/>
      <c r="AI94" s="60"/>
      <c r="AJ94" s="60"/>
    </row>
    <row r="95" spans="7:36" ht="15" customHeight="1" x14ac:dyDescent="0.2">
      <c r="G95" s="14" t="s">
        <v>4</v>
      </c>
      <c r="H95" s="14"/>
      <c r="I95" s="13"/>
      <c r="J95" s="13"/>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row>
    <row r="96" spans="7:36" ht="15" customHeight="1" x14ac:dyDescent="0.2">
      <c r="G96" s="14" t="s">
        <v>5</v>
      </c>
      <c r="H96" s="14"/>
      <c r="I96" s="13"/>
      <c r="J96" s="13"/>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row>
    <row r="97" spans="7:36" ht="15" customHeight="1" x14ac:dyDescent="0.2">
      <c r="G97" s="14" t="s">
        <v>6</v>
      </c>
      <c r="H97" s="14"/>
      <c r="I97" s="13"/>
      <c r="J97" s="13"/>
      <c r="K97" s="75">
        <f>K170+K243</f>
        <v>0</v>
      </c>
      <c r="L97" s="75">
        <f t="shared" ref="L97:AJ97" si="5">L170+L243</f>
        <v>0</v>
      </c>
      <c r="M97" s="75">
        <f t="shared" si="5"/>
        <v>0</v>
      </c>
      <c r="N97" s="75">
        <f t="shared" si="5"/>
        <v>0</v>
      </c>
      <c r="O97" s="75">
        <f t="shared" si="5"/>
        <v>0</v>
      </c>
      <c r="P97" s="75">
        <f t="shared" si="5"/>
        <v>0</v>
      </c>
      <c r="Q97" s="75">
        <f t="shared" si="5"/>
        <v>0</v>
      </c>
      <c r="R97" s="75">
        <f t="shared" si="5"/>
        <v>0</v>
      </c>
      <c r="S97" s="75">
        <f t="shared" si="5"/>
        <v>0</v>
      </c>
      <c r="T97" s="75">
        <f t="shared" si="5"/>
        <v>0</v>
      </c>
      <c r="U97" s="75">
        <f t="shared" si="5"/>
        <v>0</v>
      </c>
      <c r="V97" s="75">
        <f t="shared" si="5"/>
        <v>0</v>
      </c>
      <c r="W97" s="75">
        <f t="shared" si="5"/>
        <v>0</v>
      </c>
      <c r="X97" s="75">
        <f t="shared" si="5"/>
        <v>0</v>
      </c>
      <c r="Y97" s="75">
        <f t="shared" si="5"/>
        <v>0</v>
      </c>
      <c r="Z97" s="75">
        <f t="shared" si="5"/>
        <v>0</v>
      </c>
      <c r="AA97" s="75">
        <f t="shared" si="5"/>
        <v>0</v>
      </c>
      <c r="AB97" s="75">
        <f t="shared" si="5"/>
        <v>0</v>
      </c>
      <c r="AC97" s="75">
        <f t="shared" si="5"/>
        <v>0</v>
      </c>
      <c r="AD97" s="75">
        <f t="shared" si="5"/>
        <v>0</v>
      </c>
      <c r="AE97" s="75">
        <f t="shared" si="5"/>
        <v>0</v>
      </c>
      <c r="AF97" s="75">
        <f t="shared" si="5"/>
        <v>0</v>
      </c>
      <c r="AG97" s="75">
        <f t="shared" si="5"/>
        <v>0</v>
      </c>
      <c r="AH97" s="75">
        <f t="shared" si="5"/>
        <v>0</v>
      </c>
      <c r="AI97" s="75">
        <f t="shared" si="5"/>
        <v>0</v>
      </c>
      <c r="AJ97" s="75">
        <f t="shared" si="5"/>
        <v>0</v>
      </c>
    </row>
    <row r="98" spans="7:36" ht="15" customHeight="1" x14ac:dyDescent="0.2">
      <c r="G98" s="14"/>
      <c r="H98" s="14"/>
      <c r="I98" s="13"/>
      <c r="J98" s="13"/>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row>
    <row r="99" spans="7:36" ht="15" customHeight="1" x14ac:dyDescent="0.2">
      <c r="G99" s="14" t="s">
        <v>7</v>
      </c>
      <c r="H99" s="14"/>
      <c r="I99" s="13"/>
      <c r="J99" s="13"/>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row>
    <row r="100" spans="7:36" ht="15" customHeight="1" x14ac:dyDescent="0.2">
      <c r="G100" s="14" t="s">
        <v>8</v>
      </c>
      <c r="H100" s="14"/>
      <c r="I100" s="13"/>
      <c r="J100" s="13"/>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row>
    <row r="101" spans="7:36" ht="15" customHeight="1" x14ac:dyDescent="0.2">
      <c r="G101" s="14" t="s">
        <v>9</v>
      </c>
      <c r="H101" s="14"/>
      <c r="I101" s="13"/>
      <c r="J101" s="13"/>
      <c r="K101" s="75">
        <f>K174+K247</f>
        <v>0</v>
      </c>
      <c r="L101" s="75">
        <f t="shared" ref="L101:AJ101" si="6">L174+L247</f>
        <v>0</v>
      </c>
      <c r="M101" s="75">
        <f t="shared" si="6"/>
        <v>0</v>
      </c>
      <c r="N101" s="75">
        <f t="shared" si="6"/>
        <v>0</v>
      </c>
      <c r="O101" s="75">
        <f t="shared" si="6"/>
        <v>0</v>
      </c>
      <c r="P101" s="75">
        <f t="shared" si="6"/>
        <v>0</v>
      </c>
      <c r="Q101" s="75">
        <f t="shared" si="6"/>
        <v>0</v>
      </c>
      <c r="R101" s="75">
        <f t="shared" si="6"/>
        <v>0</v>
      </c>
      <c r="S101" s="75">
        <f t="shared" si="6"/>
        <v>0</v>
      </c>
      <c r="T101" s="75">
        <f t="shared" si="6"/>
        <v>0</v>
      </c>
      <c r="U101" s="75">
        <f t="shared" si="6"/>
        <v>0</v>
      </c>
      <c r="V101" s="75">
        <f t="shared" si="6"/>
        <v>0</v>
      </c>
      <c r="W101" s="75">
        <f t="shared" si="6"/>
        <v>0</v>
      </c>
      <c r="X101" s="75">
        <f t="shared" si="6"/>
        <v>0</v>
      </c>
      <c r="Y101" s="75">
        <f t="shared" si="6"/>
        <v>0</v>
      </c>
      <c r="Z101" s="75">
        <f t="shared" si="6"/>
        <v>0</v>
      </c>
      <c r="AA101" s="75">
        <f t="shared" si="6"/>
        <v>0</v>
      </c>
      <c r="AB101" s="75">
        <f t="shared" si="6"/>
        <v>0</v>
      </c>
      <c r="AC101" s="75">
        <f t="shared" si="6"/>
        <v>0</v>
      </c>
      <c r="AD101" s="75">
        <f t="shared" si="6"/>
        <v>0</v>
      </c>
      <c r="AE101" s="75">
        <f t="shared" si="6"/>
        <v>0</v>
      </c>
      <c r="AF101" s="75">
        <f t="shared" si="6"/>
        <v>0</v>
      </c>
      <c r="AG101" s="75">
        <f t="shared" si="6"/>
        <v>0</v>
      </c>
      <c r="AH101" s="75">
        <f t="shared" si="6"/>
        <v>0</v>
      </c>
      <c r="AI101" s="75">
        <f t="shared" si="6"/>
        <v>0</v>
      </c>
      <c r="AJ101" s="75">
        <f t="shared" si="6"/>
        <v>0</v>
      </c>
    </row>
    <row r="102" spans="7:36" ht="15" customHeight="1" x14ac:dyDescent="0.2">
      <c r="G102" s="14"/>
      <c r="H102" s="14"/>
      <c r="I102" s="13"/>
      <c r="J102" s="13"/>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row>
    <row r="103" spans="7:36" ht="15" customHeight="1" x14ac:dyDescent="0.2">
      <c r="G103" s="14" t="s">
        <v>10</v>
      </c>
      <c r="H103" s="14"/>
      <c r="I103" s="13"/>
      <c r="J103" s="13"/>
      <c r="K103" s="75">
        <f>IF(OR($K$47=0,$K$48=0),0,IF(K$70=$K$43,$K$42*K$87,IF(OR(AND($K$43=0,K$70=$K$43),AND(K$70&gt;=$K$42+$K$48,INT((K$70-$K$43)/($K$48))=(K$70-$K$43)/($K$48))),$K$47*K$87,0)))</f>
        <v>0</v>
      </c>
      <c r="L103" s="75">
        <f t="shared" ref="L103:AJ103" si="7">IF(OR($K$47=0,$K$48=0),0,IF(L$70=$K$43,$K$42*L$87,IF(OR(AND($K$43=0,L$70=$K$43),AND(L$70&gt;=$K$42+$K$48,INT((L$70-$K$43)/($K$48))=(L$70-$K$43)/($K$48))),$K$47*L$87,0)))</f>
        <v>0</v>
      </c>
      <c r="M103" s="75">
        <f t="shared" si="7"/>
        <v>0</v>
      </c>
      <c r="N103" s="75">
        <f t="shared" si="7"/>
        <v>0</v>
      </c>
      <c r="O103" s="75">
        <f t="shared" si="7"/>
        <v>0</v>
      </c>
      <c r="P103" s="75">
        <f t="shared" si="7"/>
        <v>0</v>
      </c>
      <c r="Q103" s="75">
        <f t="shared" si="7"/>
        <v>0</v>
      </c>
      <c r="R103" s="75">
        <f t="shared" si="7"/>
        <v>0</v>
      </c>
      <c r="S103" s="75">
        <f t="shared" si="7"/>
        <v>0</v>
      </c>
      <c r="T103" s="75">
        <f t="shared" si="7"/>
        <v>0</v>
      </c>
      <c r="U103" s="75">
        <f t="shared" si="7"/>
        <v>0</v>
      </c>
      <c r="V103" s="75">
        <f t="shared" si="7"/>
        <v>0</v>
      </c>
      <c r="W103" s="75">
        <f t="shared" si="7"/>
        <v>0</v>
      </c>
      <c r="X103" s="75">
        <f t="shared" si="7"/>
        <v>0</v>
      </c>
      <c r="Y103" s="75">
        <f t="shared" si="7"/>
        <v>0</v>
      </c>
      <c r="Z103" s="75">
        <f t="shared" si="7"/>
        <v>0</v>
      </c>
      <c r="AA103" s="75">
        <f t="shared" si="7"/>
        <v>0</v>
      </c>
      <c r="AB103" s="75">
        <f t="shared" si="7"/>
        <v>0</v>
      </c>
      <c r="AC103" s="75">
        <f t="shared" si="7"/>
        <v>0</v>
      </c>
      <c r="AD103" s="75">
        <f t="shared" si="7"/>
        <v>0</v>
      </c>
      <c r="AE103" s="75">
        <f t="shared" si="7"/>
        <v>0</v>
      </c>
      <c r="AF103" s="75">
        <f t="shared" si="7"/>
        <v>0</v>
      </c>
      <c r="AG103" s="75">
        <f t="shared" si="7"/>
        <v>0</v>
      </c>
      <c r="AH103" s="75">
        <f t="shared" si="7"/>
        <v>0</v>
      </c>
      <c r="AI103" s="75">
        <f t="shared" si="7"/>
        <v>0</v>
      </c>
      <c r="AJ103" s="75">
        <f t="shared" si="7"/>
        <v>0</v>
      </c>
    </row>
    <row r="104" spans="7:36" ht="15" customHeight="1" x14ac:dyDescent="0.2">
      <c r="G104" s="14" t="s">
        <v>11</v>
      </c>
      <c r="H104" s="14"/>
      <c r="I104" s="13"/>
      <c r="J104" s="13"/>
      <c r="K104" s="31">
        <f t="shared" ref="K104:AJ104" si="8">($K$45*K$87)-($K$46*K$87)</f>
        <v>0</v>
      </c>
      <c r="L104" s="31">
        <f t="shared" si="8"/>
        <v>0</v>
      </c>
      <c r="M104" s="31">
        <f t="shared" si="8"/>
        <v>0</v>
      </c>
      <c r="N104" s="31">
        <f t="shared" si="8"/>
        <v>0</v>
      </c>
      <c r="O104" s="31">
        <f t="shared" si="8"/>
        <v>0</v>
      </c>
      <c r="P104" s="31">
        <f t="shared" si="8"/>
        <v>0</v>
      </c>
      <c r="Q104" s="31">
        <f t="shared" si="8"/>
        <v>0</v>
      </c>
      <c r="R104" s="31">
        <f t="shared" si="8"/>
        <v>0</v>
      </c>
      <c r="S104" s="31">
        <f t="shared" si="8"/>
        <v>0</v>
      </c>
      <c r="T104" s="31">
        <f t="shared" si="8"/>
        <v>0</v>
      </c>
      <c r="U104" s="31">
        <f t="shared" si="8"/>
        <v>0</v>
      </c>
      <c r="V104" s="31">
        <f t="shared" si="8"/>
        <v>0</v>
      </c>
      <c r="W104" s="31">
        <f t="shared" si="8"/>
        <v>0</v>
      </c>
      <c r="X104" s="31">
        <f t="shared" si="8"/>
        <v>0</v>
      </c>
      <c r="Y104" s="31">
        <f t="shared" si="8"/>
        <v>0</v>
      </c>
      <c r="Z104" s="31">
        <f t="shared" si="8"/>
        <v>0</v>
      </c>
      <c r="AA104" s="31">
        <f t="shared" si="8"/>
        <v>0</v>
      </c>
      <c r="AB104" s="31">
        <f t="shared" si="8"/>
        <v>0</v>
      </c>
      <c r="AC104" s="31">
        <f t="shared" si="8"/>
        <v>0</v>
      </c>
      <c r="AD104" s="31">
        <f t="shared" si="8"/>
        <v>0</v>
      </c>
      <c r="AE104" s="31">
        <f t="shared" si="8"/>
        <v>0</v>
      </c>
      <c r="AF104" s="31">
        <f t="shared" si="8"/>
        <v>0</v>
      </c>
      <c r="AG104" s="31">
        <f t="shared" si="8"/>
        <v>0</v>
      </c>
      <c r="AH104" s="31">
        <f t="shared" si="8"/>
        <v>0</v>
      </c>
      <c r="AI104" s="31">
        <f t="shared" si="8"/>
        <v>0</v>
      </c>
      <c r="AJ104" s="31">
        <f t="shared" si="8"/>
        <v>0</v>
      </c>
    </row>
    <row r="105" spans="7:36" ht="15" customHeight="1" x14ac:dyDescent="0.2">
      <c r="G105" s="14" t="s">
        <v>12</v>
      </c>
      <c r="H105" s="14"/>
      <c r="I105" s="13"/>
      <c r="J105" s="13"/>
      <c r="K105" s="75">
        <f>K178+K251</f>
        <v>0</v>
      </c>
      <c r="L105" s="75">
        <f t="shared" ref="L105:AJ106" si="9">L178+L251</f>
        <v>0</v>
      </c>
      <c r="M105" s="75">
        <f t="shared" si="9"/>
        <v>0</v>
      </c>
      <c r="N105" s="75">
        <f t="shared" si="9"/>
        <v>0</v>
      </c>
      <c r="O105" s="75">
        <f t="shared" si="9"/>
        <v>0</v>
      </c>
      <c r="P105" s="75">
        <f t="shared" si="9"/>
        <v>0</v>
      </c>
      <c r="Q105" s="75">
        <f t="shared" si="9"/>
        <v>0</v>
      </c>
      <c r="R105" s="75">
        <f t="shared" si="9"/>
        <v>0</v>
      </c>
      <c r="S105" s="75">
        <f t="shared" si="9"/>
        <v>0</v>
      </c>
      <c r="T105" s="75">
        <f t="shared" si="9"/>
        <v>0</v>
      </c>
      <c r="U105" s="75">
        <f t="shared" si="9"/>
        <v>0</v>
      </c>
      <c r="V105" s="75">
        <f t="shared" si="9"/>
        <v>0</v>
      </c>
      <c r="W105" s="75">
        <f t="shared" si="9"/>
        <v>0</v>
      </c>
      <c r="X105" s="75">
        <f t="shared" si="9"/>
        <v>0</v>
      </c>
      <c r="Y105" s="75">
        <f t="shared" si="9"/>
        <v>0</v>
      </c>
      <c r="Z105" s="75">
        <f t="shared" si="9"/>
        <v>0</v>
      </c>
      <c r="AA105" s="75">
        <f t="shared" si="9"/>
        <v>0</v>
      </c>
      <c r="AB105" s="75">
        <f t="shared" si="9"/>
        <v>0</v>
      </c>
      <c r="AC105" s="75">
        <f t="shared" si="9"/>
        <v>0</v>
      </c>
      <c r="AD105" s="75">
        <f t="shared" si="9"/>
        <v>0</v>
      </c>
      <c r="AE105" s="75">
        <f t="shared" si="9"/>
        <v>0</v>
      </c>
      <c r="AF105" s="75">
        <f t="shared" si="9"/>
        <v>0</v>
      </c>
      <c r="AG105" s="75">
        <f t="shared" si="9"/>
        <v>0</v>
      </c>
      <c r="AH105" s="75">
        <f t="shared" si="9"/>
        <v>0</v>
      </c>
      <c r="AI105" s="75">
        <f t="shared" si="9"/>
        <v>0</v>
      </c>
      <c r="AJ105" s="75">
        <f t="shared" si="9"/>
        <v>0</v>
      </c>
    </row>
    <row r="106" spans="7:36" ht="15" customHeight="1" x14ac:dyDescent="0.2">
      <c r="G106" s="14" t="s">
        <v>13</v>
      </c>
      <c r="H106" s="14"/>
      <c r="I106" s="13"/>
      <c r="J106" s="13"/>
      <c r="K106" s="75">
        <f>K179+K252</f>
        <v>0</v>
      </c>
      <c r="L106" s="75">
        <f t="shared" si="9"/>
        <v>0</v>
      </c>
      <c r="M106" s="75">
        <f t="shared" si="9"/>
        <v>0</v>
      </c>
      <c r="N106" s="75">
        <f t="shared" si="9"/>
        <v>0</v>
      </c>
      <c r="O106" s="75">
        <f t="shared" si="9"/>
        <v>0</v>
      </c>
      <c r="P106" s="75">
        <f t="shared" si="9"/>
        <v>0</v>
      </c>
      <c r="Q106" s="75">
        <f t="shared" si="9"/>
        <v>0</v>
      </c>
      <c r="R106" s="75">
        <f t="shared" si="9"/>
        <v>0</v>
      </c>
      <c r="S106" s="75">
        <f t="shared" si="9"/>
        <v>0</v>
      </c>
      <c r="T106" s="75">
        <f t="shared" si="9"/>
        <v>0</v>
      </c>
      <c r="U106" s="75">
        <f t="shared" si="9"/>
        <v>0</v>
      </c>
      <c r="V106" s="75">
        <f t="shared" si="9"/>
        <v>0</v>
      </c>
      <c r="W106" s="75">
        <f t="shared" si="9"/>
        <v>0</v>
      </c>
      <c r="X106" s="75">
        <f t="shared" si="9"/>
        <v>0</v>
      </c>
      <c r="Y106" s="75">
        <f t="shared" si="9"/>
        <v>0</v>
      </c>
      <c r="Z106" s="75">
        <f t="shared" si="9"/>
        <v>0</v>
      </c>
      <c r="AA106" s="75">
        <f t="shared" si="9"/>
        <v>0</v>
      </c>
      <c r="AB106" s="75">
        <f t="shared" si="9"/>
        <v>0</v>
      </c>
      <c r="AC106" s="75">
        <f t="shared" si="9"/>
        <v>0</v>
      </c>
      <c r="AD106" s="75">
        <f t="shared" si="9"/>
        <v>0</v>
      </c>
      <c r="AE106" s="75">
        <f t="shared" si="9"/>
        <v>0</v>
      </c>
      <c r="AF106" s="75">
        <f t="shared" si="9"/>
        <v>0</v>
      </c>
      <c r="AG106" s="75">
        <f t="shared" si="9"/>
        <v>0</v>
      </c>
      <c r="AH106" s="75">
        <f t="shared" si="9"/>
        <v>0</v>
      </c>
      <c r="AI106" s="75">
        <f t="shared" si="9"/>
        <v>0</v>
      </c>
      <c r="AJ106" s="75">
        <f t="shared" si="9"/>
        <v>0</v>
      </c>
    </row>
    <row r="107" spans="7:36" ht="15" customHeight="1" x14ac:dyDescent="0.2">
      <c r="G107" s="14"/>
      <c r="H107" s="14"/>
      <c r="I107" s="13"/>
      <c r="J107" s="13"/>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row>
    <row r="108" spans="7:36" ht="15" customHeight="1" x14ac:dyDescent="0.2">
      <c r="G108" s="14" t="s">
        <v>14</v>
      </c>
      <c r="H108" s="14"/>
      <c r="I108" s="13"/>
      <c r="J108" s="13"/>
      <c r="K108" s="31">
        <f t="shared" ref="K108:AJ108" si="10">SUM(K103:K106)</f>
        <v>0</v>
      </c>
      <c r="L108" s="31">
        <f t="shared" si="10"/>
        <v>0</v>
      </c>
      <c r="M108" s="31">
        <f t="shared" si="10"/>
        <v>0</v>
      </c>
      <c r="N108" s="31">
        <f t="shared" si="10"/>
        <v>0</v>
      </c>
      <c r="O108" s="31">
        <f t="shared" si="10"/>
        <v>0</v>
      </c>
      <c r="P108" s="31">
        <f t="shared" si="10"/>
        <v>0</v>
      </c>
      <c r="Q108" s="31">
        <f t="shared" si="10"/>
        <v>0</v>
      </c>
      <c r="R108" s="31">
        <f t="shared" si="10"/>
        <v>0</v>
      </c>
      <c r="S108" s="31">
        <f t="shared" si="10"/>
        <v>0</v>
      </c>
      <c r="T108" s="31">
        <f t="shared" si="10"/>
        <v>0</v>
      </c>
      <c r="U108" s="31">
        <f t="shared" si="10"/>
        <v>0</v>
      </c>
      <c r="V108" s="31">
        <f t="shared" si="10"/>
        <v>0</v>
      </c>
      <c r="W108" s="31">
        <f t="shared" si="10"/>
        <v>0</v>
      </c>
      <c r="X108" s="31">
        <f t="shared" si="10"/>
        <v>0</v>
      </c>
      <c r="Y108" s="31">
        <f t="shared" si="10"/>
        <v>0</v>
      </c>
      <c r="Z108" s="31">
        <f t="shared" si="10"/>
        <v>0</v>
      </c>
      <c r="AA108" s="31">
        <f t="shared" si="10"/>
        <v>0</v>
      </c>
      <c r="AB108" s="31">
        <f t="shared" si="10"/>
        <v>0</v>
      </c>
      <c r="AC108" s="31">
        <f t="shared" si="10"/>
        <v>0</v>
      </c>
      <c r="AD108" s="31">
        <f t="shared" si="10"/>
        <v>0</v>
      </c>
      <c r="AE108" s="31">
        <f t="shared" si="10"/>
        <v>0</v>
      </c>
      <c r="AF108" s="31">
        <f t="shared" si="10"/>
        <v>0</v>
      </c>
      <c r="AG108" s="31">
        <f t="shared" si="10"/>
        <v>0</v>
      </c>
      <c r="AH108" s="31">
        <f t="shared" si="10"/>
        <v>0</v>
      </c>
      <c r="AI108" s="31">
        <f t="shared" si="10"/>
        <v>0</v>
      </c>
      <c r="AJ108" s="31">
        <f t="shared" si="10"/>
        <v>0</v>
      </c>
    </row>
    <row r="109" spans="7:36" ht="15" customHeight="1" x14ac:dyDescent="0.2">
      <c r="G109" s="14" t="s">
        <v>15</v>
      </c>
      <c r="H109" s="14"/>
      <c r="I109" s="13"/>
      <c r="J109" s="13"/>
      <c r="K109" s="31">
        <f>K108</f>
        <v>0</v>
      </c>
      <c r="L109" s="31">
        <f t="shared" ref="L109:AJ109" si="11">K109+L108</f>
        <v>0</v>
      </c>
      <c r="M109" s="31">
        <f t="shared" si="11"/>
        <v>0</v>
      </c>
      <c r="N109" s="31">
        <f t="shared" si="11"/>
        <v>0</v>
      </c>
      <c r="O109" s="31">
        <f t="shared" si="11"/>
        <v>0</v>
      </c>
      <c r="P109" s="31">
        <f t="shared" si="11"/>
        <v>0</v>
      </c>
      <c r="Q109" s="31">
        <f t="shared" si="11"/>
        <v>0</v>
      </c>
      <c r="R109" s="31">
        <f t="shared" si="11"/>
        <v>0</v>
      </c>
      <c r="S109" s="31">
        <f t="shared" si="11"/>
        <v>0</v>
      </c>
      <c r="T109" s="31">
        <f t="shared" si="11"/>
        <v>0</v>
      </c>
      <c r="U109" s="31">
        <f t="shared" si="11"/>
        <v>0</v>
      </c>
      <c r="V109" s="31">
        <f t="shared" si="11"/>
        <v>0</v>
      </c>
      <c r="W109" s="31">
        <f t="shared" si="11"/>
        <v>0</v>
      </c>
      <c r="X109" s="31">
        <f t="shared" si="11"/>
        <v>0</v>
      </c>
      <c r="Y109" s="31">
        <f t="shared" si="11"/>
        <v>0</v>
      </c>
      <c r="Z109" s="31">
        <f t="shared" si="11"/>
        <v>0</v>
      </c>
      <c r="AA109" s="31">
        <f t="shared" si="11"/>
        <v>0</v>
      </c>
      <c r="AB109" s="31">
        <f t="shared" si="11"/>
        <v>0</v>
      </c>
      <c r="AC109" s="31">
        <f t="shared" si="11"/>
        <v>0</v>
      </c>
      <c r="AD109" s="31">
        <f t="shared" si="11"/>
        <v>0</v>
      </c>
      <c r="AE109" s="31">
        <f t="shared" si="11"/>
        <v>0</v>
      </c>
      <c r="AF109" s="31">
        <f t="shared" si="11"/>
        <v>0</v>
      </c>
      <c r="AG109" s="31">
        <f t="shared" si="11"/>
        <v>0</v>
      </c>
      <c r="AH109" s="31">
        <f t="shared" si="11"/>
        <v>0</v>
      </c>
      <c r="AI109" s="31">
        <f t="shared" si="11"/>
        <v>0</v>
      </c>
      <c r="AJ109" s="31">
        <f t="shared" si="11"/>
        <v>0</v>
      </c>
    </row>
    <row r="110" spans="7:36" ht="15" customHeight="1" x14ac:dyDescent="0.2">
      <c r="G110" s="13"/>
      <c r="H110" s="13"/>
      <c r="I110" s="13"/>
      <c r="J110" s="13"/>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row>
    <row r="111" spans="7:36" ht="15" customHeight="1" x14ac:dyDescent="0.2">
      <c r="G111" s="14" t="s">
        <v>17</v>
      </c>
      <c r="H111" s="13"/>
      <c r="I111" s="13"/>
      <c r="J111" s="13"/>
      <c r="K111" s="31">
        <f>K108/(((Data!$P$186/100)+1)^K$70)</f>
        <v>0</v>
      </c>
      <c r="L111" s="31">
        <f>L108/(((Data!$P$186/100)+1)^L$70)</f>
        <v>0</v>
      </c>
      <c r="M111" s="31">
        <f>M108/(((Data!$P$186/100)+1)^M$70)</f>
        <v>0</v>
      </c>
      <c r="N111" s="31">
        <f>N108/(((Data!$P$186/100)+1)^N$70)</f>
        <v>0</v>
      </c>
      <c r="O111" s="31">
        <f>O108/(((Data!$P$186/100)+1)^O$70)</f>
        <v>0</v>
      </c>
      <c r="P111" s="31">
        <f>P108/(((Data!$P$186/100)+1)^P$70)</f>
        <v>0</v>
      </c>
      <c r="Q111" s="31">
        <f>Q108/(((Data!$P$186/100)+1)^Q$70)</f>
        <v>0</v>
      </c>
      <c r="R111" s="31">
        <f>R108/(((Data!$P$186/100)+1)^R$70)</f>
        <v>0</v>
      </c>
      <c r="S111" s="31">
        <f>S108/(((Data!$P$186/100)+1)^S$70)</f>
        <v>0</v>
      </c>
      <c r="T111" s="31">
        <f>T108/(((Data!$P$186/100)+1)^T$70)</f>
        <v>0</v>
      </c>
      <c r="U111" s="31">
        <f>U108/(((Data!$P$186/100)+1)^U$70)</f>
        <v>0</v>
      </c>
      <c r="V111" s="31">
        <f>V108/(((Data!$P$186/100)+1)^V$70)</f>
        <v>0</v>
      </c>
      <c r="W111" s="31">
        <f>W108/(((Data!$P$186/100)+1)^W$70)</f>
        <v>0</v>
      </c>
      <c r="X111" s="31">
        <f>X108/(((Data!$P$186/100)+1)^X$70)</f>
        <v>0</v>
      </c>
      <c r="Y111" s="31">
        <f>Y108/(((Data!$P$186/100)+1)^Y$70)</f>
        <v>0</v>
      </c>
      <c r="Z111" s="31">
        <f>Z108/(((Data!$P$186/100)+1)^Z$70)</f>
        <v>0</v>
      </c>
      <c r="AA111" s="31">
        <f>AA108/(((Data!$P$186/100)+1)^AA$70)</f>
        <v>0</v>
      </c>
      <c r="AB111" s="31">
        <f>AB108/(((Data!$P$186/100)+1)^AB$70)</f>
        <v>0</v>
      </c>
      <c r="AC111" s="31">
        <f>AC108/(((Data!$P$186/100)+1)^AC$70)</f>
        <v>0</v>
      </c>
      <c r="AD111" s="31">
        <f>AD108/(((Data!$P$186/100)+1)^AD$70)</f>
        <v>0</v>
      </c>
      <c r="AE111" s="31">
        <f>AE108/(((Data!$P$186/100)+1)^AE$70)</f>
        <v>0</v>
      </c>
      <c r="AF111" s="31">
        <f>AF108/(((Data!$P$186/100)+1)^AF$70)</f>
        <v>0</v>
      </c>
      <c r="AG111" s="31">
        <f>AG108/(((Data!$P$186/100)+1)^AG$70)</f>
        <v>0</v>
      </c>
      <c r="AH111" s="31">
        <f>AH108/(((Data!$P$186/100)+1)^AH$70)</f>
        <v>0</v>
      </c>
      <c r="AI111" s="31">
        <f>AI108/(((Data!$P$186/100)+1)^AI$70)</f>
        <v>0</v>
      </c>
      <c r="AJ111" s="31">
        <f>AJ108/(((Data!$P$186/100)+1)^AJ$70)</f>
        <v>0</v>
      </c>
    </row>
    <row r="112" spans="7:36" ht="15" customHeight="1" x14ac:dyDescent="0.2">
      <c r="G112" s="30" t="s">
        <v>186</v>
      </c>
      <c r="H112" s="33"/>
      <c r="I112" s="13"/>
      <c r="J112" s="13"/>
      <c r="K112" s="34">
        <f>K111</f>
        <v>0</v>
      </c>
      <c r="L112" s="34">
        <f t="shared" ref="L112:AJ112" si="12">K112+L111</f>
        <v>0</v>
      </c>
      <c r="M112" s="34">
        <f t="shared" si="12"/>
        <v>0</v>
      </c>
      <c r="N112" s="34">
        <f t="shared" si="12"/>
        <v>0</v>
      </c>
      <c r="O112" s="34">
        <f t="shared" si="12"/>
        <v>0</v>
      </c>
      <c r="P112" s="34">
        <f t="shared" si="12"/>
        <v>0</v>
      </c>
      <c r="Q112" s="34">
        <f t="shared" si="12"/>
        <v>0</v>
      </c>
      <c r="R112" s="34">
        <f t="shared" si="12"/>
        <v>0</v>
      </c>
      <c r="S112" s="34">
        <f t="shared" si="12"/>
        <v>0</v>
      </c>
      <c r="T112" s="34">
        <f t="shared" si="12"/>
        <v>0</v>
      </c>
      <c r="U112" s="34">
        <f t="shared" si="12"/>
        <v>0</v>
      </c>
      <c r="V112" s="34">
        <f t="shared" si="12"/>
        <v>0</v>
      </c>
      <c r="W112" s="34">
        <f t="shared" si="12"/>
        <v>0</v>
      </c>
      <c r="X112" s="34">
        <f t="shared" si="12"/>
        <v>0</v>
      </c>
      <c r="Y112" s="34">
        <f t="shared" si="12"/>
        <v>0</v>
      </c>
      <c r="Z112" s="34">
        <f t="shared" si="12"/>
        <v>0</v>
      </c>
      <c r="AA112" s="34">
        <f t="shared" si="12"/>
        <v>0</v>
      </c>
      <c r="AB112" s="34">
        <f t="shared" si="12"/>
        <v>0</v>
      </c>
      <c r="AC112" s="34">
        <f t="shared" si="12"/>
        <v>0</v>
      </c>
      <c r="AD112" s="34">
        <f t="shared" si="12"/>
        <v>0</v>
      </c>
      <c r="AE112" s="34">
        <f t="shared" si="12"/>
        <v>0</v>
      </c>
      <c r="AF112" s="34">
        <f t="shared" si="12"/>
        <v>0</v>
      </c>
      <c r="AG112" s="34">
        <f t="shared" si="12"/>
        <v>0</v>
      </c>
      <c r="AH112" s="34">
        <f t="shared" si="12"/>
        <v>0</v>
      </c>
      <c r="AI112" s="34">
        <f t="shared" si="12"/>
        <v>0</v>
      </c>
      <c r="AJ112" s="34">
        <f t="shared" si="12"/>
        <v>0</v>
      </c>
    </row>
    <row r="113" spans="7:36" ht="15" customHeight="1" x14ac:dyDescent="0.2">
      <c r="G113" s="8"/>
      <c r="H113" s="8"/>
      <c r="I113" s="8"/>
      <c r="J113" s="8"/>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row>
    <row r="114" spans="7:36" ht="15" customHeight="1" x14ac:dyDescent="0.2">
      <c r="G114" s="532" t="s">
        <v>525</v>
      </c>
      <c r="H114" s="17"/>
      <c r="I114" s="13"/>
      <c r="J114" s="13"/>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row>
    <row r="115" spans="7:36" ht="15" customHeight="1" x14ac:dyDescent="0.2">
      <c r="G115" s="17"/>
      <c r="H115" s="17"/>
      <c r="I115" s="13"/>
      <c r="J115" s="13"/>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row>
    <row r="116" spans="7:36" ht="15" customHeight="1" x14ac:dyDescent="0.2">
      <c r="G116" s="17" t="s">
        <v>2</v>
      </c>
      <c r="H116" s="60"/>
      <c r="I116" s="60"/>
      <c r="J116" s="60"/>
      <c r="K116" s="125"/>
      <c r="L116" s="125"/>
      <c r="M116" s="125"/>
      <c r="N116" s="125"/>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25"/>
    </row>
    <row r="117" spans="7:36" ht="15" customHeight="1" x14ac:dyDescent="0.2">
      <c r="G117" s="17" t="s">
        <v>1</v>
      </c>
      <c r="H117" s="60"/>
      <c r="I117" s="60"/>
      <c r="J117" s="60"/>
      <c r="K117" s="125"/>
      <c r="L117" s="125"/>
      <c r="M117" s="125"/>
      <c r="N117" s="125"/>
      <c r="O117" s="125"/>
      <c r="P117" s="125"/>
      <c r="Q117" s="125"/>
      <c r="R117" s="125"/>
      <c r="S117" s="125"/>
      <c r="T117" s="125"/>
      <c r="U117" s="125"/>
      <c r="V117" s="125"/>
      <c r="W117" s="125"/>
      <c r="X117" s="125"/>
      <c r="Y117" s="125"/>
      <c r="Z117" s="125"/>
      <c r="AA117" s="125"/>
      <c r="AB117" s="125"/>
      <c r="AC117" s="125"/>
      <c r="AD117" s="125"/>
      <c r="AE117" s="125"/>
      <c r="AF117" s="125"/>
      <c r="AG117" s="125"/>
      <c r="AH117" s="125"/>
      <c r="AI117" s="125"/>
      <c r="AJ117" s="125"/>
    </row>
    <row r="118" spans="7:36" ht="15" customHeight="1" x14ac:dyDescent="0.2">
      <c r="G118" s="60"/>
      <c r="H118" s="60"/>
      <c r="I118" s="60"/>
      <c r="J118" s="60"/>
      <c r="K118" s="60"/>
      <c r="L118" s="13"/>
      <c r="M118" s="60"/>
      <c r="N118" s="60"/>
      <c r="O118" s="60"/>
      <c r="P118" s="60"/>
      <c r="Q118" s="60"/>
      <c r="R118" s="61"/>
      <c r="S118" s="60"/>
      <c r="T118" s="60"/>
      <c r="U118" s="60"/>
      <c r="V118" s="60"/>
      <c r="W118" s="60"/>
      <c r="X118" s="60"/>
      <c r="Y118" s="60"/>
      <c r="Z118" s="60"/>
      <c r="AA118" s="60"/>
      <c r="AB118" s="60"/>
      <c r="AC118" s="60"/>
      <c r="AD118" s="60"/>
      <c r="AE118" s="60"/>
      <c r="AF118" s="60"/>
      <c r="AG118" s="60"/>
      <c r="AH118" s="60"/>
      <c r="AI118" s="60"/>
      <c r="AJ118" s="60"/>
    </row>
    <row r="119" spans="7:36" ht="15" customHeight="1" x14ac:dyDescent="0.2">
      <c r="G119" s="17" t="s">
        <v>4</v>
      </c>
      <c r="H119" s="17"/>
      <c r="I119" s="13"/>
      <c r="J119" s="1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row>
    <row r="120" spans="7:36" ht="15" customHeight="1" x14ac:dyDescent="0.2">
      <c r="G120" s="17" t="s">
        <v>5</v>
      </c>
      <c r="H120" s="17"/>
      <c r="I120" s="13"/>
      <c r="J120" s="1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row>
    <row r="121" spans="7:36" ht="15" customHeight="1" x14ac:dyDescent="0.2">
      <c r="G121" s="17" t="s">
        <v>6</v>
      </c>
      <c r="H121" s="17"/>
      <c r="I121" s="13"/>
      <c r="J121" s="13"/>
      <c r="K121" s="80">
        <f>K194+K267</f>
        <v>0</v>
      </c>
      <c r="L121" s="80">
        <f t="shared" ref="L121:AJ121" si="13">L194+L267</f>
        <v>0</v>
      </c>
      <c r="M121" s="80">
        <f t="shared" si="13"/>
        <v>0</v>
      </c>
      <c r="N121" s="80">
        <f t="shared" si="13"/>
        <v>0</v>
      </c>
      <c r="O121" s="80">
        <f t="shared" si="13"/>
        <v>0</v>
      </c>
      <c r="P121" s="80">
        <f t="shared" si="13"/>
        <v>0</v>
      </c>
      <c r="Q121" s="80">
        <f t="shared" si="13"/>
        <v>0</v>
      </c>
      <c r="R121" s="80">
        <f t="shared" si="13"/>
        <v>0</v>
      </c>
      <c r="S121" s="80">
        <f t="shared" si="13"/>
        <v>0</v>
      </c>
      <c r="T121" s="80">
        <f t="shared" si="13"/>
        <v>0</v>
      </c>
      <c r="U121" s="80">
        <f t="shared" si="13"/>
        <v>0</v>
      </c>
      <c r="V121" s="80">
        <f t="shared" si="13"/>
        <v>0</v>
      </c>
      <c r="W121" s="80">
        <f t="shared" si="13"/>
        <v>0</v>
      </c>
      <c r="X121" s="80">
        <f t="shared" si="13"/>
        <v>0</v>
      </c>
      <c r="Y121" s="80">
        <f t="shared" si="13"/>
        <v>0</v>
      </c>
      <c r="Z121" s="80">
        <f t="shared" si="13"/>
        <v>0</v>
      </c>
      <c r="AA121" s="80">
        <f t="shared" si="13"/>
        <v>0</v>
      </c>
      <c r="AB121" s="80">
        <f t="shared" si="13"/>
        <v>0</v>
      </c>
      <c r="AC121" s="80">
        <f t="shared" si="13"/>
        <v>0</v>
      </c>
      <c r="AD121" s="80">
        <f t="shared" si="13"/>
        <v>0</v>
      </c>
      <c r="AE121" s="80">
        <f t="shared" si="13"/>
        <v>0</v>
      </c>
      <c r="AF121" s="80">
        <f t="shared" si="13"/>
        <v>0</v>
      </c>
      <c r="AG121" s="80">
        <f t="shared" si="13"/>
        <v>0</v>
      </c>
      <c r="AH121" s="80">
        <f t="shared" si="13"/>
        <v>0</v>
      </c>
      <c r="AI121" s="80">
        <f t="shared" si="13"/>
        <v>0</v>
      </c>
      <c r="AJ121" s="80">
        <f t="shared" si="13"/>
        <v>0</v>
      </c>
    </row>
    <row r="122" spans="7:36" ht="15" customHeight="1" x14ac:dyDescent="0.2">
      <c r="G122" s="17"/>
      <c r="H122" s="17"/>
      <c r="I122" s="13"/>
      <c r="J122" s="13"/>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row>
    <row r="123" spans="7:36" ht="15" customHeight="1" x14ac:dyDescent="0.2">
      <c r="G123" s="17" t="s">
        <v>7</v>
      </c>
      <c r="H123" s="17"/>
      <c r="I123" s="13"/>
      <c r="J123" s="1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row>
    <row r="124" spans="7:36" ht="15" customHeight="1" x14ac:dyDescent="0.2">
      <c r="G124" s="17" t="s">
        <v>8</v>
      </c>
      <c r="H124" s="17"/>
      <c r="I124" s="13"/>
      <c r="J124" s="1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row>
    <row r="125" spans="7:36" ht="15" customHeight="1" x14ac:dyDescent="0.2">
      <c r="G125" s="17" t="s">
        <v>9</v>
      </c>
      <c r="H125" s="17"/>
      <c r="I125" s="13"/>
      <c r="J125" s="13"/>
      <c r="K125" s="80" t="e">
        <f>K198+K271</f>
        <v>#N/A</v>
      </c>
      <c r="L125" s="80" t="e">
        <f t="shared" ref="L125:AJ125" si="14">L198+L271</f>
        <v>#N/A</v>
      </c>
      <c r="M125" s="80" t="e">
        <f t="shared" si="14"/>
        <v>#N/A</v>
      </c>
      <c r="N125" s="80" t="e">
        <f t="shared" si="14"/>
        <v>#N/A</v>
      </c>
      <c r="O125" s="80" t="e">
        <f t="shared" si="14"/>
        <v>#N/A</v>
      </c>
      <c r="P125" s="80" t="e">
        <f t="shared" si="14"/>
        <v>#N/A</v>
      </c>
      <c r="Q125" s="80" t="e">
        <f t="shared" si="14"/>
        <v>#N/A</v>
      </c>
      <c r="R125" s="80" t="e">
        <f t="shared" si="14"/>
        <v>#N/A</v>
      </c>
      <c r="S125" s="80" t="e">
        <f t="shared" si="14"/>
        <v>#N/A</v>
      </c>
      <c r="T125" s="80" t="e">
        <f t="shared" si="14"/>
        <v>#N/A</v>
      </c>
      <c r="U125" s="80" t="e">
        <f t="shared" si="14"/>
        <v>#N/A</v>
      </c>
      <c r="V125" s="80" t="e">
        <f t="shared" si="14"/>
        <v>#N/A</v>
      </c>
      <c r="W125" s="80" t="e">
        <f t="shared" si="14"/>
        <v>#N/A</v>
      </c>
      <c r="X125" s="80" t="e">
        <f t="shared" si="14"/>
        <v>#N/A</v>
      </c>
      <c r="Y125" s="80" t="e">
        <f t="shared" si="14"/>
        <v>#N/A</v>
      </c>
      <c r="Z125" s="80" t="e">
        <f t="shared" si="14"/>
        <v>#N/A</v>
      </c>
      <c r="AA125" s="80" t="e">
        <f t="shared" si="14"/>
        <v>#N/A</v>
      </c>
      <c r="AB125" s="80" t="e">
        <f t="shared" si="14"/>
        <v>#N/A</v>
      </c>
      <c r="AC125" s="80" t="e">
        <f t="shared" si="14"/>
        <v>#N/A</v>
      </c>
      <c r="AD125" s="80" t="e">
        <f t="shared" si="14"/>
        <v>#N/A</v>
      </c>
      <c r="AE125" s="80" t="e">
        <f t="shared" si="14"/>
        <v>#N/A</v>
      </c>
      <c r="AF125" s="80" t="e">
        <f t="shared" si="14"/>
        <v>#N/A</v>
      </c>
      <c r="AG125" s="80" t="e">
        <f t="shared" si="14"/>
        <v>#N/A</v>
      </c>
      <c r="AH125" s="80" t="e">
        <f t="shared" si="14"/>
        <v>#N/A</v>
      </c>
      <c r="AI125" s="80" t="e">
        <f t="shared" si="14"/>
        <v>#N/A</v>
      </c>
      <c r="AJ125" s="80" t="e">
        <f t="shared" si="14"/>
        <v>#N/A</v>
      </c>
    </row>
    <row r="126" spans="7:36" ht="15" customHeight="1" x14ac:dyDescent="0.2">
      <c r="G126" s="17"/>
      <c r="H126" s="17"/>
      <c r="I126" s="13"/>
      <c r="J126" s="13"/>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row>
    <row r="127" spans="7:36" ht="15" customHeight="1" x14ac:dyDescent="0.2">
      <c r="G127" s="17" t="s">
        <v>10</v>
      </c>
      <c r="H127" s="17"/>
      <c r="I127" s="13"/>
      <c r="J127" s="13"/>
      <c r="K127" s="80">
        <f>IF(OR($Q$47=0,$Q$48=0),0,IF(K$70=$Q$43,$Q$42*K$87,IF(OR(AND($Q$43=0,K$70=$Q$43),AND(K$70&gt;=$Q$43+$Q$48,INT((K$70-$Q$43)/($Q$48))=(K$70-$Q$43)/($Q$48))),$Q$47*K$87,0)))</f>
        <v>0</v>
      </c>
      <c r="L127" s="80">
        <f t="shared" ref="L127:AJ127" si="15">IF(OR($Q$47=0,$Q$48=0),0,IF(L$70=$Q$43,$Q$42*L$87,IF(OR(AND($Q$43=0,L$70=$Q$43),AND(L$70&gt;=$Q$43+$Q$48,INT((L$70-$Q$43)/($Q$48))=(L$70-$Q$43)/($Q$48))),$Q$47*L$87,0)))</f>
        <v>0</v>
      </c>
      <c r="M127" s="80">
        <f t="shared" si="15"/>
        <v>0</v>
      </c>
      <c r="N127" s="80">
        <f t="shared" si="15"/>
        <v>0</v>
      </c>
      <c r="O127" s="80">
        <f t="shared" si="15"/>
        <v>0</v>
      </c>
      <c r="P127" s="80">
        <f t="shared" si="15"/>
        <v>0</v>
      </c>
      <c r="Q127" s="80">
        <f t="shared" si="15"/>
        <v>0</v>
      </c>
      <c r="R127" s="80">
        <f t="shared" si="15"/>
        <v>0</v>
      </c>
      <c r="S127" s="80">
        <f t="shared" si="15"/>
        <v>0</v>
      </c>
      <c r="T127" s="80">
        <f t="shared" si="15"/>
        <v>0</v>
      </c>
      <c r="U127" s="80">
        <f t="shared" si="15"/>
        <v>0</v>
      </c>
      <c r="V127" s="80">
        <f t="shared" si="15"/>
        <v>0</v>
      </c>
      <c r="W127" s="80">
        <f t="shared" si="15"/>
        <v>0</v>
      </c>
      <c r="X127" s="80">
        <f t="shared" si="15"/>
        <v>0</v>
      </c>
      <c r="Y127" s="80">
        <f t="shared" si="15"/>
        <v>0</v>
      </c>
      <c r="Z127" s="80">
        <f t="shared" si="15"/>
        <v>0</v>
      </c>
      <c r="AA127" s="80">
        <f t="shared" si="15"/>
        <v>0</v>
      </c>
      <c r="AB127" s="80">
        <f t="shared" si="15"/>
        <v>0</v>
      </c>
      <c r="AC127" s="80">
        <f t="shared" si="15"/>
        <v>0</v>
      </c>
      <c r="AD127" s="80">
        <f t="shared" si="15"/>
        <v>0</v>
      </c>
      <c r="AE127" s="80">
        <f t="shared" si="15"/>
        <v>0</v>
      </c>
      <c r="AF127" s="80">
        <f t="shared" si="15"/>
        <v>0</v>
      </c>
      <c r="AG127" s="80">
        <f t="shared" si="15"/>
        <v>0</v>
      </c>
      <c r="AH127" s="80">
        <f t="shared" si="15"/>
        <v>0</v>
      </c>
      <c r="AI127" s="80">
        <f t="shared" si="15"/>
        <v>0</v>
      </c>
      <c r="AJ127" s="80">
        <f t="shared" si="15"/>
        <v>0</v>
      </c>
    </row>
    <row r="128" spans="7:36" ht="15" customHeight="1" x14ac:dyDescent="0.2">
      <c r="G128" s="17" t="s">
        <v>11</v>
      </c>
      <c r="H128" s="17"/>
      <c r="I128" s="13"/>
      <c r="J128" s="13"/>
      <c r="K128" s="35">
        <f t="shared" ref="K128:AJ128" si="16">IF(K$70&lt;$Q$43,($K$45*K$87)-($K$46*K$87),($Q$45*K$87)-($Q$46*K$87))</f>
        <v>0</v>
      </c>
      <c r="L128" s="35">
        <f t="shared" si="16"/>
        <v>0</v>
      </c>
      <c r="M128" s="35">
        <f t="shared" si="16"/>
        <v>0</v>
      </c>
      <c r="N128" s="35">
        <f t="shared" si="16"/>
        <v>0</v>
      </c>
      <c r="O128" s="35">
        <f t="shared" si="16"/>
        <v>0</v>
      </c>
      <c r="P128" s="35">
        <f t="shared" si="16"/>
        <v>0</v>
      </c>
      <c r="Q128" s="35">
        <f t="shared" si="16"/>
        <v>0</v>
      </c>
      <c r="R128" s="35">
        <f t="shared" si="16"/>
        <v>0</v>
      </c>
      <c r="S128" s="35">
        <f t="shared" si="16"/>
        <v>0</v>
      </c>
      <c r="T128" s="35">
        <f t="shared" si="16"/>
        <v>0</v>
      </c>
      <c r="U128" s="35">
        <f t="shared" si="16"/>
        <v>0</v>
      </c>
      <c r="V128" s="35">
        <f t="shared" si="16"/>
        <v>0</v>
      </c>
      <c r="W128" s="35">
        <f t="shared" si="16"/>
        <v>0</v>
      </c>
      <c r="X128" s="35">
        <f t="shared" si="16"/>
        <v>0</v>
      </c>
      <c r="Y128" s="35">
        <f t="shared" si="16"/>
        <v>0</v>
      </c>
      <c r="Z128" s="35">
        <f t="shared" si="16"/>
        <v>0</v>
      </c>
      <c r="AA128" s="35">
        <f t="shared" si="16"/>
        <v>0</v>
      </c>
      <c r="AB128" s="35">
        <f t="shared" si="16"/>
        <v>0</v>
      </c>
      <c r="AC128" s="35">
        <f t="shared" si="16"/>
        <v>0</v>
      </c>
      <c r="AD128" s="35">
        <f t="shared" si="16"/>
        <v>0</v>
      </c>
      <c r="AE128" s="35">
        <f t="shared" si="16"/>
        <v>0</v>
      </c>
      <c r="AF128" s="35">
        <f t="shared" si="16"/>
        <v>0</v>
      </c>
      <c r="AG128" s="35">
        <f t="shared" si="16"/>
        <v>0</v>
      </c>
      <c r="AH128" s="35">
        <f t="shared" si="16"/>
        <v>0</v>
      </c>
      <c r="AI128" s="35">
        <f t="shared" si="16"/>
        <v>0</v>
      </c>
      <c r="AJ128" s="35">
        <f t="shared" si="16"/>
        <v>0</v>
      </c>
    </row>
    <row r="129" spans="7:36" ht="15" customHeight="1" x14ac:dyDescent="0.2">
      <c r="G129" s="17" t="s">
        <v>12</v>
      </c>
      <c r="H129" s="17"/>
      <c r="I129" s="13"/>
      <c r="J129" s="13"/>
      <c r="K129" s="80" t="e">
        <f>K202+K275</f>
        <v>#N/A</v>
      </c>
      <c r="L129" s="80" t="e">
        <f t="shared" ref="L129:AJ130" si="17">L202+L275</f>
        <v>#N/A</v>
      </c>
      <c r="M129" s="80" t="e">
        <f t="shared" si="17"/>
        <v>#N/A</v>
      </c>
      <c r="N129" s="80" t="e">
        <f t="shared" si="17"/>
        <v>#N/A</v>
      </c>
      <c r="O129" s="80" t="e">
        <f t="shared" si="17"/>
        <v>#N/A</v>
      </c>
      <c r="P129" s="80" t="e">
        <f t="shared" si="17"/>
        <v>#N/A</v>
      </c>
      <c r="Q129" s="80" t="e">
        <f t="shared" si="17"/>
        <v>#N/A</v>
      </c>
      <c r="R129" s="80" t="e">
        <f t="shared" si="17"/>
        <v>#N/A</v>
      </c>
      <c r="S129" s="80" t="e">
        <f t="shared" si="17"/>
        <v>#N/A</v>
      </c>
      <c r="T129" s="80" t="e">
        <f t="shared" si="17"/>
        <v>#N/A</v>
      </c>
      <c r="U129" s="80" t="e">
        <f t="shared" si="17"/>
        <v>#N/A</v>
      </c>
      <c r="V129" s="80" t="e">
        <f t="shared" si="17"/>
        <v>#N/A</v>
      </c>
      <c r="W129" s="80" t="e">
        <f t="shared" si="17"/>
        <v>#N/A</v>
      </c>
      <c r="X129" s="80" t="e">
        <f t="shared" si="17"/>
        <v>#N/A</v>
      </c>
      <c r="Y129" s="80" t="e">
        <f t="shared" si="17"/>
        <v>#N/A</v>
      </c>
      <c r="Z129" s="80" t="e">
        <f t="shared" si="17"/>
        <v>#N/A</v>
      </c>
      <c r="AA129" s="80" t="e">
        <f t="shared" si="17"/>
        <v>#N/A</v>
      </c>
      <c r="AB129" s="80" t="e">
        <f t="shared" si="17"/>
        <v>#N/A</v>
      </c>
      <c r="AC129" s="80" t="e">
        <f t="shared" si="17"/>
        <v>#N/A</v>
      </c>
      <c r="AD129" s="80" t="e">
        <f t="shared" si="17"/>
        <v>#N/A</v>
      </c>
      <c r="AE129" s="80" t="e">
        <f t="shared" si="17"/>
        <v>#N/A</v>
      </c>
      <c r="AF129" s="80" t="e">
        <f t="shared" si="17"/>
        <v>#N/A</v>
      </c>
      <c r="AG129" s="80" t="e">
        <f t="shared" si="17"/>
        <v>#N/A</v>
      </c>
      <c r="AH129" s="80" t="e">
        <f t="shared" si="17"/>
        <v>#N/A</v>
      </c>
      <c r="AI129" s="80" t="e">
        <f t="shared" si="17"/>
        <v>#N/A</v>
      </c>
      <c r="AJ129" s="80" t="e">
        <f t="shared" si="17"/>
        <v>#N/A</v>
      </c>
    </row>
    <row r="130" spans="7:36" ht="15" customHeight="1" x14ac:dyDescent="0.2">
      <c r="G130" s="17" t="s">
        <v>13</v>
      </c>
      <c r="H130" s="17"/>
      <c r="I130" s="13"/>
      <c r="J130" s="13"/>
      <c r="K130" s="80" t="e">
        <f>K203+K276</f>
        <v>#N/A</v>
      </c>
      <c r="L130" s="80" t="e">
        <f t="shared" si="17"/>
        <v>#N/A</v>
      </c>
      <c r="M130" s="80" t="e">
        <f t="shared" si="17"/>
        <v>#N/A</v>
      </c>
      <c r="N130" s="80" t="e">
        <f t="shared" si="17"/>
        <v>#N/A</v>
      </c>
      <c r="O130" s="80" t="e">
        <f t="shared" si="17"/>
        <v>#N/A</v>
      </c>
      <c r="P130" s="80" t="e">
        <f t="shared" si="17"/>
        <v>#N/A</v>
      </c>
      <c r="Q130" s="80" t="e">
        <f t="shared" si="17"/>
        <v>#N/A</v>
      </c>
      <c r="R130" s="80" t="e">
        <f t="shared" si="17"/>
        <v>#N/A</v>
      </c>
      <c r="S130" s="80" t="e">
        <f t="shared" si="17"/>
        <v>#N/A</v>
      </c>
      <c r="T130" s="80" t="e">
        <f t="shared" si="17"/>
        <v>#N/A</v>
      </c>
      <c r="U130" s="80" t="e">
        <f t="shared" si="17"/>
        <v>#N/A</v>
      </c>
      <c r="V130" s="80" t="e">
        <f t="shared" si="17"/>
        <v>#N/A</v>
      </c>
      <c r="W130" s="80" t="e">
        <f t="shared" si="17"/>
        <v>#N/A</v>
      </c>
      <c r="X130" s="80" t="e">
        <f t="shared" si="17"/>
        <v>#N/A</v>
      </c>
      <c r="Y130" s="80" t="e">
        <f t="shared" si="17"/>
        <v>#N/A</v>
      </c>
      <c r="Z130" s="80" t="e">
        <f t="shared" si="17"/>
        <v>#N/A</v>
      </c>
      <c r="AA130" s="80" t="e">
        <f t="shared" si="17"/>
        <v>#N/A</v>
      </c>
      <c r="AB130" s="80" t="e">
        <f t="shared" si="17"/>
        <v>#N/A</v>
      </c>
      <c r="AC130" s="80" t="e">
        <f t="shared" si="17"/>
        <v>#N/A</v>
      </c>
      <c r="AD130" s="80" t="e">
        <f t="shared" si="17"/>
        <v>#N/A</v>
      </c>
      <c r="AE130" s="80" t="e">
        <f t="shared" si="17"/>
        <v>#N/A</v>
      </c>
      <c r="AF130" s="80" t="e">
        <f t="shared" si="17"/>
        <v>#N/A</v>
      </c>
      <c r="AG130" s="80" t="e">
        <f t="shared" si="17"/>
        <v>#N/A</v>
      </c>
      <c r="AH130" s="80" t="e">
        <f t="shared" si="17"/>
        <v>#N/A</v>
      </c>
      <c r="AI130" s="80" t="e">
        <f t="shared" si="17"/>
        <v>#N/A</v>
      </c>
      <c r="AJ130" s="80" t="e">
        <f t="shared" si="17"/>
        <v>#N/A</v>
      </c>
    </row>
    <row r="131" spans="7:36" ht="15" customHeight="1" x14ac:dyDescent="0.2">
      <c r="G131" s="17"/>
      <c r="H131" s="17"/>
      <c r="I131" s="13"/>
      <c r="J131" s="13"/>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row>
    <row r="132" spans="7:36" ht="15" customHeight="1" x14ac:dyDescent="0.2">
      <c r="G132" s="17" t="s">
        <v>14</v>
      </c>
      <c r="H132" s="17"/>
      <c r="I132" s="13"/>
      <c r="J132" s="13"/>
      <c r="K132" s="35" t="e">
        <f>SUM(K127:K130)</f>
        <v>#N/A</v>
      </c>
      <c r="L132" s="35" t="e">
        <f t="shared" ref="L132:AH132" si="18">SUM(L127:L130)</f>
        <v>#N/A</v>
      </c>
      <c r="M132" s="35" t="e">
        <f t="shared" si="18"/>
        <v>#N/A</v>
      </c>
      <c r="N132" s="35" t="e">
        <f t="shared" si="18"/>
        <v>#N/A</v>
      </c>
      <c r="O132" s="35" t="e">
        <f t="shared" si="18"/>
        <v>#N/A</v>
      </c>
      <c r="P132" s="35" t="e">
        <f t="shared" si="18"/>
        <v>#N/A</v>
      </c>
      <c r="Q132" s="35" t="e">
        <f t="shared" si="18"/>
        <v>#N/A</v>
      </c>
      <c r="R132" s="35" t="e">
        <f t="shared" si="18"/>
        <v>#N/A</v>
      </c>
      <c r="S132" s="35" t="e">
        <f t="shared" si="18"/>
        <v>#N/A</v>
      </c>
      <c r="T132" s="35" t="e">
        <f t="shared" si="18"/>
        <v>#N/A</v>
      </c>
      <c r="U132" s="35" t="e">
        <f t="shared" si="18"/>
        <v>#N/A</v>
      </c>
      <c r="V132" s="35" t="e">
        <f t="shared" si="18"/>
        <v>#N/A</v>
      </c>
      <c r="W132" s="35" t="e">
        <f t="shared" si="18"/>
        <v>#N/A</v>
      </c>
      <c r="X132" s="35" t="e">
        <f t="shared" si="18"/>
        <v>#N/A</v>
      </c>
      <c r="Y132" s="35" t="e">
        <f t="shared" si="18"/>
        <v>#N/A</v>
      </c>
      <c r="Z132" s="35" t="e">
        <f t="shared" si="18"/>
        <v>#N/A</v>
      </c>
      <c r="AA132" s="35" t="e">
        <f t="shared" si="18"/>
        <v>#N/A</v>
      </c>
      <c r="AB132" s="35" t="e">
        <f t="shared" si="18"/>
        <v>#N/A</v>
      </c>
      <c r="AC132" s="35" t="e">
        <f t="shared" si="18"/>
        <v>#N/A</v>
      </c>
      <c r="AD132" s="35" t="e">
        <f t="shared" si="18"/>
        <v>#N/A</v>
      </c>
      <c r="AE132" s="35" t="e">
        <f t="shared" si="18"/>
        <v>#N/A</v>
      </c>
      <c r="AF132" s="35" t="e">
        <f t="shared" si="18"/>
        <v>#N/A</v>
      </c>
      <c r="AG132" s="35" t="e">
        <f t="shared" si="18"/>
        <v>#N/A</v>
      </c>
      <c r="AH132" s="35" t="e">
        <f t="shared" si="18"/>
        <v>#N/A</v>
      </c>
      <c r="AI132" s="35" t="e">
        <f>SUM(AI127:AI130)</f>
        <v>#N/A</v>
      </c>
      <c r="AJ132" s="35" t="e">
        <f>SUM(AJ127:AJ130)</f>
        <v>#N/A</v>
      </c>
    </row>
    <row r="133" spans="7:36" ht="15" customHeight="1" x14ac:dyDescent="0.2">
      <c r="G133" s="17" t="s">
        <v>435</v>
      </c>
      <c r="H133" s="17"/>
      <c r="I133" s="13"/>
      <c r="J133" s="13"/>
      <c r="K133" s="35" t="e">
        <f>K132</f>
        <v>#N/A</v>
      </c>
      <c r="L133" s="35" t="e">
        <f t="shared" ref="L133:AJ133" si="19">K133+L132</f>
        <v>#N/A</v>
      </c>
      <c r="M133" s="35" t="e">
        <f t="shared" si="19"/>
        <v>#N/A</v>
      </c>
      <c r="N133" s="35" t="e">
        <f t="shared" si="19"/>
        <v>#N/A</v>
      </c>
      <c r="O133" s="35" t="e">
        <f t="shared" si="19"/>
        <v>#N/A</v>
      </c>
      <c r="P133" s="35" t="e">
        <f t="shared" si="19"/>
        <v>#N/A</v>
      </c>
      <c r="Q133" s="35" t="e">
        <f t="shared" si="19"/>
        <v>#N/A</v>
      </c>
      <c r="R133" s="35" t="e">
        <f t="shared" si="19"/>
        <v>#N/A</v>
      </c>
      <c r="S133" s="35" t="e">
        <f t="shared" si="19"/>
        <v>#N/A</v>
      </c>
      <c r="T133" s="35" t="e">
        <f t="shared" si="19"/>
        <v>#N/A</v>
      </c>
      <c r="U133" s="35" t="e">
        <f t="shared" si="19"/>
        <v>#N/A</v>
      </c>
      <c r="V133" s="35" t="e">
        <f t="shared" si="19"/>
        <v>#N/A</v>
      </c>
      <c r="W133" s="35" t="e">
        <f t="shared" si="19"/>
        <v>#N/A</v>
      </c>
      <c r="X133" s="35" t="e">
        <f t="shared" si="19"/>
        <v>#N/A</v>
      </c>
      <c r="Y133" s="35" t="e">
        <f t="shared" si="19"/>
        <v>#N/A</v>
      </c>
      <c r="Z133" s="35" t="e">
        <f t="shared" si="19"/>
        <v>#N/A</v>
      </c>
      <c r="AA133" s="35" t="e">
        <f t="shared" si="19"/>
        <v>#N/A</v>
      </c>
      <c r="AB133" s="35" t="e">
        <f t="shared" si="19"/>
        <v>#N/A</v>
      </c>
      <c r="AC133" s="35" t="e">
        <f t="shared" si="19"/>
        <v>#N/A</v>
      </c>
      <c r="AD133" s="35" t="e">
        <f t="shared" si="19"/>
        <v>#N/A</v>
      </c>
      <c r="AE133" s="35" t="e">
        <f t="shared" si="19"/>
        <v>#N/A</v>
      </c>
      <c r="AF133" s="35" t="e">
        <f t="shared" si="19"/>
        <v>#N/A</v>
      </c>
      <c r="AG133" s="35" t="e">
        <f t="shared" si="19"/>
        <v>#N/A</v>
      </c>
      <c r="AH133" s="35" t="e">
        <f t="shared" si="19"/>
        <v>#N/A</v>
      </c>
      <c r="AI133" s="35" t="e">
        <f t="shared" si="19"/>
        <v>#N/A</v>
      </c>
      <c r="AJ133" s="35" t="e">
        <f t="shared" si="19"/>
        <v>#N/A</v>
      </c>
    </row>
    <row r="134" spans="7:36" ht="15" customHeight="1" x14ac:dyDescent="0.2">
      <c r="G134" s="17"/>
      <c r="H134" s="17"/>
      <c r="I134" s="13"/>
      <c r="J134" s="13"/>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row>
    <row r="135" spans="7:36" ht="15" customHeight="1" x14ac:dyDescent="0.2">
      <c r="G135" s="17" t="s">
        <v>17</v>
      </c>
      <c r="H135" s="17"/>
      <c r="I135" s="13"/>
      <c r="J135" s="13"/>
      <c r="K135" s="35" t="e">
        <f>K132/(((Data!$P$186/100)+1)^K$70)</f>
        <v>#N/A</v>
      </c>
      <c r="L135" s="35" t="e">
        <f>L132/(((Data!$P$186/100)+1)^L$70)</f>
        <v>#N/A</v>
      </c>
      <c r="M135" s="35" t="e">
        <f>M132/(((Data!$P$186/100)+1)^M$70)</f>
        <v>#N/A</v>
      </c>
      <c r="N135" s="35" t="e">
        <f>N132/(((Data!$P$186/100)+1)^N$70)</f>
        <v>#N/A</v>
      </c>
      <c r="O135" s="35" t="e">
        <f>O132/(((Data!$P$186/100)+1)^O$70)</f>
        <v>#N/A</v>
      </c>
      <c r="P135" s="35" t="e">
        <f>P132/(((Data!$P$186/100)+1)^P$70)</f>
        <v>#N/A</v>
      </c>
      <c r="Q135" s="35" t="e">
        <f>Q132/(((Data!$P$186/100)+1)^Q$70)</f>
        <v>#N/A</v>
      </c>
      <c r="R135" s="35" t="e">
        <f>R132/(((Data!$P$186/100)+1)^R$70)</f>
        <v>#N/A</v>
      </c>
      <c r="S135" s="35" t="e">
        <f>S132/(((Data!$P$186/100)+1)^S$70)</f>
        <v>#N/A</v>
      </c>
      <c r="T135" s="35" t="e">
        <f>T132/(((Data!$P$186/100)+1)^T$70)</f>
        <v>#N/A</v>
      </c>
      <c r="U135" s="35" t="e">
        <f>U132/(((Data!$P$186/100)+1)^U$70)</f>
        <v>#N/A</v>
      </c>
      <c r="V135" s="35" t="e">
        <f>V132/(((Data!$P$186/100)+1)^V$70)</f>
        <v>#N/A</v>
      </c>
      <c r="W135" s="35" t="e">
        <f>W132/(((Data!$P$186/100)+1)^W$70)</f>
        <v>#N/A</v>
      </c>
      <c r="X135" s="35" t="e">
        <f>X132/(((Data!$P$186/100)+1)^X$70)</f>
        <v>#N/A</v>
      </c>
      <c r="Y135" s="35" t="e">
        <f>Y132/(((Data!$P$186/100)+1)^Y$70)</f>
        <v>#N/A</v>
      </c>
      <c r="Z135" s="35" t="e">
        <f>Z132/(((Data!$P$186/100)+1)^Z$70)</f>
        <v>#N/A</v>
      </c>
      <c r="AA135" s="35" t="e">
        <f>AA132/(((Data!$P$186/100)+1)^AA$70)</f>
        <v>#N/A</v>
      </c>
      <c r="AB135" s="35" t="e">
        <f>AB132/(((Data!$P$186/100)+1)^AB$70)</f>
        <v>#N/A</v>
      </c>
      <c r="AC135" s="35" t="e">
        <f>AC132/(((Data!$P$186/100)+1)^AC$70)</f>
        <v>#N/A</v>
      </c>
      <c r="AD135" s="35" t="e">
        <f>AD132/(((Data!$P$186/100)+1)^AD$70)</f>
        <v>#N/A</v>
      </c>
      <c r="AE135" s="35" t="e">
        <f>AE132/(((Data!$P$186/100)+1)^AE$70)</f>
        <v>#N/A</v>
      </c>
      <c r="AF135" s="35" t="e">
        <f>AF132/(((Data!$P$186/100)+1)^AF$70)</f>
        <v>#N/A</v>
      </c>
      <c r="AG135" s="35" t="e">
        <f>AG132/(((Data!$P$186/100)+1)^AG$70)</f>
        <v>#N/A</v>
      </c>
      <c r="AH135" s="35" t="e">
        <f>AH132/(((Data!$P$186/100)+1)^AH$70)</f>
        <v>#N/A</v>
      </c>
      <c r="AI135" s="35" t="e">
        <f>AI132/(((Data!$P$186/100)+1)^AI$70)</f>
        <v>#N/A</v>
      </c>
      <c r="AJ135" s="35" t="e">
        <f>AJ132/(((Data!$P$186/100)+1)^AJ$70)</f>
        <v>#N/A</v>
      </c>
    </row>
    <row r="136" spans="7:36" ht="15" customHeight="1" x14ac:dyDescent="0.2">
      <c r="G136" s="15" t="s">
        <v>184</v>
      </c>
      <c r="H136" s="15"/>
      <c r="I136" s="13"/>
      <c r="J136" s="13"/>
      <c r="K136" s="36" t="e">
        <f>K135</f>
        <v>#N/A</v>
      </c>
      <c r="L136" s="36" t="e">
        <f t="shared" ref="L136:AJ136" si="20">K136+L135</f>
        <v>#N/A</v>
      </c>
      <c r="M136" s="36" t="e">
        <f t="shared" si="20"/>
        <v>#N/A</v>
      </c>
      <c r="N136" s="36" t="e">
        <f t="shared" si="20"/>
        <v>#N/A</v>
      </c>
      <c r="O136" s="36" t="e">
        <f t="shared" si="20"/>
        <v>#N/A</v>
      </c>
      <c r="P136" s="36" t="e">
        <f t="shared" si="20"/>
        <v>#N/A</v>
      </c>
      <c r="Q136" s="36" t="e">
        <f t="shared" si="20"/>
        <v>#N/A</v>
      </c>
      <c r="R136" s="36" t="e">
        <f t="shared" si="20"/>
        <v>#N/A</v>
      </c>
      <c r="S136" s="36" t="e">
        <f t="shared" si="20"/>
        <v>#N/A</v>
      </c>
      <c r="T136" s="36" t="e">
        <f t="shared" si="20"/>
        <v>#N/A</v>
      </c>
      <c r="U136" s="36" t="e">
        <f t="shared" si="20"/>
        <v>#N/A</v>
      </c>
      <c r="V136" s="36" t="e">
        <f t="shared" si="20"/>
        <v>#N/A</v>
      </c>
      <c r="W136" s="36" t="e">
        <f t="shared" si="20"/>
        <v>#N/A</v>
      </c>
      <c r="X136" s="36" t="e">
        <f t="shared" si="20"/>
        <v>#N/A</v>
      </c>
      <c r="Y136" s="36" t="e">
        <f t="shared" si="20"/>
        <v>#N/A</v>
      </c>
      <c r="Z136" s="36" t="e">
        <f t="shared" si="20"/>
        <v>#N/A</v>
      </c>
      <c r="AA136" s="36" t="e">
        <f t="shared" si="20"/>
        <v>#N/A</v>
      </c>
      <c r="AB136" s="36" t="e">
        <f t="shared" si="20"/>
        <v>#N/A</v>
      </c>
      <c r="AC136" s="36" t="e">
        <f t="shared" si="20"/>
        <v>#N/A</v>
      </c>
      <c r="AD136" s="36" t="e">
        <f t="shared" si="20"/>
        <v>#N/A</v>
      </c>
      <c r="AE136" s="36" t="e">
        <f t="shared" si="20"/>
        <v>#N/A</v>
      </c>
      <c r="AF136" s="36" t="e">
        <f t="shared" si="20"/>
        <v>#N/A</v>
      </c>
      <c r="AG136" s="36" t="e">
        <f t="shared" si="20"/>
        <v>#N/A</v>
      </c>
      <c r="AH136" s="36" t="e">
        <f t="shared" si="20"/>
        <v>#N/A</v>
      </c>
      <c r="AI136" s="36" t="e">
        <f t="shared" si="20"/>
        <v>#N/A</v>
      </c>
      <c r="AJ136" s="36" t="e">
        <f t="shared" si="20"/>
        <v>#N/A</v>
      </c>
    </row>
    <row r="137" spans="7:36" ht="15" customHeight="1" x14ac:dyDescent="0.2">
      <c r="G137" s="8"/>
      <c r="H137" s="8"/>
      <c r="I137" s="8"/>
      <c r="J137" s="8"/>
      <c r="K137" s="8"/>
      <c r="L137" s="8"/>
      <c r="M137" s="8"/>
      <c r="N137" s="8"/>
      <c r="O137" s="8"/>
      <c r="P137" s="8"/>
      <c r="Q137" s="8"/>
      <c r="R137" s="8"/>
      <c r="S137" s="8"/>
      <c r="T137" s="9"/>
      <c r="U137" s="8"/>
      <c r="V137" s="8"/>
      <c r="W137" s="8"/>
      <c r="X137" s="8"/>
      <c r="Y137" s="8"/>
      <c r="Z137" s="8"/>
      <c r="AA137" s="8"/>
      <c r="AB137" s="8"/>
      <c r="AC137" s="8"/>
      <c r="AD137" s="8"/>
      <c r="AE137" s="8"/>
      <c r="AF137" s="8"/>
      <c r="AG137" s="8"/>
      <c r="AH137" s="8"/>
      <c r="AI137" s="8"/>
      <c r="AJ137" s="8"/>
    </row>
    <row r="138" spans="7:36" ht="15" customHeight="1" x14ac:dyDescent="0.2">
      <c r="G138" s="543" t="s">
        <v>530</v>
      </c>
      <c r="H138" s="18"/>
      <c r="I138" s="13"/>
      <c r="J138" s="13"/>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row>
    <row r="139" spans="7:36" ht="15" customHeight="1" x14ac:dyDescent="0.2">
      <c r="G139" s="18"/>
      <c r="H139" s="18"/>
      <c r="I139" s="13"/>
      <c r="J139" s="13"/>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row>
    <row r="140" spans="7:36" ht="15" customHeight="1" x14ac:dyDescent="0.2">
      <c r="G140" s="18" t="s">
        <v>2</v>
      </c>
      <c r="H140" s="60"/>
      <c r="I140" s="60"/>
      <c r="J140" s="60"/>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26"/>
      <c r="AJ140" s="126"/>
    </row>
    <row r="141" spans="7:36" ht="15" customHeight="1" x14ac:dyDescent="0.2">
      <c r="G141" s="18" t="s">
        <v>1</v>
      </c>
      <c r="H141" s="60"/>
      <c r="I141" s="60"/>
      <c r="J141" s="60"/>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row>
    <row r="142" spans="7:36" ht="15" customHeight="1" x14ac:dyDescent="0.2">
      <c r="G142" s="60"/>
      <c r="H142" s="60"/>
      <c r="I142" s="60"/>
      <c r="J142" s="60"/>
      <c r="K142" s="60"/>
      <c r="L142" s="60"/>
      <c r="M142" s="60"/>
      <c r="N142" s="60"/>
      <c r="O142" s="60"/>
      <c r="P142" s="60"/>
      <c r="Q142" s="60"/>
      <c r="R142" s="61"/>
      <c r="S142" s="60"/>
      <c r="T142" s="60"/>
      <c r="U142" s="60"/>
      <c r="V142" s="60"/>
      <c r="W142" s="60"/>
      <c r="X142" s="60"/>
      <c r="Y142" s="60"/>
      <c r="Z142" s="60"/>
      <c r="AA142" s="60"/>
      <c r="AB142" s="60"/>
      <c r="AC142" s="60"/>
      <c r="AD142" s="60"/>
      <c r="AE142" s="60"/>
      <c r="AF142" s="60"/>
      <c r="AG142" s="60"/>
      <c r="AH142" s="60"/>
      <c r="AI142" s="60"/>
      <c r="AJ142" s="60"/>
    </row>
    <row r="143" spans="7:36" ht="15" customHeight="1" x14ac:dyDescent="0.2">
      <c r="G143" s="18" t="s">
        <v>4</v>
      </c>
      <c r="H143" s="18"/>
      <c r="I143" s="13"/>
      <c r="J143" s="13"/>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row>
    <row r="144" spans="7:36" ht="15" customHeight="1" x14ac:dyDescent="0.2">
      <c r="G144" s="18" t="s">
        <v>5</v>
      </c>
      <c r="H144" s="18"/>
      <c r="I144" s="13"/>
      <c r="J144" s="13"/>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row>
    <row r="145" spans="7:36" ht="15" customHeight="1" x14ac:dyDescent="0.2">
      <c r="G145" s="18" t="s">
        <v>6</v>
      </c>
      <c r="H145" s="18"/>
      <c r="I145" s="13"/>
      <c r="J145" s="13"/>
      <c r="K145" s="84" t="e">
        <f>K218+K291</f>
        <v>#DIV/0!</v>
      </c>
      <c r="L145" s="84" t="e">
        <f t="shared" ref="L145:AJ145" si="21">L218+L291</f>
        <v>#DIV/0!</v>
      </c>
      <c r="M145" s="84" t="e">
        <f t="shared" si="21"/>
        <v>#DIV/0!</v>
      </c>
      <c r="N145" s="84" t="e">
        <f t="shared" si="21"/>
        <v>#DIV/0!</v>
      </c>
      <c r="O145" s="84" t="e">
        <f t="shared" si="21"/>
        <v>#DIV/0!</v>
      </c>
      <c r="P145" s="84" t="e">
        <f t="shared" si="21"/>
        <v>#DIV/0!</v>
      </c>
      <c r="Q145" s="84" t="e">
        <f t="shared" si="21"/>
        <v>#DIV/0!</v>
      </c>
      <c r="R145" s="84" t="e">
        <f t="shared" si="21"/>
        <v>#DIV/0!</v>
      </c>
      <c r="S145" s="84" t="e">
        <f t="shared" si="21"/>
        <v>#DIV/0!</v>
      </c>
      <c r="T145" s="84" t="e">
        <f t="shared" si="21"/>
        <v>#DIV/0!</v>
      </c>
      <c r="U145" s="84" t="e">
        <f t="shared" si="21"/>
        <v>#DIV/0!</v>
      </c>
      <c r="V145" s="84" t="e">
        <f t="shared" si="21"/>
        <v>#DIV/0!</v>
      </c>
      <c r="W145" s="84" t="e">
        <f t="shared" si="21"/>
        <v>#DIV/0!</v>
      </c>
      <c r="X145" s="84" t="e">
        <f t="shared" si="21"/>
        <v>#DIV/0!</v>
      </c>
      <c r="Y145" s="84" t="e">
        <f t="shared" si="21"/>
        <v>#DIV/0!</v>
      </c>
      <c r="Z145" s="84" t="e">
        <f t="shared" si="21"/>
        <v>#DIV/0!</v>
      </c>
      <c r="AA145" s="84" t="e">
        <f t="shared" si="21"/>
        <v>#DIV/0!</v>
      </c>
      <c r="AB145" s="84" t="e">
        <f t="shared" si="21"/>
        <v>#DIV/0!</v>
      </c>
      <c r="AC145" s="84" t="e">
        <f t="shared" si="21"/>
        <v>#DIV/0!</v>
      </c>
      <c r="AD145" s="84" t="e">
        <f t="shared" si="21"/>
        <v>#DIV/0!</v>
      </c>
      <c r="AE145" s="84" t="e">
        <f t="shared" si="21"/>
        <v>#DIV/0!</v>
      </c>
      <c r="AF145" s="84" t="e">
        <f t="shared" si="21"/>
        <v>#DIV/0!</v>
      </c>
      <c r="AG145" s="84" t="e">
        <f t="shared" si="21"/>
        <v>#DIV/0!</v>
      </c>
      <c r="AH145" s="84" t="e">
        <f t="shared" si="21"/>
        <v>#DIV/0!</v>
      </c>
      <c r="AI145" s="84" t="e">
        <f t="shared" si="21"/>
        <v>#DIV/0!</v>
      </c>
      <c r="AJ145" s="84" t="e">
        <f t="shared" si="21"/>
        <v>#DIV/0!</v>
      </c>
    </row>
    <row r="146" spans="7:36" ht="15" customHeight="1" x14ac:dyDescent="0.2">
      <c r="G146" s="18"/>
      <c r="H146" s="18"/>
      <c r="I146" s="13"/>
      <c r="J146" s="13"/>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row>
    <row r="147" spans="7:36" ht="15" customHeight="1" x14ac:dyDescent="0.2">
      <c r="G147" s="18" t="s">
        <v>7</v>
      </c>
      <c r="H147" s="18"/>
      <c r="I147" s="13"/>
      <c r="J147" s="13"/>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row>
    <row r="148" spans="7:36" ht="15" customHeight="1" x14ac:dyDescent="0.2">
      <c r="G148" s="18" t="s">
        <v>8</v>
      </c>
      <c r="H148" s="18"/>
      <c r="I148" s="13"/>
      <c r="J148" s="13"/>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row>
    <row r="149" spans="7:36" ht="15" customHeight="1" x14ac:dyDescent="0.2">
      <c r="G149" s="18" t="s">
        <v>9</v>
      </c>
      <c r="H149" s="18"/>
      <c r="I149" s="13"/>
      <c r="J149" s="13"/>
      <c r="K149" s="84" t="e">
        <f>K222+K295</f>
        <v>#DIV/0!</v>
      </c>
      <c r="L149" s="84" t="e">
        <f t="shared" ref="L149:AJ149" si="22">L222+L295</f>
        <v>#DIV/0!</v>
      </c>
      <c r="M149" s="84" t="e">
        <f t="shared" si="22"/>
        <v>#DIV/0!</v>
      </c>
      <c r="N149" s="84" t="e">
        <f t="shared" si="22"/>
        <v>#DIV/0!</v>
      </c>
      <c r="O149" s="84" t="e">
        <f t="shared" si="22"/>
        <v>#DIV/0!</v>
      </c>
      <c r="P149" s="84" t="e">
        <f t="shared" si="22"/>
        <v>#DIV/0!</v>
      </c>
      <c r="Q149" s="84" t="e">
        <f t="shared" si="22"/>
        <v>#DIV/0!</v>
      </c>
      <c r="R149" s="84" t="e">
        <f t="shared" si="22"/>
        <v>#DIV/0!</v>
      </c>
      <c r="S149" s="84" t="e">
        <f t="shared" si="22"/>
        <v>#DIV/0!</v>
      </c>
      <c r="T149" s="84" t="e">
        <f t="shared" si="22"/>
        <v>#DIV/0!</v>
      </c>
      <c r="U149" s="84" t="e">
        <f t="shared" si="22"/>
        <v>#DIV/0!</v>
      </c>
      <c r="V149" s="84" t="e">
        <f t="shared" si="22"/>
        <v>#DIV/0!</v>
      </c>
      <c r="W149" s="84" t="e">
        <f t="shared" si="22"/>
        <v>#DIV/0!</v>
      </c>
      <c r="X149" s="84" t="e">
        <f t="shared" si="22"/>
        <v>#DIV/0!</v>
      </c>
      <c r="Y149" s="84" t="e">
        <f t="shared" si="22"/>
        <v>#DIV/0!</v>
      </c>
      <c r="Z149" s="84" t="e">
        <f t="shared" si="22"/>
        <v>#DIV/0!</v>
      </c>
      <c r="AA149" s="84" t="e">
        <f t="shared" si="22"/>
        <v>#DIV/0!</v>
      </c>
      <c r="AB149" s="84" t="e">
        <f t="shared" si="22"/>
        <v>#DIV/0!</v>
      </c>
      <c r="AC149" s="84" t="e">
        <f t="shared" si="22"/>
        <v>#DIV/0!</v>
      </c>
      <c r="AD149" s="84" t="e">
        <f t="shared" si="22"/>
        <v>#DIV/0!</v>
      </c>
      <c r="AE149" s="84" t="e">
        <f t="shared" si="22"/>
        <v>#DIV/0!</v>
      </c>
      <c r="AF149" s="84" t="e">
        <f t="shared" si="22"/>
        <v>#DIV/0!</v>
      </c>
      <c r="AG149" s="84" t="e">
        <f t="shared" si="22"/>
        <v>#DIV/0!</v>
      </c>
      <c r="AH149" s="84" t="e">
        <f t="shared" si="22"/>
        <v>#DIV/0!</v>
      </c>
      <c r="AI149" s="84" t="e">
        <f t="shared" si="22"/>
        <v>#DIV/0!</v>
      </c>
      <c r="AJ149" s="84" t="e">
        <f t="shared" si="22"/>
        <v>#DIV/0!</v>
      </c>
    </row>
    <row r="150" spans="7:36" ht="15" customHeight="1" x14ac:dyDescent="0.2">
      <c r="G150" s="18"/>
      <c r="H150" s="18"/>
      <c r="I150" s="13"/>
      <c r="J150" s="13"/>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row>
    <row r="151" spans="7:36" ht="15" customHeight="1" x14ac:dyDescent="0.2">
      <c r="G151" s="18" t="s">
        <v>10</v>
      </c>
      <c r="H151" s="18"/>
      <c r="I151" s="13"/>
      <c r="J151" s="13"/>
      <c r="K151" s="84">
        <f>IF(OR($AC$47=0,$AC$48=0),0,IF(K$70=$AC$43,$AC$42*K$87,IF(OR(AND($AC$43=0,K$70=$AC$43),AND(K$70&gt;=$AC$43+$AC$48,INT((K$70-$AC$43)/($AC$48))=(K$70-$AC$43)/($AC$48))),$AC$47*K$87,0)))</f>
        <v>0</v>
      </c>
      <c r="L151" s="84">
        <f t="shared" ref="L151:AJ151" si="23">IF(OR($AC$47=0,$AC$48=0),0,IF(L$70=$AC$43,$AC$42*L$87,IF(OR(AND($AC$43=0,L$70=$AC$43),AND(L$70&gt;=$AC$43+$AC$48,INT((L$70-$AC$43)/($AC$48))=(L$70-$AC$43)/($AC$48))),$AC$47*L$87,0)))</f>
        <v>0</v>
      </c>
      <c r="M151" s="84">
        <f t="shared" si="23"/>
        <v>0</v>
      </c>
      <c r="N151" s="84">
        <f t="shared" si="23"/>
        <v>0</v>
      </c>
      <c r="O151" s="84">
        <f t="shared" si="23"/>
        <v>0</v>
      </c>
      <c r="P151" s="84">
        <f t="shared" si="23"/>
        <v>0</v>
      </c>
      <c r="Q151" s="84">
        <f t="shared" si="23"/>
        <v>0</v>
      </c>
      <c r="R151" s="84">
        <f t="shared" si="23"/>
        <v>0</v>
      </c>
      <c r="S151" s="84">
        <f t="shared" si="23"/>
        <v>0</v>
      </c>
      <c r="T151" s="84">
        <f t="shared" si="23"/>
        <v>0</v>
      </c>
      <c r="U151" s="84">
        <f t="shared" si="23"/>
        <v>0</v>
      </c>
      <c r="V151" s="84">
        <f t="shared" si="23"/>
        <v>0</v>
      </c>
      <c r="W151" s="84">
        <f t="shared" si="23"/>
        <v>0</v>
      </c>
      <c r="X151" s="84">
        <f t="shared" si="23"/>
        <v>0</v>
      </c>
      <c r="Y151" s="84">
        <f t="shared" si="23"/>
        <v>0</v>
      </c>
      <c r="Z151" s="84">
        <f t="shared" si="23"/>
        <v>0</v>
      </c>
      <c r="AA151" s="84">
        <f t="shared" si="23"/>
        <v>0</v>
      </c>
      <c r="AB151" s="84">
        <f t="shared" si="23"/>
        <v>0</v>
      </c>
      <c r="AC151" s="84">
        <f t="shared" si="23"/>
        <v>0</v>
      </c>
      <c r="AD151" s="84">
        <f t="shared" si="23"/>
        <v>0</v>
      </c>
      <c r="AE151" s="84">
        <f t="shared" si="23"/>
        <v>0</v>
      </c>
      <c r="AF151" s="84">
        <f t="shared" si="23"/>
        <v>0</v>
      </c>
      <c r="AG151" s="84">
        <f t="shared" si="23"/>
        <v>0</v>
      </c>
      <c r="AH151" s="84">
        <f t="shared" si="23"/>
        <v>0</v>
      </c>
      <c r="AI151" s="84">
        <f t="shared" si="23"/>
        <v>0</v>
      </c>
      <c r="AJ151" s="84">
        <f t="shared" si="23"/>
        <v>0</v>
      </c>
    </row>
    <row r="152" spans="7:36" ht="15" customHeight="1" x14ac:dyDescent="0.2">
      <c r="G152" s="18" t="s">
        <v>11</v>
      </c>
      <c r="H152" s="18"/>
      <c r="I152" s="13"/>
      <c r="J152" s="13"/>
      <c r="K152" s="37">
        <f t="shared" ref="K152:AJ152" si="24">IF(K$70&lt;$AC$43,($K$45*K$87)-($K$46*K$87),($AC$45*K$87)-($AC$46*K$87))</f>
        <v>0</v>
      </c>
      <c r="L152" s="37">
        <f t="shared" si="24"/>
        <v>0</v>
      </c>
      <c r="M152" s="37">
        <f t="shared" si="24"/>
        <v>0</v>
      </c>
      <c r="N152" s="37">
        <f t="shared" si="24"/>
        <v>0</v>
      </c>
      <c r="O152" s="37">
        <f t="shared" si="24"/>
        <v>0</v>
      </c>
      <c r="P152" s="37">
        <f t="shared" si="24"/>
        <v>0</v>
      </c>
      <c r="Q152" s="37">
        <f t="shared" si="24"/>
        <v>0</v>
      </c>
      <c r="R152" s="37">
        <f t="shared" si="24"/>
        <v>0</v>
      </c>
      <c r="S152" s="37">
        <f t="shared" si="24"/>
        <v>0</v>
      </c>
      <c r="T152" s="37">
        <f t="shared" si="24"/>
        <v>0</v>
      </c>
      <c r="U152" s="37">
        <f t="shared" si="24"/>
        <v>0</v>
      </c>
      <c r="V152" s="37">
        <f t="shared" si="24"/>
        <v>0</v>
      </c>
      <c r="W152" s="37">
        <f t="shared" si="24"/>
        <v>0</v>
      </c>
      <c r="X152" s="37">
        <f t="shared" si="24"/>
        <v>0</v>
      </c>
      <c r="Y152" s="37">
        <f t="shared" si="24"/>
        <v>0</v>
      </c>
      <c r="Z152" s="37">
        <f t="shared" si="24"/>
        <v>0</v>
      </c>
      <c r="AA152" s="37">
        <f t="shared" si="24"/>
        <v>0</v>
      </c>
      <c r="AB152" s="37">
        <f t="shared" si="24"/>
        <v>0</v>
      </c>
      <c r="AC152" s="37">
        <f t="shared" si="24"/>
        <v>0</v>
      </c>
      <c r="AD152" s="37">
        <f t="shared" si="24"/>
        <v>0</v>
      </c>
      <c r="AE152" s="37">
        <f t="shared" si="24"/>
        <v>0</v>
      </c>
      <c r="AF152" s="37">
        <f t="shared" si="24"/>
        <v>0</v>
      </c>
      <c r="AG152" s="37">
        <f t="shared" si="24"/>
        <v>0</v>
      </c>
      <c r="AH152" s="37">
        <f t="shared" si="24"/>
        <v>0</v>
      </c>
      <c r="AI152" s="37">
        <f t="shared" si="24"/>
        <v>0</v>
      </c>
      <c r="AJ152" s="37">
        <f t="shared" si="24"/>
        <v>0</v>
      </c>
    </row>
    <row r="153" spans="7:36" ht="15" customHeight="1" x14ac:dyDescent="0.2">
      <c r="G153" s="18" t="s">
        <v>12</v>
      </c>
      <c r="H153" s="18"/>
      <c r="I153" s="13"/>
      <c r="J153" s="13"/>
      <c r="K153" s="84" t="e">
        <f>K226+K299</f>
        <v>#DIV/0!</v>
      </c>
      <c r="L153" s="84" t="e">
        <f t="shared" ref="L153:AJ154" si="25">L226+L299</f>
        <v>#DIV/0!</v>
      </c>
      <c r="M153" s="84" t="e">
        <f t="shared" si="25"/>
        <v>#DIV/0!</v>
      </c>
      <c r="N153" s="84" t="e">
        <f t="shared" si="25"/>
        <v>#DIV/0!</v>
      </c>
      <c r="O153" s="84" t="e">
        <f t="shared" si="25"/>
        <v>#DIV/0!</v>
      </c>
      <c r="P153" s="84" t="e">
        <f t="shared" si="25"/>
        <v>#DIV/0!</v>
      </c>
      <c r="Q153" s="84" t="e">
        <f t="shared" si="25"/>
        <v>#DIV/0!</v>
      </c>
      <c r="R153" s="84" t="e">
        <f t="shared" si="25"/>
        <v>#DIV/0!</v>
      </c>
      <c r="S153" s="84" t="e">
        <f t="shared" si="25"/>
        <v>#DIV/0!</v>
      </c>
      <c r="T153" s="84" t="e">
        <f t="shared" si="25"/>
        <v>#DIV/0!</v>
      </c>
      <c r="U153" s="84" t="e">
        <f t="shared" si="25"/>
        <v>#DIV/0!</v>
      </c>
      <c r="V153" s="84" t="e">
        <f t="shared" si="25"/>
        <v>#DIV/0!</v>
      </c>
      <c r="W153" s="84" t="e">
        <f t="shared" si="25"/>
        <v>#DIV/0!</v>
      </c>
      <c r="X153" s="84" t="e">
        <f t="shared" si="25"/>
        <v>#DIV/0!</v>
      </c>
      <c r="Y153" s="84" t="e">
        <f t="shared" si="25"/>
        <v>#DIV/0!</v>
      </c>
      <c r="Z153" s="84" t="e">
        <f t="shared" si="25"/>
        <v>#DIV/0!</v>
      </c>
      <c r="AA153" s="84" t="e">
        <f t="shared" si="25"/>
        <v>#DIV/0!</v>
      </c>
      <c r="AB153" s="84" t="e">
        <f t="shared" si="25"/>
        <v>#DIV/0!</v>
      </c>
      <c r="AC153" s="84" t="e">
        <f t="shared" si="25"/>
        <v>#DIV/0!</v>
      </c>
      <c r="AD153" s="84" t="e">
        <f t="shared" si="25"/>
        <v>#DIV/0!</v>
      </c>
      <c r="AE153" s="84" t="e">
        <f t="shared" si="25"/>
        <v>#DIV/0!</v>
      </c>
      <c r="AF153" s="84" t="e">
        <f t="shared" si="25"/>
        <v>#DIV/0!</v>
      </c>
      <c r="AG153" s="84" t="e">
        <f t="shared" si="25"/>
        <v>#DIV/0!</v>
      </c>
      <c r="AH153" s="84" t="e">
        <f t="shared" si="25"/>
        <v>#DIV/0!</v>
      </c>
      <c r="AI153" s="84" t="e">
        <f t="shared" si="25"/>
        <v>#DIV/0!</v>
      </c>
      <c r="AJ153" s="84" t="e">
        <f t="shared" si="25"/>
        <v>#DIV/0!</v>
      </c>
    </row>
    <row r="154" spans="7:36" ht="15" customHeight="1" x14ac:dyDescent="0.2">
      <c r="G154" s="18" t="s">
        <v>13</v>
      </c>
      <c r="H154" s="18"/>
      <c r="I154" s="13"/>
      <c r="J154" s="13"/>
      <c r="K154" s="84" t="e">
        <f>K227+K300</f>
        <v>#DIV/0!</v>
      </c>
      <c r="L154" s="84" t="e">
        <f t="shared" si="25"/>
        <v>#DIV/0!</v>
      </c>
      <c r="M154" s="84" t="e">
        <f t="shared" si="25"/>
        <v>#DIV/0!</v>
      </c>
      <c r="N154" s="84" t="e">
        <f t="shared" si="25"/>
        <v>#DIV/0!</v>
      </c>
      <c r="O154" s="84" t="e">
        <f t="shared" si="25"/>
        <v>#DIV/0!</v>
      </c>
      <c r="P154" s="84" t="e">
        <f t="shared" si="25"/>
        <v>#DIV/0!</v>
      </c>
      <c r="Q154" s="84" t="e">
        <f t="shared" si="25"/>
        <v>#DIV/0!</v>
      </c>
      <c r="R154" s="84" t="e">
        <f t="shared" si="25"/>
        <v>#DIV/0!</v>
      </c>
      <c r="S154" s="84" t="e">
        <f t="shared" si="25"/>
        <v>#DIV/0!</v>
      </c>
      <c r="T154" s="84" t="e">
        <f t="shared" si="25"/>
        <v>#DIV/0!</v>
      </c>
      <c r="U154" s="84" t="e">
        <f t="shared" si="25"/>
        <v>#DIV/0!</v>
      </c>
      <c r="V154" s="84" t="e">
        <f t="shared" si="25"/>
        <v>#DIV/0!</v>
      </c>
      <c r="W154" s="84" t="e">
        <f t="shared" si="25"/>
        <v>#DIV/0!</v>
      </c>
      <c r="X154" s="84" t="e">
        <f t="shared" si="25"/>
        <v>#DIV/0!</v>
      </c>
      <c r="Y154" s="84" t="e">
        <f t="shared" si="25"/>
        <v>#DIV/0!</v>
      </c>
      <c r="Z154" s="84" t="e">
        <f t="shared" si="25"/>
        <v>#DIV/0!</v>
      </c>
      <c r="AA154" s="84" t="e">
        <f t="shared" si="25"/>
        <v>#DIV/0!</v>
      </c>
      <c r="AB154" s="84" t="e">
        <f t="shared" si="25"/>
        <v>#DIV/0!</v>
      </c>
      <c r="AC154" s="84" t="e">
        <f t="shared" si="25"/>
        <v>#DIV/0!</v>
      </c>
      <c r="AD154" s="84" t="e">
        <f t="shared" si="25"/>
        <v>#DIV/0!</v>
      </c>
      <c r="AE154" s="84" t="e">
        <f t="shared" si="25"/>
        <v>#DIV/0!</v>
      </c>
      <c r="AF154" s="84" t="e">
        <f t="shared" si="25"/>
        <v>#DIV/0!</v>
      </c>
      <c r="AG154" s="84" t="e">
        <f t="shared" si="25"/>
        <v>#DIV/0!</v>
      </c>
      <c r="AH154" s="84" t="e">
        <f t="shared" si="25"/>
        <v>#DIV/0!</v>
      </c>
      <c r="AI154" s="84" t="e">
        <f t="shared" si="25"/>
        <v>#DIV/0!</v>
      </c>
      <c r="AJ154" s="84" t="e">
        <f t="shared" si="25"/>
        <v>#DIV/0!</v>
      </c>
    </row>
    <row r="155" spans="7:36" ht="15" customHeight="1" x14ac:dyDescent="0.2">
      <c r="G155" s="18"/>
      <c r="H155" s="18"/>
      <c r="I155" s="13"/>
      <c r="J155" s="13"/>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row>
    <row r="156" spans="7:36" ht="15" customHeight="1" x14ac:dyDescent="0.2">
      <c r="G156" s="18" t="s">
        <v>14</v>
      </c>
      <c r="H156" s="18"/>
      <c r="I156" s="13"/>
      <c r="J156" s="13"/>
      <c r="K156" s="37" t="e">
        <f>SUM(K151:K154)</f>
        <v>#DIV/0!</v>
      </c>
      <c r="L156" s="37" t="e">
        <f t="shared" ref="L156:AH156" si="26">SUM(L151:L154)</f>
        <v>#DIV/0!</v>
      </c>
      <c r="M156" s="37" t="e">
        <f t="shared" si="26"/>
        <v>#DIV/0!</v>
      </c>
      <c r="N156" s="37" t="e">
        <f t="shared" si="26"/>
        <v>#DIV/0!</v>
      </c>
      <c r="O156" s="37" t="e">
        <f t="shared" si="26"/>
        <v>#DIV/0!</v>
      </c>
      <c r="P156" s="37" t="e">
        <f t="shared" si="26"/>
        <v>#DIV/0!</v>
      </c>
      <c r="Q156" s="37" t="e">
        <f t="shared" si="26"/>
        <v>#DIV/0!</v>
      </c>
      <c r="R156" s="37" t="e">
        <f t="shared" si="26"/>
        <v>#DIV/0!</v>
      </c>
      <c r="S156" s="37" t="e">
        <f t="shared" si="26"/>
        <v>#DIV/0!</v>
      </c>
      <c r="T156" s="37" t="e">
        <f t="shared" si="26"/>
        <v>#DIV/0!</v>
      </c>
      <c r="U156" s="37" t="e">
        <f t="shared" si="26"/>
        <v>#DIV/0!</v>
      </c>
      <c r="V156" s="37" t="e">
        <f t="shared" si="26"/>
        <v>#DIV/0!</v>
      </c>
      <c r="W156" s="37" t="e">
        <f t="shared" si="26"/>
        <v>#DIV/0!</v>
      </c>
      <c r="X156" s="37" t="e">
        <f t="shared" si="26"/>
        <v>#DIV/0!</v>
      </c>
      <c r="Y156" s="37" t="e">
        <f t="shared" si="26"/>
        <v>#DIV/0!</v>
      </c>
      <c r="Z156" s="37" t="e">
        <f t="shared" si="26"/>
        <v>#DIV/0!</v>
      </c>
      <c r="AA156" s="37" t="e">
        <f t="shared" si="26"/>
        <v>#DIV/0!</v>
      </c>
      <c r="AB156" s="37" t="e">
        <f t="shared" si="26"/>
        <v>#DIV/0!</v>
      </c>
      <c r="AC156" s="37" t="e">
        <f t="shared" si="26"/>
        <v>#DIV/0!</v>
      </c>
      <c r="AD156" s="37" t="e">
        <f t="shared" si="26"/>
        <v>#DIV/0!</v>
      </c>
      <c r="AE156" s="37" t="e">
        <f t="shared" si="26"/>
        <v>#DIV/0!</v>
      </c>
      <c r="AF156" s="37" t="e">
        <f t="shared" si="26"/>
        <v>#DIV/0!</v>
      </c>
      <c r="AG156" s="37" t="e">
        <f t="shared" si="26"/>
        <v>#DIV/0!</v>
      </c>
      <c r="AH156" s="37" t="e">
        <f t="shared" si="26"/>
        <v>#DIV/0!</v>
      </c>
      <c r="AI156" s="37" t="e">
        <f>SUM(AI151:AI154)</f>
        <v>#DIV/0!</v>
      </c>
      <c r="AJ156" s="37" t="e">
        <f>SUM(AJ151:AJ154)</f>
        <v>#DIV/0!</v>
      </c>
    </row>
    <row r="157" spans="7:36" ht="15" customHeight="1" x14ac:dyDescent="0.2">
      <c r="G157" s="18" t="s">
        <v>435</v>
      </c>
      <c r="H157" s="18"/>
      <c r="I157" s="13"/>
      <c r="J157" s="13"/>
      <c r="K157" s="37" t="e">
        <f>K156</f>
        <v>#DIV/0!</v>
      </c>
      <c r="L157" s="37" t="e">
        <f t="shared" ref="L157:AJ157" si="27">K157+L156</f>
        <v>#DIV/0!</v>
      </c>
      <c r="M157" s="37" t="e">
        <f t="shared" si="27"/>
        <v>#DIV/0!</v>
      </c>
      <c r="N157" s="37" t="e">
        <f t="shared" si="27"/>
        <v>#DIV/0!</v>
      </c>
      <c r="O157" s="37" t="e">
        <f t="shared" si="27"/>
        <v>#DIV/0!</v>
      </c>
      <c r="P157" s="37" t="e">
        <f t="shared" si="27"/>
        <v>#DIV/0!</v>
      </c>
      <c r="Q157" s="37" t="e">
        <f t="shared" si="27"/>
        <v>#DIV/0!</v>
      </c>
      <c r="R157" s="37" t="e">
        <f t="shared" si="27"/>
        <v>#DIV/0!</v>
      </c>
      <c r="S157" s="37" t="e">
        <f t="shared" si="27"/>
        <v>#DIV/0!</v>
      </c>
      <c r="T157" s="37" t="e">
        <f t="shared" si="27"/>
        <v>#DIV/0!</v>
      </c>
      <c r="U157" s="37" t="e">
        <f t="shared" si="27"/>
        <v>#DIV/0!</v>
      </c>
      <c r="V157" s="37" t="e">
        <f t="shared" si="27"/>
        <v>#DIV/0!</v>
      </c>
      <c r="W157" s="37" t="e">
        <f t="shared" si="27"/>
        <v>#DIV/0!</v>
      </c>
      <c r="X157" s="37" t="e">
        <f t="shared" si="27"/>
        <v>#DIV/0!</v>
      </c>
      <c r="Y157" s="37" t="e">
        <f t="shared" si="27"/>
        <v>#DIV/0!</v>
      </c>
      <c r="Z157" s="37" t="e">
        <f t="shared" si="27"/>
        <v>#DIV/0!</v>
      </c>
      <c r="AA157" s="37" t="e">
        <f t="shared" si="27"/>
        <v>#DIV/0!</v>
      </c>
      <c r="AB157" s="37" t="e">
        <f t="shared" si="27"/>
        <v>#DIV/0!</v>
      </c>
      <c r="AC157" s="37" t="e">
        <f t="shared" si="27"/>
        <v>#DIV/0!</v>
      </c>
      <c r="AD157" s="37" t="e">
        <f t="shared" si="27"/>
        <v>#DIV/0!</v>
      </c>
      <c r="AE157" s="37" t="e">
        <f t="shared" si="27"/>
        <v>#DIV/0!</v>
      </c>
      <c r="AF157" s="37" t="e">
        <f t="shared" si="27"/>
        <v>#DIV/0!</v>
      </c>
      <c r="AG157" s="37" t="e">
        <f t="shared" si="27"/>
        <v>#DIV/0!</v>
      </c>
      <c r="AH157" s="37" t="e">
        <f t="shared" si="27"/>
        <v>#DIV/0!</v>
      </c>
      <c r="AI157" s="37" t="e">
        <f t="shared" si="27"/>
        <v>#DIV/0!</v>
      </c>
      <c r="AJ157" s="37" t="e">
        <f t="shared" si="27"/>
        <v>#DIV/0!</v>
      </c>
    </row>
    <row r="158" spans="7:36" ht="15" customHeight="1" x14ac:dyDescent="0.2">
      <c r="G158" s="18"/>
      <c r="H158" s="18"/>
      <c r="I158" s="13"/>
      <c r="J158" s="13"/>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row>
    <row r="159" spans="7:36" ht="15" customHeight="1" x14ac:dyDescent="0.2">
      <c r="G159" s="18" t="s">
        <v>17</v>
      </c>
      <c r="H159" s="18"/>
      <c r="I159" s="13"/>
      <c r="J159" s="13"/>
      <c r="K159" s="37" t="e">
        <f>K156/(((Data!$P$186/100)+1)^K$70)</f>
        <v>#DIV/0!</v>
      </c>
      <c r="L159" s="37" t="e">
        <f>L156/(((Data!$P$186/100)+1)^L$70)</f>
        <v>#DIV/0!</v>
      </c>
      <c r="M159" s="37" t="e">
        <f>M156/(((Data!$P$186/100)+1)^M$70)</f>
        <v>#DIV/0!</v>
      </c>
      <c r="N159" s="37" t="e">
        <f>N156/(((Data!$P$186/100)+1)^N$70)</f>
        <v>#DIV/0!</v>
      </c>
      <c r="O159" s="37" t="e">
        <f>O156/(((Data!$P$186/100)+1)^O$70)</f>
        <v>#DIV/0!</v>
      </c>
      <c r="P159" s="37" t="e">
        <f>P156/(((Data!$P$186/100)+1)^P$70)</f>
        <v>#DIV/0!</v>
      </c>
      <c r="Q159" s="37" t="e">
        <f>Q156/(((Data!$P$186/100)+1)^Q$70)</f>
        <v>#DIV/0!</v>
      </c>
      <c r="R159" s="37" t="e">
        <f>R156/(((Data!$P$186/100)+1)^R$70)</f>
        <v>#DIV/0!</v>
      </c>
      <c r="S159" s="37" t="e">
        <f>S156/(((Data!$P$186/100)+1)^S$70)</f>
        <v>#DIV/0!</v>
      </c>
      <c r="T159" s="37" t="e">
        <f>T156/(((Data!$P$186/100)+1)^T$70)</f>
        <v>#DIV/0!</v>
      </c>
      <c r="U159" s="37" t="e">
        <f>U156/(((Data!$P$186/100)+1)^U$70)</f>
        <v>#DIV/0!</v>
      </c>
      <c r="V159" s="37" t="e">
        <f>V156/(((Data!$P$186/100)+1)^V$70)</f>
        <v>#DIV/0!</v>
      </c>
      <c r="W159" s="37" t="e">
        <f>W156/(((Data!$P$186/100)+1)^W$70)</f>
        <v>#DIV/0!</v>
      </c>
      <c r="X159" s="37" t="e">
        <f>X156/(((Data!$P$186/100)+1)^X$70)</f>
        <v>#DIV/0!</v>
      </c>
      <c r="Y159" s="37" t="e">
        <f>Y156/(((Data!$P$186/100)+1)^Y$70)</f>
        <v>#DIV/0!</v>
      </c>
      <c r="Z159" s="37" t="e">
        <f>Z156/(((Data!$P$186/100)+1)^Z$70)</f>
        <v>#DIV/0!</v>
      </c>
      <c r="AA159" s="37" t="e">
        <f>AA156/(((Data!$P$186/100)+1)^AA$70)</f>
        <v>#DIV/0!</v>
      </c>
      <c r="AB159" s="37" t="e">
        <f>AB156/(((Data!$P$186/100)+1)^AB$70)</f>
        <v>#DIV/0!</v>
      </c>
      <c r="AC159" s="37" t="e">
        <f>AC156/(((Data!$P$186/100)+1)^AC$70)</f>
        <v>#DIV/0!</v>
      </c>
      <c r="AD159" s="37" t="e">
        <f>AD156/(((Data!$P$186/100)+1)^AD$70)</f>
        <v>#DIV/0!</v>
      </c>
      <c r="AE159" s="37" t="e">
        <f>AE156/(((Data!$P$186/100)+1)^AE$70)</f>
        <v>#DIV/0!</v>
      </c>
      <c r="AF159" s="37" t="e">
        <f>AF156/(((Data!$P$186/100)+1)^AF$70)</f>
        <v>#DIV/0!</v>
      </c>
      <c r="AG159" s="37" t="e">
        <f>AG156/(((Data!$P$186/100)+1)^AG$70)</f>
        <v>#DIV/0!</v>
      </c>
      <c r="AH159" s="37" t="e">
        <f>AH156/(((Data!$P$186/100)+1)^AH$70)</f>
        <v>#DIV/0!</v>
      </c>
      <c r="AI159" s="37" t="e">
        <f>AI156/(((Data!$P$186/100)+1)^AI$70)</f>
        <v>#DIV/0!</v>
      </c>
      <c r="AJ159" s="37" t="e">
        <f>AJ156/(((Data!$P$186/100)+1)^AJ$70)</f>
        <v>#DIV/0!</v>
      </c>
    </row>
    <row r="160" spans="7:36" ht="15" customHeight="1" x14ac:dyDescent="0.2">
      <c r="G160" s="16" t="s">
        <v>185</v>
      </c>
      <c r="H160" s="16"/>
      <c r="I160" s="13"/>
      <c r="J160" s="13"/>
      <c r="K160" s="38" t="e">
        <f>K159</f>
        <v>#DIV/0!</v>
      </c>
      <c r="L160" s="38" t="e">
        <f t="shared" ref="L160:AJ160" si="28">K160+L159</f>
        <v>#DIV/0!</v>
      </c>
      <c r="M160" s="38" t="e">
        <f t="shared" si="28"/>
        <v>#DIV/0!</v>
      </c>
      <c r="N160" s="38" t="e">
        <f t="shared" si="28"/>
        <v>#DIV/0!</v>
      </c>
      <c r="O160" s="38" t="e">
        <f t="shared" si="28"/>
        <v>#DIV/0!</v>
      </c>
      <c r="P160" s="38" t="e">
        <f t="shared" si="28"/>
        <v>#DIV/0!</v>
      </c>
      <c r="Q160" s="38" t="e">
        <f t="shared" si="28"/>
        <v>#DIV/0!</v>
      </c>
      <c r="R160" s="38" t="e">
        <f t="shared" si="28"/>
        <v>#DIV/0!</v>
      </c>
      <c r="S160" s="38" t="e">
        <f t="shared" si="28"/>
        <v>#DIV/0!</v>
      </c>
      <c r="T160" s="38" t="e">
        <f t="shared" si="28"/>
        <v>#DIV/0!</v>
      </c>
      <c r="U160" s="38" t="e">
        <f t="shared" si="28"/>
        <v>#DIV/0!</v>
      </c>
      <c r="V160" s="38" t="e">
        <f t="shared" si="28"/>
        <v>#DIV/0!</v>
      </c>
      <c r="W160" s="38" t="e">
        <f t="shared" si="28"/>
        <v>#DIV/0!</v>
      </c>
      <c r="X160" s="38" t="e">
        <f t="shared" si="28"/>
        <v>#DIV/0!</v>
      </c>
      <c r="Y160" s="38" t="e">
        <f t="shared" si="28"/>
        <v>#DIV/0!</v>
      </c>
      <c r="Z160" s="38" t="e">
        <f t="shared" si="28"/>
        <v>#DIV/0!</v>
      </c>
      <c r="AA160" s="38" t="e">
        <f t="shared" si="28"/>
        <v>#DIV/0!</v>
      </c>
      <c r="AB160" s="38" t="e">
        <f t="shared" si="28"/>
        <v>#DIV/0!</v>
      </c>
      <c r="AC160" s="38" t="e">
        <f t="shared" si="28"/>
        <v>#DIV/0!</v>
      </c>
      <c r="AD160" s="38" t="e">
        <f t="shared" si="28"/>
        <v>#DIV/0!</v>
      </c>
      <c r="AE160" s="38" t="e">
        <f t="shared" si="28"/>
        <v>#DIV/0!</v>
      </c>
      <c r="AF160" s="38" t="e">
        <f t="shared" si="28"/>
        <v>#DIV/0!</v>
      </c>
      <c r="AG160" s="38" t="e">
        <f t="shared" si="28"/>
        <v>#DIV/0!</v>
      </c>
      <c r="AH160" s="38" t="e">
        <f t="shared" si="28"/>
        <v>#DIV/0!</v>
      </c>
      <c r="AI160" s="38" t="e">
        <f t="shared" si="28"/>
        <v>#DIV/0!</v>
      </c>
      <c r="AJ160" s="38" t="e">
        <f t="shared" si="28"/>
        <v>#DIV/0!</v>
      </c>
    </row>
    <row r="163" spans="7:36" ht="15" customHeight="1" x14ac:dyDescent="0.2">
      <c r="G163" s="489" t="s">
        <v>306</v>
      </c>
      <c r="H163" s="14"/>
      <c r="I163" s="13"/>
      <c r="J163" s="13"/>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row>
    <row r="164" spans="7:36" ht="15" customHeight="1" x14ac:dyDescent="0.2">
      <c r="G164" s="14"/>
      <c r="H164" s="14"/>
      <c r="I164" s="13"/>
      <c r="J164" s="13"/>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row>
    <row r="165" spans="7:36" ht="15" customHeight="1" x14ac:dyDescent="0.2">
      <c r="G165" s="14" t="s">
        <v>2</v>
      </c>
      <c r="H165" s="60"/>
      <c r="I165" s="60"/>
      <c r="J165" s="60"/>
      <c r="K165" s="39">
        <f t="shared" ref="K165:AJ165" si="29">VLOOKUP($I$18,$G$75:$AJ$79,K$70+5,FALSE)</f>
        <v>0.184</v>
      </c>
      <c r="L165" s="39">
        <f t="shared" si="29"/>
        <v>0.184</v>
      </c>
      <c r="M165" s="39">
        <f t="shared" si="29"/>
        <v>0.184</v>
      </c>
      <c r="N165" s="39">
        <f t="shared" si="29"/>
        <v>0.184</v>
      </c>
      <c r="O165" s="39">
        <f t="shared" si="29"/>
        <v>0.184</v>
      </c>
      <c r="P165" s="39">
        <f t="shared" si="29"/>
        <v>0.184</v>
      </c>
      <c r="Q165" s="39">
        <f t="shared" si="29"/>
        <v>0.184</v>
      </c>
      <c r="R165" s="39">
        <f t="shared" si="29"/>
        <v>0.184</v>
      </c>
      <c r="S165" s="39">
        <f t="shared" si="29"/>
        <v>0.184</v>
      </c>
      <c r="T165" s="39">
        <f t="shared" si="29"/>
        <v>0.184</v>
      </c>
      <c r="U165" s="39">
        <f t="shared" si="29"/>
        <v>0.184</v>
      </c>
      <c r="V165" s="39">
        <f t="shared" si="29"/>
        <v>0.184</v>
      </c>
      <c r="W165" s="39">
        <f t="shared" si="29"/>
        <v>0.184</v>
      </c>
      <c r="X165" s="39">
        <f t="shared" si="29"/>
        <v>0.184</v>
      </c>
      <c r="Y165" s="39">
        <f t="shared" si="29"/>
        <v>0.184</v>
      </c>
      <c r="Z165" s="39">
        <f t="shared" si="29"/>
        <v>0.184</v>
      </c>
      <c r="AA165" s="39">
        <f t="shared" si="29"/>
        <v>0.184</v>
      </c>
      <c r="AB165" s="39">
        <f t="shared" si="29"/>
        <v>0.184</v>
      </c>
      <c r="AC165" s="39">
        <f t="shared" si="29"/>
        <v>0.184</v>
      </c>
      <c r="AD165" s="39">
        <f t="shared" si="29"/>
        <v>0.184</v>
      </c>
      <c r="AE165" s="39">
        <f t="shared" si="29"/>
        <v>0.184</v>
      </c>
      <c r="AF165" s="39">
        <f t="shared" si="29"/>
        <v>0.184</v>
      </c>
      <c r="AG165" s="39">
        <f t="shared" si="29"/>
        <v>0.184</v>
      </c>
      <c r="AH165" s="39">
        <f t="shared" si="29"/>
        <v>0.184</v>
      </c>
      <c r="AI165" s="39">
        <f t="shared" si="29"/>
        <v>0.184</v>
      </c>
      <c r="AJ165" s="39">
        <f t="shared" si="29"/>
        <v>0.184</v>
      </c>
    </row>
    <row r="166" spans="7:36" ht="15" customHeight="1" x14ac:dyDescent="0.2">
      <c r="G166" s="14" t="s">
        <v>1</v>
      </c>
      <c r="H166" s="60"/>
      <c r="I166" s="60"/>
      <c r="J166" s="60"/>
      <c r="K166" s="39">
        <f t="shared" ref="K166:AJ166" si="30">VLOOKUP($I$18,$G$81:$AJ$85,K$70+5,FALSE)</f>
        <v>0.09</v>
      </c>
      <c r="L166" s="39">
        <f t="shared" si="30"/>
        <v>9.5399999999999999E-2</v>
      </c>
      <c r="M166" s="39">
        <f t="shared" si="30"/>
        <v>0.10112400000000001</v>
      </c>
      <c r="N166" s="39">
        <f t="shared" si="30"/>
        <v>0.10719144000000001</v>
      </c>
      <c r="O166" s="39">
        <f t="shared" si="30"/>
        <v>0.11362292640000002</v>
      </c>
      <c r="P166" s="39">
        <f t="shared" si="30"/>
        <v>0.12044030198400002</v>
      </c>
      <c r="Q166" s="39">
        <f t="shared" si="30"/>
        <v>0.12766672010304003</v>
      </c>
      <c r="R166" s="39">
        <f t="shared" si="30"/>
        <v>0.13532672330922244</v>
      </c>
      <c r="S166" s="39">
        <f t="shared" si="30"/>
        <v>0.1434463267077758</v>
      </c>
      <c r="T166" s="39">
        <f t="shared" si="30"/>
        <v>0.15205310631024235</v>
      </c>
      <c r="U166" s="39">
        <f t="shared" si="30"/>
        <v>0.16117629268885691</v>
      </c>
      <c r="V166" s="39">
        <f t="shared" si="30"/>
        <v>0.17084687025018833</v>
      </c>
      <c r="W166" s="39">
        <f t="shared" si="30"/>
        <v>0.18109768246519964</v>
      </c>
      <c r="X166" s="39">
        <f t="shared" si="30"/>
        <v>0.19196354341311161</v>
      </c>
      <c r="Y166" s="39">
        <f t="shared" si="30"/>
        <v>0.20348135601789832</v>
      </c>
      <c r="Z166" s="39">
        <f t="shared" si="30"/>
        <v>0.21569023737897222</v>
      </c>
      <c r="AA166" s="39">
        <f t="shared" si="30"/>
        <v>0.22863165162171056</v>
      </c>
      <c r="AB166" s="39">
        <f t="shared" si="30"/>
        <v>0.24234955071901321</v>
      </c>
      <c r="AC166" s="39">
        <f t="shared" si="30"/>
        <v>0.25689052376215399</v>
      </c>
      <c r="AD166" s="39">
        <f t="shared" si="30"/>
        <v>0.27230395518788325</v>
      </c>
      <c r="AE166" s="39">
        <f t="shared" si="30"/>
        <v>0.28864219249915624</v>
      </c>
      <c r="AF166" s="39">
        <f t="shared" si="30"/>
        <v>0.30596072404910563</v>
      </c>
      <c r="AG166" s="39">
        <f t="shared" si="30"/>
        <v>0.32431836749205201</v>
      </c>
      <c r="AH166" s="39">
        <f t="shared" si="30"/>
        <v>0.34377746954157512</v>
      </c>
      <c r="AI166" s="39">
        <f t="shared" si="30"/>
        <v>0.36440411771406966</v>
      </c>
      <c r="AJ166" s="39">
        <f t="shared" si="30"/>
        <v>0.38626836477691384</v>
      </c>
    </row>
    <row r="167" spans="7:36" ht="15" customHeight="1" x14ac:dyDescent="0.2">
      <c r="G167" s="60"/>
      <c r="H167" s="60"/>
      <c r="I167" s="60"/>
      <c r="J167" s="60"/>
      <c r="K167" s="60"/>
      <c r="L167" s="60"/>
      <c r="M167" s="60"/>
      <c r="N167" s="60"/>
      <c r="O167" s="60"/>
      <c r="P167" s="60"/>
      <c r="Q167" s="60"/>
      <c r="R167" s="61"/>
      <c r="S167" s="60"/>
      <c r="T167" s="60"/>
      <c r="U167" s="60"/>
      <c r="V167" s="60"/>
      <c r="W167" s="60"/>
      <c r="X167" s="60"/>
      <c r="Y167" s="60"/>
      <c r="Z167" s="60"/>
      <c r="AA167" s="60"/>
      <c r="AB167" s="60"/>
      <c r="AC167" s="60"/>
      <c r="AD167" s="60"/>
      <c r="AE167" s="60"/>
      <c r="AF167" s="60"/>
      <c r="AG167" s="60"/>
      <c r="AH167" s="60"/>
      <c r="AI167" s="60"/>
      <c r="AJ167" s="60"/>
    </row>
    <row r="168" spans="7:36" ht="15" customHeight="1" x14ac:dyDescent="0.2">
      <c r="G168" s="14" t="s">
        <v>4</v>
      </c>
      <c r="H168" s="14"/>
      <c r="I168" s="13"/>
      <c r="J168" s="13"/>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row>
    <row r="169" spans="7:36" ht="15" customHeight="1" x14ac:dyDescent="0.2">
      <c r="G169" s="14" t="s">
        <v>5</v>
      </c>
      <c r="H169" s="14"/>
      <c r="I169" s="13"/>
      <c r="J169" s="13"/>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row>
    <row r="170" spans="7:36" ht="15" customHeight="1" x14ac:dyDescent="0.2">
      <c r="G170" s="14" t="s">
        <v>6</v>
      </c>
      <c r="H170" s="14"/>
      <c r="I170" s="13"/>
      <c r="J170" s="13"/>
      <c r="K170" s="75">
        <f>$K$13</f>
        <v>0</v>
      </c>
      <c r="L170" s="75">
        <f t="shared" ref="L170:AJ170" si="31">$K$13</f>
        <v>0</v>
      </c>
      <c r="M170" s="75">
        <f t="shared" si="31"/>
        <v>0</v>
      </c>
      <c r="N170" s="75">
        <f t="shared" si="31"/>
        <v>0</v>
      </c>
      <c r="O170" s="75">
        <f t="shared" si="31"/>
        <v>0</v>
      </c>
      <c r="P170" s="75">
        <f t="shared" si="31"/>
        <v>0</v>
      </c>
      <c r="Q170" s="75">
        <f t="shared" si="31"/>
        <v>0</v>
      </c>
      <c r="R170" s="75">
        <f t="shared" si="31"/>
        <v>0</v>
      </c>
      <c r="S170" s="75">
        <f t="shared" si="31"/>
        <v>0</v>
      </c>
      <c r="T170" s="75">
        <f t="shared" si="31"/>
        <v>0</v>
      </c>
      <c r="U170" s="75">
        <f t="shared" si="31"/>
        <v>0</v>
      </c>
      <c r="V170" s="75">
        <f t="shared" si="31"/>
        <v>0</v>
      </c>
      <c r="W170" s="75">
        <f t="shared" si="31"/>
        <v>0</v>
      </c>
      <c r="X170" s="75">
        <f t="shared" si="31"/>
        <v>0</v>
      </c>
      <c r="Y170" s="75">
        <f t="shared" si="31"/>
        <v>0</v>
      </c>
      <c r="Z170" s="75">
        <f t="shared" si="31"/>
        <v>0</v>
      </c>
      <c r="AA170" s="75">
        <f t="shared" si="31"/>
        <v>0</v>
      </c>
      <c r="AB170" s="75">
        <f t="shared" si="31"/>
        <v>0</v>
      </c>
      <c r="AC170" s="75">
        <f t="shared" si="31"/>
        <v>0</v>
      </c>
      <c r="AD170" s="75">
        <f t="shared" si="31"/>
        <v>0</v>
      </c>
      <c r="AE170" s="75">
        <f t="shared" si="31"/>
        <v>0</v>
      </c>
      <c r="AF170" s="75">
        <f t="shared" si="31"/>
        <v>0</v>
      </c>
      <c r="AG170" s="75">
        <f t="shared" si="31"/>
        <v>0</v>
      </c>
      <c r="AH170" s="75">
        <f t="shared" si="31"/>
        <v>0</v>
      </c>
      <c r="AI170" s="75">
        <f t="shared" si="31"/>
        <v>0</v>
      </c>
      <c r="AJ170" s="75">
        <f t="shared" si="31"/>
        <v>0</v>
      </c>
    </row>
    <row r="171" spans="7:36" ht="15" customHeight="1" x14ac:dyDescent="0.2">
      <c r="G171" s="14"/>
      <c r="H171" s="14"/>
      <c r="I171" s="13"/>
      <c r="J171" s="13"/>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row>
    <row r="172" spans="7:36" ht="15" customHeight="1" x14ac:dyDescent="0.2">
      <c r="G172" s="14" t="s">
        <v>7</v>
      </c>
      <c r="H172" s="14"/>
      <c r="I172" s="13"/>
      <c r="J172" s="13"/>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row>
    <row r="173" spans="7:36" ht="15" customHeight="1" x14ac:dyDescent="0.2">
      <c r="G173" s="14" t="s">
        <v>8</v>
      </c>
      <c r="H173" s="14"/>
      <c r="I173" s="13"/>
      <c r="J173" s="13"/>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row>
    <row r="174" spans="7:36" ht="15" customHeight="1" x14ac:dyDescent="0.2">
      <c r="G174" s="14" t="s">
        <v>9</v>
      </c>
      <c r="H174" s="14"/>
      <c r="I174" s="13"/>
      <c r="J174" s="13"/>
      <c r="K174" s="31">
        <f>K165*K170</f>
        <v>0</v>
      </c>
      <c r="L174" s="31">
        <f t="shared" ref="L174:AJ174" si="32">L165*L170</f>
        <v>0</v>
      </c>
      <c r="M174" s="31">
        <f t="shared" si="32"/>
        <v>0</v>
      </c>
      <c r="N174" s="31">
        <f t="shared" si="32"/>
        <v>0</v>
      </c>
      <c r="O174" s="31">
        <f t="shared" si="32"/>
        <v>0</v>
      </c>
      <c r="P174" s="31">
        <f t="shared" si="32"/>
        <v>0</v>
      </c>
      <c r="Q174" s="31">
        <f t="shared" si="32"/>
        <v>0</v>
      </c>
      <c r="R174" s="31">
        <f t="shared" si="32"/>
        <v>0</v>
      </c>
      <c r="S174" s="31">
        <f t="shared" si="32"/>
        <v>0</v>
      </c>
      <c r="T174" s="31">
        <f t="shared" si="32"/>
        <v>0</v>
      </c>
      <c r="U174" s="31">
        <f t="shared" si="32"/>
        <v>0</v>
      </c>
      <c r="V174" s="31">
        <f t="shared" si="32"/>
        <v>0</v>
      </c>
      <c r="W174" s="31">
        <f t="shared" si="32"/>
        <v>0</v>
      </c>
      <c r="X174" s="31">
        <f t="shared" si="32"/>
        <v>0</v>
      </c>
      <c r="Y174" s="31">
        <f t="shared" si="32"/>
        <v>0</v>
      </c>
      <c r="Z174" s="31">
        <f t="shared" si="32"/>
        <v>0</v>
      </c>
      <c r="AA174" s="31">
        <f t="shared" si="32"/>
        <v>0</v>
      </c>
      <c r="AB174" s="31">
        <f t="shared" si="32"/>
        <v>0</v>
      </c>
      <c r="AC174" s="31">
        <f t="shared" si="32"/>
        <v>0</v>
      </c>
      <c r="AD174" s="31">
        <f t="shared" si="32"/>
        <v>0</v>
      </c>
      <c r="AE174" s="31">
        <f t="shared" si="32"/>
        <v>0</v>
      </c>
      <c r="AF174" s="31">
        <f t="shared" si="32"/>
        <v>0</v>
      </c>
      <c r="AG174" s="31">
        <f t="shared" si="32"/>
        <v>0</v>
      </c>
      <c r="AH174" s="31">
        <f t="shared" si="32"/>
        <v>0</v>
      </c>
      <c r="AI174" s="31">
        <f t="shared" si="32"/>
        <v>0</v>
      </c>
      <c r="AJ174" s="31">
        <f t="shared" si="32"/>
        <v>0</v>
      </c>
    </row>
    <row r="175" spans="7:36" ht="15" customHeight="1" x14ac:dyDescent="0.2">
      <c r="G175" s="14"/>
      <c r="H175" s="14"/>
      <c r="I175" s="13"/>
      <c r="J175" s="13"/>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row>
    <row r="176" spans="7:36" ht="15" customHeight="1" x14ac:dyDescent="0.2">
      <c r="G176" s="14" t="s">
        <v>10</v>
      </c>
      <c r="H176" s="14"/>
      <c r="I176" s="13"/>
      <c r="J176" s="13"/>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row>
    <row r="177" spans="7:36" ht="15" customHeight="1" x14ac:dyDescent="0.2">
      <c r="G177" s="14" t="s">
        <v>11</v>
      </c>
      <c r="H177" s="14"/>
      <c r="I177" s="13"/>
      <c r="J177" s="13"/>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row>
    <row r="178" spans="7:36" ht="15" customHeight="1" x14ac:dyDescent="0.2">
      <c r="G178" s="14" t="s">
        <v>12</v>
      </c>
      <c r="H178" s="14"/>
      <c r="I178" s="13"/>
      <c r="J178" s="13"/>
      <c r="K178" s="31">
        <f>K$166*K170</f>
        <v>0</v>
      </c>
      <c r="L178" s="31">
        <f t="shared" ref="L178:AJ178" si="33">L$166*L170</f>
        <v>0</v>
      </c>
      <c r="M178" s="31">
        <f t="shared" si="33"/>
        <v>0</v>
      </c>
      <c r="N178" s="31">
        <f t="shared" si="33"/>
        <v>0</v>
      </c>
      <c r="O178" s="31">
        <f t="shared" si="33"/>
        <v>0</v>
      </c>
      <c r="P178" s="31">
        <f t="shared" si="33"/>
        <v>0</v>
      </c>
      <c r="Q178" s="31">
        <f t="shared" si="33"/>
        <v>0</v>
      </c>
      <c r="R178" s="31">
        <f t="shared" si="33"/>
        <v>0</v>
      </c>
      <c r="S178" s="31">
        <f t="shared" si="33"/>
        <v>0</v>
      </c>
      <c r="T178" s="31">
        <f t="shared" si="33"/>
        <v>0</v>
      </c>
      <c r="U178" s="31">
        <f t="shared" si="33"/>
        <v>0</v>
      </c>
      <c r="V178" s="31">
        <f t="shared" si="33"/>
        <v>0</v>
      </c>
      <c r="W178" s="31">
        <f t="shared" si="33"/>
        <v>0</v>
      </c>
      <c r="X178" s="31">
        <f t="shared" si="33"/>
        <v>0</v>
      </c>
      <c r="Y178" s="31">
        <f t="shared" si="33"/>
        <v>0</v>
      </c>
      <c r="Z178" s="31">
        <f t="shared" si="33"/>
        <v>0</v>
      </c>
      <c r="AA178" s="31">
        <f t="shared" si="33"/>
        <v>0</v>
      </c>
      <c r="AB178" s="31">
        <f t="shared" si="33"/>
        <v>0</v>
      </c>
      <c r="AC178" s="31">
        <f t="shared" si="33"/>
        <v>0</v>
      </c>
      <c r="AD178" s="31">
        <f t="shared" si="33"/>
        <v>0</v>
      </c>
      <c r="AE178" s="31">
        <f t="shared" si="33"/>
        <v>0</v>
      </c>
      <c r="AF178" s="31">
        <f t="shared" si="33"/>
        <v>0</v>
      </c>
      <c r="AG178" s="31">
        <f t="shared" si="33"/>
        <v>0</v>
      </c>
      <c r="AH178" s="31">
        <f t="shared" si="33"/>
        <v>0</v>
      </c>
      <c r="AI178" s="31">
        <f t="shared" si="33"/>
        <v>0</v>
      </c>
      <c r="AJ178" s="31">
        <f t="shared" si="33"/>
        <v>0</v>
      </c>
    </row>
    <row r="179" spans="7:36" ht="15" customHeight="1" x14ac:dyDescent="0.2">
      <c r="G179" s="14" t="s">
        <v>13</v>
      </c>
      <c r="H179" s="14"/>
      <c r="I179" s="13"/>
      <c r="J179" s="13"/>
      <c r="K179" s="31">
        <f t="shared" ref="K179:AJ179" si="34">K$88*K174</f>
        <v>0</v>
      </c>
      <c r="L179" s="31">
        <f t="shared" si="34"/>
        <v>0</v>
      </c>
      <c r="M179" s="31">
        <f t="shared" si="34"/>
        <v>0</v>
      </c>
      <c r="N179" s="31">
        <f t="shared" si="34"/>
        <v>0</v>
      </c>
      <c r="O179" s="31">
        <f t="shared" si="34"/>
        <v>0</v>
      </c>
      <c r="P179" s="31">
        <f t="shared" si="34"/>
        <v>0</v>
      </c>
      <c r="Q179" s="31">
        <f t="shared" si="34"/>
        <v>0</v>
      </c>
      <c r="R179" s="31">
        <f t="shared" si="34"/>
        <v>0</v>
      </c>
      <c r="S179" s="31">
        <f t="shared" si="34"/>
        <v>0</v>
      </c>
      <c r="T179" s="31">
        <f t="shared" si="34"/>
        <v>0</v>
      </c>
      <c r="U179" s="31">
        <f t="shared" si="34"/>
        <v>0</v>
      </c>
      <c r="V179" s="31">
        <f t="shared" si="34"/>
        <v>0</v>
      </c>
      <c r="W179" s="31">
        <f t="shared" si="34"/>
        <v>0</v>
      </c>
      <c r="X179" s="31">
        <f t="shared" si="34"/>
        <v>0</v>
      </c>
      <c r="Y179" s="31">
        <f t="shared" si="34"/>
        <v>0</v>
      </c>
      <c r="Z179" s="31">
        <f t="shared" si="34"/>
        <v>0</v>
      </c>
      <c r="AA179" s="31">
        <f t="shared" si="34"/>
        <v>0</v>
      </c>
      <c r="AB179" s="31">
        <f t="shared" si="34"/>
        <v>0</v>
      </c>
      <c r="AC179" s="31">
        <f t="shared" si="34"/>
        <v>0</v>
      </c>
      <c r="AD179" s="31">
        <f t="shared" si="34"/>
        <v>0</v>
      </c>
      <c r="AE179" s="31">
        <f t="shared" si="34"/>
        <v>0</v>
      </c>
      <c r="AF179" s="31">
        <f t="shared" si="34"/>
        <v>0</v>
      </c>
      <c r="AG179" s="31">
        <f t="shared" si="34"/>
        <v>0</v>
      </c>
      <c r="AH179" s="31">
        <f t="shared" si="34"/>
        <v>0</v>
      </c>
      <c r="AI179" s="31">
        <f t="shared" si="34"/>
        <v>0</v>
      </c>
      <c r="AJ179" s="31">
        <f t="shared" si="34"/>
        <v>0</v>
      </c>
    </row>
    <row r="180" spans="7:36" ht="15" customHeight="1" x14ac:dyDescent="0.2">
      <c r="G180" s="14"/>
      <c r="H180" s="14"/>
      <c r="I180" s="13"/>
      <c r="J180" s="13"/>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row>
    <row r="181" spans="7:36" ht="15" customHeight="1" x14ac:dyDescent="0.2">
      <c r="G181" s="14" t="s">
        <v>14</v>
      </c>
      <c r="H181" s="14"/>
      <c r="I181" s="13"/>
      <c r="J181" s="13"/>
      <c r="K181" s="31">
        <f t="shared" ref="K181:AJ181" si="35">SUM(K176:K179)</f>
        <v>0</v>
      </c>
      <c r="L181" s="31">
        <f t="shared" si="35"/>
        <v>0</v>
      </c>
      <c r="M181" s="31">
        <f t="shared" si="35"/>
        <v>0</v>
      </c>
      <c r="N181" s="31">
        <f t="shared" si="35"/>
        <v>0</v>
      </c>
      <c r="O181" s="31">
        <f t="shared" si="35"/>
        <v>0</v>
      </c>
      <c r="P181" s="31">
        <f t="shared" si="35"/>
        <v>0</v>
      </c>
      <c r="Q181" s="31">
        <f t="shared" si="35"/>
        <v>0</v>
      </c>
      <c r="R181" s="31">
        <f t="shared" si="35"/>
        <v>0</v>
      </c>
      <c r="S181" s="31">
        <f t="shared" si="35"/>
        <v>0</v>
      </c>
      <c r="T181" s="31">
        <f t="shared" si="35"/>
        <v>0</v>
      </c>
      <c r="U181" s="31">
        <f t="shared" si="35"/>
        <v>0</v>
      </c>
      <c r="V181" s="31">
        <f t="shared" si="35"/>
        <v>0</v>
      </c>
      <c r="W181" s="31">
        <f t="shared" si="35"/>
        <v>0</v>
      </c>
      <c r="X181" s="31">
        <f t="shared" si="35"/>
        <v>0</v>
      </c>
      <c r="Y181" s="31">
        <f t="shared" si="35"/>
        <v>0</v>
      </c>
      <c r="Z181" s="31">
        <f t="shared" si="35"/>
        <v>0</v>
      </c>
      <c r="AA181" s="31">
        <f t="shared" si="35"/>
        <v>0</v>
      </c>
      <c r="AB181" s="31">
        <f t="shared" si="35"/>
        <v>0</v>
      </c>
      <c r="AC181" s="31">
        <f t="shared" si="35"/>
        <v>0</v>
      </c>
      <c r="AD181" s="31">
        <f t="shared" si="35"/>
        <v>0</v>
      </c>
      <c r="AE181" s="31">
        <f t="shared" si="35"/>
        <v>0</v>
      </c>
      <c r="AF181" s="31">
        <f t="shared" si="35"/>
        <v>0</v>
      </c>
      <c r="AG181" s="31">
        <f t="shared" si="35"/>
        <v>0</v>
      </c>
      <c r="AH181" s="31">
        <f t="shared" si="35"/>
        <v>0</v>
      </c>
      <c r="AI181" s="31">
        <f t="shared" si="35"/>
        <v>0</v>
      </c>
      <c r="AJ181" s="31">
        <f t="shared" si="35"/>
        <v>0</v>
      </c>
    </row>
    <row r="182" spans="7:36" ht="15" customHeight="1" x14ac:dyDescent="0.2">
      <c r="G182" s="14" t="s">
        <v>15</v>
      </c>
      <c r="H182" s="14"/>
      <c r="I182" s="13"/>
      <c r="J182" s="13"/>
      <c r="K182" s="31">
        <f>K181</f>
        <v>0</v>
      </c>
      <c r="L182" s="31">
        <f t="shared" ref="L182:AJ182" si="36">K182+L181</f>
        <v>0</v>
      </c>
      <c r="M182" s="31">
        <f t="shared" si="36"/>
        <v>0</v>
      </c>
      <c r="N182" s="31">
        <f t="shared" si="36"/>
        <v>0</v>
      </c>
      <c r="O182" s="31">
        <f t="shared" si="36"/>
        <v>0</v>
      </c>
      <c r="P182" s="31">
        <f t="shared" si="36"/>
        <v>0</v>
      </c>
      <c r="Q182" s="31">
        <f t="shared" si="36"/>
        <v>0</v>
      </c>
      <c r="R182" s="31">
        <f t="shared" si="36"/>
        <v>0</v>
      </c>
      <c r="S182" s="31">
        <f t="shared" si="36"/>
        <v>0</v>
      </c>
      <c r="T182" s="31">
        <f t="shared" si="36"/>
        <v>0</v>
      </c>
      <c r="U182" s="31">
        <f t="shared" si="36"/>
        <v>0</v>
      </c>
      <c r="V182" s="31">
        <f t="shared" si="36"/>
        <v>0</v>
      </c>
      <c r="W182" s="31">
        <f t="shared" si="36"/>
        <v>0</v>
      </c>
      <c r="X182" s="31">
        <f t="shared" si="36"/>
        <v>0</v>
      </c>
      <c r="Y182" s="31">
        <f t="shared" si="36"/>
        <v>0</v>
      </c>
      <c r="Z182" s="31">
        <f t="shared" si="36"/>
        <v>0</v>
      </c>
      <c r="AA182" s="31">
        <f t="shared" si="36"/>
        <v>0</v>
      </c>
      <c r="AB182" s="31">
        <f t="shared" si="36"/>
        <v>0</v>
      </c>
      <c r="AC182" s="31">
        <f t="shared" si="36"/>
        <v>0</v>
      </c>
      <c r="AD182" s="31">
        <f t="shared" si="36"/>
        <v>0</v>
      </c>
      <c r="AE182" s="31">
        <f t="shared" si="36"/>
        <v>0</v>
      </c>
      <c r="AF182" s="31">
        <f t="shared" si="36"/>
        <v>0</v>
      </c>
      <c r="AG182" s="31">
        <f t="shared" si="36"/>
        <v>0</v>
      </c>
      <c r="AH182" s="31">
        <f t="shared" si="36"/>
        <v>0</v>
      </c>
      <c r="AI182" s="31">
        <f t="shared" si="36"/>
        <v>0</v>
      </c>
      <c r="AJ182" s="31">
        <f t="shared" si="36"/>
        <v>0</v>
      </c>
    </row>
    <row r="183" spans="7:36" ht="15" customHeight="1" x14ac:dyDescent="0.2">
      <c r="G183" s="13"/>
      <c r="H183" s="13"/>
      <c r="I183" s="13"/>
      <c r="J183" s="13"/>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row>
    <row r="184" spans="7:36" ht="15" customHeight="1" x14ac:dyDescent="0.2">
      <c r="G184" s="14" t="s">
        <v>17</v>
      </c>
      <c r="H184" s="13"/>
      <c r="I184" s="13"/>
      <c r="J184" s="13"/>
      <c r="K184" s="31">
        <f>K181/(((Data!$P$186/100)+1)^K$70)</f>
        <v>0</v>
      </c>
      <c r="L184" s="31">
        <f>L181/(((Data!$P$186/100)+1)^L$70)</f>
        <v>0</v>
      </c>
      <c r="M184" s="31">
        <f>M181/(((Data!$P$186/100)+1)^M$70)</f>
        <v>0</v>
      </c>
      <c r="N184" s="31">
        <f>N181/(((Data!$P$186/100)+1)^N$70)</f>
        <v>0</v>
      </c>
      <c r="O184" s="31">
        <f>O181/(((Data!$P$186/100)+1)^O$70)</f>
        <v>0</v>
      </c>
      <c r="P184" s="31">
        <f>P181/(((Data!$P$186/100)+1)^P$70)</f>
        <v>0</v>
      </c>
      <c r="Q184" s="31">
        <f>Q181/(((Data!$P$186/100)+1)^Q$70)</f>
        <v>0</v>
      </c>
      <c r="R184" s="31">
        <f>R181/(((Data!$P$186/100)+1)^R$70)</f>
        <v>0</v>
      </c>
      <c r="S184" s="31">
        <f>S181/(((Data!$P$186/100)+1)^S$70)</f>
        <v>0</v>
      </c>
      <c r="T184" s="31">
        <f>T181/(((Data!$P$186/100)+1)^T$70)</f>
        <v>0</v>
      </c>
      <c r="U184" s="31">
        <f>U181/(((Data!$P$186/100)+1)^U$70)</f>
        <v>0</v>
      </c>
      <c r="V184" s="31">
        <f>V181/(((Data!$P$186/100)+1)^V$70)</f>
        <v>0</v>
      </c>
      <c r="W184" s="31">
        <f>W181/(((Data!$P$186/100)+1)^W$70)</f>
        <v>0</v>
      </c>
      <c r="X184" s="31">
        <f>X181/(((Data!$P$186/100)+1)^X$70)</f>
        <v>0</v>
      </c>
      <c r="Y184" s="31">
        <f>Y181/(((Data!$P$186/100)+1)^Y$70)</f>
        <v>0</v>
      </c>
      <c r="Z184" s="31">
        <f>Z181/(((Data!$P$186/100)+1)^Z$70)</f>
        <v>0</v>
      </c>
      <c r="AA184" s="31">
        <f>AA181/(((Data!$P$186/100)+1)^AA$70)</f>
        <v>0</v>
      </c>
      <c r="AB184" s="31">
        <f>AB181/(((Data!$P$186/100)+1)^AB$70)</f>
        <v>0</v>
      </c>
      <c r="AC184" s="31">
        <f>AC181/(((Data!$P$186/100)+1)^AC$70)</f>
        <v>0</v>
      </c>
      <c r="AD184" s="31">
        <f>AD181/(((Data!$P$186/100)+1)^AD$70)</f>
        <v>0</v>
      </c>
      <c r="AE184" s="31">
        <f>AE181/(((Data!$P$186/100)+1)^AE$70)</f>
        <v>0</v>
      </c>
      <c r="AF184" s="31">
        <f>AF181/(((Data!$P$186/100)+1)^AF$70)</f>
        <v>0</v>
      </c>
      <c r="AG184" s="31">
        <f>AG181/(((Data!$P$186/100)+1)^AG$70)</f>
        <v>0</v>
      </c>
      <c r="AH184" s="31">
        <f>AH181/(((Data!$P$186/100)+1)^AH$70)</f>
        <v>0</v>
      </c>
      <c r="AI184" s="31">
        <f>AI181/(((Data!$P$186/100)+1)^AI$70)</f>
        <v>0</v>
      </c>
      <c r="AJ184" s="31">
        <f>AJ181/(((Data!$P$186/100)+1)^AJ$70)</f>
        <v>0</v>
      </c>
    </row>
    <row r="185" spans="7:36" ht="15" customHeight="1" x14ac:dyDescent="0.2">
      <c r="G185" s="30" t="s">
        <v>186</v>
      </c>
      <c r="H185" s="33"/>
      <c r="I185" s="13"/>
      <c r="J185" s="13"/>
      <c r="K185" s="34">
        <f>K184</f>
        <v>0</v>
      </c>
      <c r="L185" s="34">
        <f t="shared" ref="L185:AJ185" si="37">K185+L184</f>
        <v>0</v>
      </c>
      <c r="M185" s="34">
        <f t="shared" si="37"/>
        <v>0</v>
      </c>
      <c r="N185" s="34">
        <f t="shared" si="37"/>
        <v>0</v>
      </c>
      <c r="O185" s="34">
        <f t="shared" si="37"/>
        <v>0</v>
      </c>
      <c r="P185" s="34">
        <f t="shared" si="37"/>
        <v>0</v>
      </c>
      <c r="Q185" s="34">
        <f t="shared" si="37"/>
        <v>0</v>
      </c>
      <c r="R185" s="34">
        <f t="shared" si="37"/>
        <v>0</v>
      </c>
      <c r="S185" s="34">
        <f t="shared" si="37"/>
        <v>0</v>
      </c>
      <c r="T185" s="34">
        <f t="shared" si="37"/>
        <v>0</v>
      </c>
      <c r="U185" s="34">
        <f t="shared" si="37"/>
        <v>0</v>
      </c>
      <c r="V185" s="34">
        <f t="shared" si="37"/>
        <v>0</v>
      </c>
      <c r="W185" s="34">
        <f t="shared" si="37"/>
        <v>0</v>
      </c>
      <c r="X185" s="34">
        <f t="shared" si="37"/>
        <v>0</v>
      </c>
      <c r="Y185" s="34">
        <f t="shared" si="37"/>
        <v>0</v>
      </c>
      <c r="Z185" s="34">
        <f t="shared" si="37"/>
        <v>0</v>
      </c>
      <c r="AA185" s="34">
        <f t="shared" si="37"/>
        <v>0</v>
      </c>
      <c r="AB185" s="34">
        <f t="shared" si="37"/>
        <v>0</v>
      </c>
      <c r="AC185" s="34">
        <f t="shared" si="37"/>
        <v>0</v>
      </c>
      <c r="AD185" s="34">
        <f t="shared" si="37"/>
        <v>0</v>
      </c>
      <c r="AE185" s="34">
        <f t="shared" si="37"/>
        <v>0</v>
      </c>
      <c r="AF185" s="34">
        <f t="shared" si="37"/>
        <v>0</v>
      </c>
      <c r="AG185" s="34">
        <f t="shared" si="37"/>
        <v>0</v>
      </c>
      <c r="AH185" s="34">
        <f t="shared" si="37"/>
        <v>0</v>
      </c>
      <c r="AI185" s="34">
        <f t="shared" si="37"/>
        <v>0</v>
      </c>
      <c r="AJ185" s="34">
        <f t="shared" si="37"/>
        <v>0</v>
      </c>
    </row>
    <row r="186" spans="7:36" ht="15" customHeight="1" x14ac:dyDescent="0.2">
      <c r="G186" s="8"/>
      <c r="H186" s="8"/>
      <c r="I186" s="8"/>
      <c r="J186" s="8"/>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row>
    <row r="187" spans="7:36" ht="15" customHeight="1" x14ac:dyDescent="0.2">
      <c r="G187" s="532" t="s">
        <v>512</v>
      </c>
      <c r="H187" s="17"/>
      <c r="I187" s="13"/>
      <c r="J187" s="13"/>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row>
    <row r="188" spans="7:36" ht="15" customHeight="1" x14ac:dyDescent="0.2">
      <c r="G188" s="17"/>
      <c r="H188" s="17"/>
      <c r="I188" s="13"/>
      <c r="J188" s="13"/>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row>
    <row r="189" spans="7:36" ht="15" customHeight="1" x14ac:dyDescent="0.2">
      <c r="G189" s="17" t="s">
        <v>2</v>
      </c>
      <c r="H189" s="60"/>
      <c r="I189" s="60"/>
      <c r="J189" s="60"/>
      <c r="K189" s="101" t="e">
        <f t="shared" ref="K189:AJ189" si="38">IF(K$70&lt;$Q$43,VLOOKUP($I$18,$G$75:$AJ$79,K$70+5,FALSE),VLOOKUP($O$18,$G$75:$AJ$79,K$70+5,FALSE))</f>
        <v>#N/A</v>
      </c>
      <c r="L189" s="101" t="e">
        <f t="shared" si="38"/>
        <v>#N/A</v>
      </c>
      <c r="M189" s="101" t="e">
        <f t="shared" si="38"/>
        <v>#N/A</v>
      </c>
      <c r="N189" s="101" t="e">
        <f t="shared" si="38"/>
        <v>#N/A</v>
      </c>
      <c r="O189" s="101" t="e">
        <f t="shared" si="38"/>
        <v>#N/A</v>
      </c>
      <c r="P189" s="101" t="e">
        <f t="shared" si="38"/>
        <v>#N/A</v>
      </c>
      <c r="Q189" s="101" t="e">
        <f t="shared" si="38"/>
        <v>#N/A</v>
      </c>
      <c r="R189" s="101" t="e">
        <f t="shared" si="38"/>
        <v>#N/A</v>
      </c>
      <c r="S189" s="101" t="e">
        <f t="shared" si="38"/>
        <v>#N/A</v>
      </c>
      <c r="T189" s="101" t="e">
        <f t="shared" si="38"/>
        <v>#N/A</v>
      </c>
      <c r="U189" s="101" t="e">
        <f t="shared" si="38"/>
        <v>#N/A</v>
      </c>
      <c r="V189" s="101" t="e">
        <f t="shared" si="38"/>
        <v>#N/A</v>
      </c>
      <c r="W189" s="101" t="e">
        <f t="shared" si="38"/>
        <v>#N/A</v>
      </c>
      <c r="X189" s="101" t="e">
        <f t="shared" si="38"/>
        <v>#N/A</v>
      </c>
      <c r="Y189" s="101" t="e">
        <f t="shared" si="38"/>
        <v>#N/A</v>
      </c>
      <c r="Z189" s="101" t="e">
        <f t="shared" si="38"/>
        <v>#N/A</v>
      </c>
      <c r="AA189" s="101" t="e">
        <f t="shared" si="38"/>
        <v>#N/A</v>
      </c>
      <c r="AB189" s="101" t="e">
        <f t="shared" si="38"/>
        <v>#N/A</v>
      </c>
      <c r="AC189" s="101" t="e">
        <f t="shared" si="38"/>
        <v>#N/A</v>
      </c>
      <c r="AD189" s="101" t="e">
        <f t="shared" si="38"/>
        <v>#N/A</v>
      </c>
      <c r="AE189" s="101" t="e">
        <f t="shared" si="38"/>
        <v>#N/A</v>
      </c>
      <c r="AF189" s="101" t="e">
        <f t="shared" si="38"/>
        <v>#N/A</v>
      </c>
      <c r="AG189" s="101" t="e">
        <f t="shared" si="38"/>
        <v>#N/A</v>
      </c>
      <c r="AH189" s="101" t="e">
        <f t="shared" si="38"/>
        <v>#N/A</v>
      </c>
      <c r="AI189" s="101" t="e">
        <f t="shared" si="38"/>
        <v>#N/A</v>
      </c>
      <c r="AJ189" s="101" t="e">
        <f t="shared" si="38"/>
        <v>#N/A</v>
      </c>
    </row>
    <row r="190" spans="7:36" ht="15" customHeight="1" x14ac:dyDescent="0.2">
      <c r="G190" s="17" t="s">
        <v>1</v>
      </c>
      <c r="H190" s="60"/>
      <c r="I190" s="60"/>
      <c r="J190" s="60"/>
      <c r="K190" s="101" t="e">
        <f t="shared" ref="K190:AJ190" si="39">IF(K$70&lt;$Q$43,VLOOKUP($I$18,$G$81:$AJ$85,K$70+5,FALSE),VLOOKUP($O$18,$G$81:$AJ$85,K$70+5,FALSE))</f>
        <v>#N/A</v>
      </c>
      <c r="L190" s="101" t="e">
        <f t="shared" si="39"/>
        <v>#N/A</v>
      </c>
      <c r="M190" s="101" t="e">
        <f t="shared" si="39"/>
        <v>#N/A</v>
      </c>
      <c r="N190" s="101" t="e">
        <f t="shared" si="39"/>
        <v>#N/A</v>
      </c>
      <c r="O190" s="101" t="e">
        <f t="shared" si="39"/>
        <v>#N/A</v>
      </c>
      <c r="P190" s="101" t="e">
        <f t="shared" si="39"/>
        <v>#N/A</v>
      </c>
      <c r="Q190" s="101" t="e">
        <f t="shared" si="39"/>
        <v>#N/A</v>
      </c>
      <c r="R190" s="101" t="e">
        <f t="shared" si="39"/>
        <v>#N/A</v>
      </c>
      <c r="S190" s="101" t="e">
        <f t="shared" si="39"/>
        <v>#N/A</v>
      </c>
      <c r="T190" s="101" t="e">
        <f t="shared" si="39"/>
        <v>#N/A</v>
      </c>
      <c r="U190" s="101" t="e">
        <f t="shared" si="39"/>
        <v>#N/A</v>
      </c>
      <c r="V190" s="101" t="e">
        <f t="shared" si="39"/>
        <v>#N/A</v>
      </c>
      <c r="W190" s="101" t="e">
        <f t="shared" si="39"/>
        <v>#N/A</v>
      </c>
      <c r="X190" s="101" t="e">
        <f t="shared" si="39"/>
        <v>#N/A</v>
      </c>
      <c r="Y190" s="101" t="e">
        <f t="shared" si="39"/>
        <v>#N/A</v>
      </c>
      <c r="Z190" s="101" t="e">
        <f t="shared" si="39"/>
        <v>#N/A</v>
      </c>
      <c r="AA190" s="101" t="e">
        <f t="shared" si="39"/>
        <v>#N/A</v>
      </c>
      <c r="AB190" s="101" t="e">
        <f t="shared" si="39"/>
        <v>#N/A</v>
      </c>
      <c r="AC190" s="101" t="e">
        <f t="shared" si="39"/>
        <v>#N/A</v>
      </c>
      <c r="AD190" s="101" t="e">
        <f t="shared" si="39"/>
        <v>#N/A</v>
      </c>
      <c r="AE190" s="101" t="e">
        <f t="shared" si="39"/>
        <v>#N/A</v>
      </c>
      <c r="AF190" s="101" t="e">
        <f t="shared" si="39"/>
        <v>#N/A</v>
      </c>
      <c r="AG190" s="101" t="e">
        <f t="shared" si="39"/>
        <v>#N/A</v>
      </c>
      <c r="AH190" s="101" t="e">
        <f t="shared" si="39"/>
        <v>#N/A</v>
      </c>
      <c r="AI190" s="101" t="e">
        <f t="shared" si="39"/>
        <v>#N/A</v>
      </c>
      <c r="AJ190" s="101" t="e">
        <f t="shared" si="39"/>
        <v>#N/A</v>
      </c>
    </row>
    <row r="191" spans="7:36" ht="15" customHeight="1" x14ac:dyDescent="0.2">
      <c r="G191" s="60"/>
      <c r="H191" s="60"/>
      <c r="I191" s="60"/>
      <c r="J191" s="60"/>
      <c r="K191" s="60"/>
      <c r="L191" s="60"/>
      <c r="M191" s="60"/>
      <c r="N191" s="60"/>
      <c r="O191" s="60"/>
      <c r="P191" s="60"/>
      <c r="Q191" s="60"/>
      <c r="R191" s="61"/>
      <c r="S191" s="60"/>
      <c r="T191" s="60"/>
      <c r="U191" s="60"/>
      <c r="V191" s="60"/>
      <c r="W191" s="60"/>
      <c r="X191" s="60"/>
      <c r="Y191" s="60"/>
      <c r="Z191" s="60"/>
      <c r="AA191" s="60"/>
      <c r="AB191" s="60"/>
      <c r="AC191" s="60"/>
      <c r="AD191" s="60"/>
      <c r="AE191" s="60"/>
      <c r="AF191" s="60"/>
      <c r="AG191" s="60"/>
      <c r="AH191" s="60"/>
      <c r="AI191" s="60"/>
      <c r="AJ191" s="60"/>
    </row>
    <row r="192" spans="7:36" ht="15" customHeight="1" x14ac:dyDescent="0.2">
      <c r="G192" s="17" t="s">
        <v>4</v>
      </c>
      <c r="H192" s="17"/>
      <c r="I192" s="13"/>
      <c r="J192" s="1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row>
    <row r="193" spans="7:36" ht="15" customHeight="1" x14ac:dyDescent="0.2">
      <c r="G193" s="17" t="s">
        <v>5</v>
      </c>
      <c r="H193" s="17"/>
      <c r="I193" s="13"/>
      <c r="J193" s="1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row>
    <row r="194" spans="7:36" ht="15" customHeight="1" x14ac:dyDescent="0.2">
      <c r="G194" s="17" t="s">
        <v>6</v>
      </c>
      <c r="H194" s="17"/>
      <c r="I194" s="13"/>
      <c r="J194" s="13"/>
      <c r="K194" s="35">
        <f t="shared" ref="K194:AJ194" si="40">IF(K$70&lt;$Q$43,$K$13,$Q$13+$Q$14+$Q$15)</f>
        <v>0</v>
      </c>
      <c r="L194" s="35">
        <f t="shared" si="40"/>
        <v>0</v>
      </c>
      <c r="M194" s="35">
        <f t="shared" si="40"/>
        <v>0</v>
      </c>
      <c r="N194" s="35">
        <f t="shared" si="40"/>
        <v>0</v>
      </c>
      <c r="O194" s="35">
        <f t="shared" si="40"/>
        <v>0</v>
      </c>
      <c r="P194" s="35">
        <f t="shared" si="40"/>
        <v>0</v>
      </c>
      <c r="Q194" s="35">
        <f t="shared" si="40"/>
        <v>0</v>
      </c>
      <c r="R194" s="35">
        <f t="shared" si="40"/>
        <v>0</v>
      </c>
      <c r="S194" s="35">
        <f t="shared" si="40"/>
        <v>0</v>
      </c>
      <c r="T194" s="35">
        <f t="shared" si="40"/>
        <v>0</v>
      </c>
      <c r="U194" s="35">
        <f t="shared" si="40"/>
        <v>0</v>
      </c>
      <c r="V194" s="35">
        <f t="shared" si="40"/>
        <v>0</v>
      </c>
      <c r="W194" s="35">
        <f t="shared" si="40"/>
        <v>0</v>
      </c>
      <c r="X194" s="35">
        <f t="shared" si="40"/>
        <v>0</v>
      </c>
      <c r="Y194" s="35">
        <f t="shared" si="40"/>
        <v>0</v>
      </c>
      <c r="Z194" s="35">
        <f t="shared" si="40"/>
        <v>0</v>
      </c>
      <c r="AA194" s="35">
        <f t="shared" si="40"/>
        <v>0</v>
      </c>
      <c r="AB194" s="35">
        <f t="shared" si="40"/>
        <v>0</v>
      </c>
      <c r="AC194" s="35">
        <f t="shared" si="40"/>
        <v>0</v>
      </c>
      <c r="AD194" s="35">
        <f t="shared" si="40"/>
        <v>0</v>
      </c>
      <c r="AE194" s="35">
        <f t="shared" si="40"/>
        <v>0</v>
      </c>
      <c r="AF194" s="35">
        <f t="shared" si="40"/>
        <v>0</v>
      </c>
      <c r="AG194" s="35">
        <f t="shared" si="40"/>
        <v>0</v>
      </c>
      <c r="AH194" s="35">
        <f t="shared" si="40"/>
        <v>0</v>
      </c>
      <c r="AI194" s="35">
        <f t="shared" si="40"/>
        <v>0</v>
      </c>
      <c r="AJ194" s="35">
        <f t="shared" si="40"/>
        <v>0</v>
      </c>
    </row>
    <row r="195" spans="7:36" ht="15" customHeight="1" x14ac:dyDescent="0.2">
      <c r="G195" s="17"/>
      <c r="H195" s="17"/>
      <c r="I195" s="13"/>
      <c r="J195" s="13"/>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row>
    <row r="196" spans="7:36" ht="15" customHeight="1" x14ac:dyDescent="0.2">
      <c r="G196" s="17" t="s">
        <v>7</v>
      </c>
      <c r="H196" s="17"/>
      <c r="I196" s="13"/>
      <c r="J196" s="1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row>
    <row r="197" spans="7:36" ht="15" customHeight="1" x14ac:dyDescent="0.2">
      <c r="G197" s="17" t="s">
        <v>8</v>
      </c>
      <c r="H197" s="17"/>
      <c r="I197" s="13"/>
      <c r="J197" s="1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row>
    <row r="198" spans="7:36" ht="15" customHeight="1" x14ac:dyDescent="0.2">
      <c r="G198" s="17" t="s">
        <v>9</v>
      </c>
      <c r="H198" s="17"/>
      <c r="I198" s="13"/>
      <c r="J198" s="13"/>
      <c r="K198" s="35" t="e">
        <f>K$189*K194</f>
        <v>#N/A</v>
      </c>
      <c r="L198" s="35" t="e">
        <f t="shared" ref="L198:AJ198" si="41">L$189*L194</f>
        <v>#N/A</v>
      </c>
      <c r="M198" s="35" t="e">
        <f t="shared" si="41"/>
        <v>#N/A</v>
      </c>
      <c r="N198" s="35" t="e">
        <f t="shared" si="41"/>
        <v>#N/A</v>
      </c>
      <c r="O198" s="35" t="e">
        <f t="shared" si="41"/>
        <v>#N/A</v>
      </c>
      <c r="P198" s="35" t="e">
        <f t="shared" si="41"/>
        <v>#N/A</v>
      </c>
      <c r="Q198" s="35" t="e">
        <f t="shared" si="41"/>
        <v>#N/A</v>
      </c>
      <c r="R198" s="35" t="e">
        <f t="shared" si="41"/>
        <v>#N/A</v>
      </c>
      <c r="S198" s="35" t="e">
        <f t="shared" si="41"/>
        <v>#N/A</v>
      </c>
      <c r="T198" s="35" t="e">
        <f t="shared" si="41"/>
        <v>#N/A</v>
      </c>
      <c r="U198" s="35" t="e">
        <f t="shared" si="41"/>
        <v>#N/A</v>
      </c>
      <c r="V198" s="35" t="e">
        <f t="shared" si="41"/>
        <v>#N/A</v>
      </c>
      <c r="W198" s="35" t="e">
        <f t="shared" si="41"/>
        <v>#N/A</v>
      </c>
      <c r="X198" s="35" t="e">
        <f t="shared" si="41"/>
        <v>#N/A</v>
      </c>
      <c r="Y198" s="35" t="e">
        <f t="shared" si="41"/>
        <v>#N/A</v>
      </c>
      <c r="Z198" s="35" t="e">
        <f t="shared" si="41"/>
        <v>#N/A</v>
      </c>
      <c r="AA198" s="35" t="e">
        <f t="shared" si="41"/>
        <v>#N/A</v>
      </c>
      <c r="AB198" s="35" t="e">
        <f t="shared" si="41"/>
        <v>#N/A</v>
      </c>
      <c r="AC198" s="35" t="e">
        <f t="shared" si="41"/>
        <v>#N/A</v>
      </c>
      <c r="AD198" s="35" t="e">
        <f t="shared" si="41"/>
        <v>#N/A</v>
      </c>
      <c r="AE198" s="35" t="e">
        <f t="shared" si="41"/>
        <v>#N/A</v>
      </c>
      <c r="AF198" s="35" t="e">
        <f t="shared" si="41"/>
        <v>#N/A</v>
      </c>
      <c r="AG198" s="35" t="e">
        <f t="shared" si="41"/>
        <v>#N/A</v>
      </c>
      <c r="AH198" s="35" t="e">
        <f t="shared" si="41"/>
        <v>#N/A</v>
      </c>
      <c r="AI198" s="35" t="e">
        <f t="shared" si="41"/>
        <v>#N/A</v>
      </c>
      <c r="AJ198" s="35" t="e">
        <f t="shared" si="41"/>
        <v>#N/A</v>
      </c>
    </row>
    <row r="199" spans="7:36" ht="15" customHeight="1" x14ac:dyDescent="0.2">
      <c r="G199" s="17"/>
      <c r="H199" s="17"/>
      <c r="I199" s="13"/>
      <c r="J199" s="13"/>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row>
    <row r="200" spans="7:36" ht="15" customHeight="1" x14ac:dyDescent="0.2">
      <c r="G200" s="17" t="s">
        <v>10</v>
      </c>
      <c r="H200" s="17"/>
      <c r="I200" s="13"/>
      <c r="J200" s="1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row>
    <row r="201" spans="7:36" ht="15" customHeight="1" x14ac:dyDescent="0.2">
      <c r="G201" s="17" t="s">
        <v>11</v>
      </c>
      <c r="H201" s="17"/>
      <c r="I201" s="13"/>
      <c r="J201" s="1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row>
    <row r="202" spans="7:36" ht="15" customHeight="1" x14ac:dyDescent="0.2">
      <c r="G202" s="17" t="s">
        <v>12</v>
      </c>
      <c r="H202" s="17"/>
      <c r="I202" s="13"/>
      <c r="J202" s="13"/>
      <c r="K202" s="35" t="e">
        <f>K$190*K194</f>
        <v>#N/A</v>
      </c>
      <c r="L202" s="35" t="e">
        <f t="shared" ref="L202:AJ202" si="42">L$190*L194</f>
        <v>#N/A</v>
      </c>
      <c r="M202" s="35" t="e">
        <f t="shared" si="42"/>
        <v>#N/A</v>
      </c>
      <c r="N202" s="35" t="e">
        <f t="shared" si="42"/>
        <v>#N/A</v>
      </c>
      <c r="O202" s="35" t="e">
        <f t="shared" si="42"/>
        <v>#N/A</v>
      </c>
      <c r="P202" s="35" t="e">
        <f t="shared" si="42"/>
        <v>#N/A</v>
      </c>
      <c r="Q202" s="35" t="e">
        <f t="shared" si="42"/>
        <v>#N/A</v>
      </c>
      <c r="R202" s="35" t="e">
        <f t="shared" si="42"/>
        <v>#N/A</v>
      </c>
      <c r="S202" s="35" t="e">
        <f t="shared" si="42"/>
        <v>#N/A</v>
      </c>
      <c r="T202" s="35" t="e">
        <f t="shared" si="42"/>
        <v>#N/A</v>
      </c>
      <c r="U202" s="35" t="e">
        <f t="shared" si="42"/>
        <v>#N/A</v>
      </c>
      <c r="V202" s="35" t="e">
        <f t="shared" si="42"/>
        <v>#N/A</v>
      </c>
      <c r="W202" s="35" t="e">
        <f t="shared" si="42"/>
        <v>#N/A</v>
      </c>
      <c r="X202" s="35" t="e">
        <f t="shared" si="42"/>
        <v>#N/A</v>
      </c>
      <c r="Y202" s="35" t="e">
        <f t="shared" si="42"/>
        <v>#N/A</v>
      </c>
      <c r="Z202" s="35" t="e">
        <f t="shared" si="42"/>
        <v>#N/A</v>
      </c>
      <c r="AA202" s="35" t="e">
        <f t="shared" si="42"/>
        <v>#N/A</v>
      </c>
      <c r="AB202" s="35" t="e">
        <f t="shared" si="42"/>
        <v>#N/A</v>
      </c>
      <c r="AC202" s="35" t="e">
        <f t="shared" si="42"/>
        <v>#N/A</v>
      </c>
      <c r="AD202" s="35" t="e">
        <f t="shared" si="42"/>
        <v>#N/A</v>
      </c>
      <c r="AE202" s="35" t="e">
        <f t="shared" si="42"/>
        <v>#N/A</v>
      </c>
      <c r="AF202" s="35" t="e">
        <f t="shared" si="42"/>
        <v>#N/A</v>
      </c>
      <c r="AG202" s="35" t="e">
        <f t="shared" si="42"/>
        <v>#N/A</v>
      </c>
      <c r="AH202" s="35" t="e">
        <f t="shared" si="42"/>
        <v>#N/A</v>
      </c>
      <c r="AI202" s="35" t="e">
        <f t="shared" si="42"/>
        <v>#N/A</v>
      </c>
      <c r="AJ202" s="35" t="e">
        <f t="shared" si="42"/>
        <v>#N/A</v>
      </c>
    </row>
    <row r="203" spans="7:36" ht="15" customHeight="1" x14ac:dyDescent="0.2">
      <c r="G203" s="17" t="s">
        <v>13</v>
      </c>
      <c r="H203" s="17"/>
      <c r="I203" s="13"/>
      <c r="J203" s="13"/>
      <c r="K203" s="35" t="e">
        <f t="shared" ref="K203:AJ203" si="43">K$88*K198</f>
        <v>#N/A</v>
      </c>
      <c r="L203" s="35" t="e">
        <f t="shared" si="43"/>
        <v>#N/A</v>
      </c>
      <c r="M203" s="35" t="e">
        <f t="shared" si="43"/>
        <v>#N/A</v>
      </c>
      <c r="N203" s="35" t="e">
        <f t="shared" si="43"/>
        <v>#N/A</v>
      </c>
      <c r="O203" s="35" t="e">
        <f t="shared" si="43"/>
        <v>#N/A</v>
      </c>
      <c r="P203" s="35" t="e">
        <f t="shared" si="43"/>
        <v>#N/A</v>
      </c>
      <c r="Q203" s="35" t="e">
        <f t="shared" si="43"/>
        <v>#N/A</v>
      </c>
      <c r="R203" s="35" t="e">
        <f t="shared" si="43"/>
        <v>#N/A</v>
      </c>
      <c r="S203" s="35" t="e">
        <f t="shared" si="43"/>
        <v>#N/A</v>
      </c>
      <c r="T203" s="35" t="e">
        <f t="shared" si="43"/>
        <v>#N/A</v>
      </c>
      <c r="U203" s="35" t="e">
        <f t="shared" si="43"/>
        <v>#N/A</v>
      </c>
      <c r="V203" s="35" t="e">
        <f t="shared" si="43"/>
        <v>#N/A</v>
      </c>
      <c r="W203" s="35" t="e">
        <f t="shared" si="43"/>
        <v>#N/A</v>
      </c>
      <c r="X203" s="35" t="e">
        <f t="shared" si="43"/>
        <v>#N/A</v>
      </c>
      <c r="Y203" s="35" t="e">
        <f t="shared" si="43"/>
        <v>#N/A</v>
      </c>
      <c r="Z203" s="35" t="e">
        <f t="shared" si="43"/>
        <v>#N/A</v>
      </c>
      <c r="AA203" s="35" t="e">
        <f t="shared" si="43"/>
        <v>#N/A</v>
      </c>
      <c r="AB203" s="35" t="e">
        <f t="shared" si="43"/>
        <v>#N/A</v>
      </c>
      <c r="AC203" s="35" t="e">
        <f t="shared" si="43"/>
        <v>#N/A</v>
      </c>
      <c r="AD203" s="35" t="e">
        <f t="shared" si="43"/>
        <v>#N/A</v>
      </c>
      <c r="AE203" s="35" t="e">
        <f t="shared" si="43"/>
        <v>#N/A</v>
      </c>
      <c r="AF203" s="35" t="e">
        <f t="shared" si="43"/>
        <v>#N/A</v>
      </c>
      <c r="AG203" s="35" t="e">
        <f t="shared" si="43"/>
        <v>#N/A</v>
      </c>
      <c r="AH203" s="35" t="e">
        <f t="shared" si="43"/>
        <v>#N/A</v>
      </c>
      <c r="AI203" s="35" t="e">
        <f t="shared" si="43"/>
        <v>#N/A</v>
      </c>
      <c r="AJ203" s="35" t="e">
        <f t="shared" si="43"/>
        <v>#N/A</v>
      </c>
    </row>
    <row r="204" spans="7:36" ht="15" customHeight="1" x14ac:dyDescent="0.2">
      <c r="G204" s="17"/>
      <c r="H204" s="17"/>
      <c r="I204" s="13"/>
      <c r="J204" s="13"/>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row>
    <row r="205" spans="7:36" ht="15" customHeight="1" x14ac:dyDescent="0.2">
      <c r="G205" s="17" t="s">
        <v>14</v>
      </c>
      <c r="H205" s="17"/>
      <c r="I205" s="13"/>
      <c r="J205" s="13"/>
      <c r="K205" s="35" t="e">
        <f>SUM(K200:K203)</f>
        <v>#N/A</v>
      </c>
      <c r="L205" s="35" t="e">
        <f t="shared" ref="L205:AH205" si="44">SUM(L200:L203)</f>
        <v>#N/A</v>
      </c>
      <c r="M205" s="35" t="e">
        <f t="shared" si="44"/>
        <v>#N/A</v>
      </c>
      <c r="N205" s="35" t="e">
        <f t="shared" si="44"/>
        <v>#N/A</v>
      </c>
      <c r="O205" s="35" t="e">
        <f t="shared" si="44"/>
        <v>#N/A</v>
      </c>
      <c r="P205" s="35" t="e">
        <f t="shared" si="44"/>
        <v>#N/A</v>
      </c>
      <c r="Q205" s="35" t="e">
        <f t="shared" si="44"/>
        <v>#N/A</v>
      </c>
      <c r="R205" s="35" t="e">
        <f t="shared" si="44"/>
        <v>#N/A</v>
      </c>
      <c r="S205" s="35" t="e">
        <f t="shared" si="44"/>
        <v>#N/A</v>
      </c>
      <c r="T205" s="35" t="e">
        <f t="shared" si="44"/>
        <v>#N/A</v>
      </c>
      <c r="U205" s="35" t="e">
        <f t="shared" si="44"/>
        <v>#N/A</v>
      </c>
      <c r="V205" s="35" t="e">
        <f t="shared" si="44"/>
        <v>#N/A</v>
      </c>
      <c r="W205" s="35" t="e">
        <f t="shared" si="44"/>
        <v>#N/A</v>
      </c>
      <c r="X205" s="35" t="e">
        <f t="shared" si="44"/>
        <v>#N/A</v>
      </c>
      <c r="Y205" s="35" t="e">
        <f t="shared" si="44"/>
        <v>#N/A</v>
      </c>
      <c r="Z205" s="35" t="e">
        <f t="shared" si="44"/>
        <v>#N/A</v>
      </c>
      <c r="AA205" s="35" t="e">
        <f t="shared" si="44"/>
        <v>#N/A</v>
      </c>
      <c r="AB205" s="35" t="e">
        <f t="shared" si="44"/>
        <v>#N/A</v>
      </c>
      <c r="AC205" s="35" t="e">
        <f t="shared" si="44"/>
        <v>#N/A</v>
      </c>
      <c r="AD205" s="35" t="e">
        <f t="shared" si="44"/>
        <v>#N/A</v>
      </c>
      <c r="AE205" s="35" t="e">
        <f t="shared" si="44"/>
        <v>#N/A</v>
      </c>
      <c r="AF205" s="35" t="e">
        <f t="shared" si="44"/>
        <v>#N/A</v>
      </c>
      <c r="AG205" s="35" t="e">
        <f t="shared" si="44"/>
        <v>#N/A</v>
      </c>
      <c r="AH205" s="35" t="e">
        <f t="shared" si="44"/>
        <v>#N/A</v>
      </c>
      <c r="AI205" s="35" t="e">
        <f>SUM(AI200:AI203)</f>
        <v>#N/A</v>
      </c>
      <c r="AJ205" s="35" t="e">
        <f>SUM(AJ200:AJ203)</f>
        <v>#N/A</v>
      </c>
    </row>
    <row r="206" spans="7:36" ht="15" customHeight="1" x14ac:dyDescent="0.2">
      <c r="G206" s="17" t="s">
        <v>435</v>
      </c>
      <c r="H206" s="17"/>
      <c r="I206" s="13"/>
      <c r="J206" s="13"/>
      <c r="K206" s="35" t="e">
        <f>K205</f>
        <v>#N/A</v>
      </c>
      <c r="L206" s="35" t="e">
        <f t="shared" ref="L206:AJ206" si="45">K206+L205</f>
        <v>#N/A</v>
      </c>
      <c r="M206" s="35" t="e">
        <f t="shared" si="45"/>
        <v>#N/A</v>
      </c>
      <c r="N206" s="35" t="e">
        <f t="shared" si="45"/>
        <v>#N/A</v>
      </c>
      <c r="O206" s="35" t="e">
        <f t="shared" si="45"/>
        <v>#N/A</v>
      </c>
      <c r="P206" s="35" t="e">
        <f t="shared" si="45"/>
        <v>#N/A</v>
      </c>
      <c r="Q206" s="35" t="e">
        <f t="shared" si="45"/>
        <v>#N/A</v>
      </c>
      <c r="R206" s="35" t="e">
        <f t="shared" si="45"/>
        <v>#N/A</v>
      </c>
      <c r="S206" s="35" t="e">
        <f t="shared" si="45"/>
        <v>#N/A</v>
      </c>
      <c r="T206" s="35" t="e">
        <f t="shared" si="45"/>
        <v>#N/A</v>
      </c>
      <c r="U206" s="35" t="e">
        <f t="shared" si="45"/>
        <v>#N/A</v>
      </c>
      <c r="V206" s="35" t="e">
        <f t="shared" si="45"/>
        <v>#N/A</v>
      </c>
      <c r="W206" s="35" t="e">
        <f t="shared" si="45"/>
        <v>#N/A</v>
      </c>
      <c r="X206" s="35" t="e">
        <f t="shared" si="45"/>
        <v>#N/A</v>
      </c>
      <c r="Y206" s="35" t="e">
        <f t="shared" si="45"/>
        <v>#N/A</v>
      </c>
      <c r="Z206" s="35" t="e">
        <f t="shared" si="45"/>
        <v>#N/A</v>
      </c>
      <c r="AA206" s="35" t="e">
        <f t="shared" si="45"/>
        <v>#N/A</v>
      </c>
      <c r="AB206" s="35" t="e">
        <f t="shared" si="45"/>
        <v>#N/A</v>
      </c>
      <c r="AC206" s="35" t="e">
        <f t="shared" si="45"/>
        <v>#N/A</v>
      </c>
      <c r="AD206" s="35" t="e">
        <f t="shared" si="45"/>
        <v>#N/A</v>
      </c>
      <c r="AE206" s="35" t="e">
        <f t="shared" si="45"/>
        <v>#N/A</v>
      </c>
      <c r="AF206" s="35" t="e">
        <f t="shared" si="45"/>
        <v>#N/A</v>
      </c>
      <c r="AG206" s="35" t="e">
        <f t="shared" si="45"/>
        <v>#N/A</v>
      </c>
      <c r="AH206" s="35" t="e">
        <f t="shared" si="45"/>
        <v>#N/A</v>
      </c>
      <c r="AI206" s="35" t="e">
        <f t="shared" si="45"/>
        <v>#N/A</v>
      </c>
      <c r="AJ206" s="35" t="e">
        <f t="shared" si="45"/>
        <v>#N/A</v>
      </c>
    </row>
    <row r="207" spans="7:36" ht="15" customHeight="1" x14ac:dyDescent="0.2">
      <c r="G207" s="17"/>
      <c r="H207" s="17"/>
      <c r="I207" s="13"/>
      <c r="J207" s="13"/>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row>
    <row r="208" spans="7:36" ht="15" customHeight="1" x14ac:dyDescent="0.2">
      <c r="G208" s="17" t="s">
        <v>17</v>
      </c>
      <c r="H208" s="17"/>
      <c r="I208" s="13"/>
      <c r="J208" s="13"/>
      <c r="K208" s="35" t="e">
        <f>K205/(((Data!$P$186/100)+1)^K$70)</f>
        <v>#N/A</v>
      </c>
      <c r="L208" s="35" t="e">
        <f>L205/(((Data!$P$186/100)+1)^L$70)</f>
        <v>#N/A</v>
      </c>
      <c r="M208" s="35" t="e">
        <f>M205/(((Data!$P$186/100)+1)^M$70)</f>
        <v>#N/A</v>
      </c>
      <c r="N208" s="35" t="e">
        <f>N205/(((Data!$P$186/100)+1)^N$70)</f>
        <v>#N/A</v>
      </c>
      <c r="O208" s="35" t="e">
        <f>O205/(((Data!$P$186/100)+1)^O$70)</f>
        <v>#N/A</v>
      </c>
      <c r="P208" s="35" t="e">
        <f>P205/(((Data!$P$186/100)+1)^P$70)</f>
        <v>#N/A</v>
      </c>
      <c r="Q208" s="35" t="e">
        <f>Q205/(((Data!$P$186/100)+1)^Q$70)</f>
        <v>#N/A</v>
      </c>
      <c r="R208" s="35" t="e">
        <f>R205/(((Data!$P$186/100)+1)^R$70)</f>
        <v>#N/A</v>
      </c>
      <c r="S208" s="35" t="e">
        <f>S205/(((Data!$P$186/100)+1)^S$70)</f>
        <v>#N/A</v>
      </c>
      <c r="T208" s="35" t="e">
        <f>T205/(((Data!$P$186/100)+1)^T$70)</f>
        <v>#N/A</v>
      </c>
      <c r="U208" s="35" t="e">
        <f>U205/(((Data!$P$186/100)+1)^U$70)</f>
        <v>#N/A</v>
      </c>
      <c r="V208" s="35" t="e">
        <f>V205/(((Data!$P$186/100)+1)^V$70)</f>
        <v>#N/A</v>
      </c>
      <c r="W208" s="35" t="e">
        <f>W205/(((Data!$P$186/100)+1)^W$70)</f>
        <v>#N/A</v>
      </c>
      <c r="X208" s="35" t="e">
        <f>X205/(((Data!$P$186/100)+1)^X$70)</f>
        <v>#N/A</v>
      </c>
      <c r="Y208" s="35" t="e">
        <f>Y205/(((Data!$P$186/100)+1)^Y$70)</f>
        <v>#N/A</v>
      </c>
      <c r="Z208" s="35" t="e">
        <f>Z205/(((Data!$P$186/100)+1)^Z$70)</f>
        <v>#N/A</v>
      </c>
      <c r="AA208" s="35" t="e">
        <f>AA205/(((Data!$P$186/100)+1)^AA$70)</f>
        <v>#N/A</v>
      </c>
      <c r="AB208" s="35" t="e">
        <f>AB205/(((Data!$P$186/100)+1)^AB$70)</f>
        <v>#N/A</v>
      </c>
      <c r="AC208" s="35" t="e">
        <f>AC205/(((Data!$P$186/100)+1)^AC$70)</f>
        <v>#N/A</v>
      </c>
      <c r="AD208" s="35" t="e">
        <f>AD205/(((Data!$P$186/100)+1)^AD$70)</f>
        <v>#N/A</v>
      </c>
      <c r="AE208" s="35" t="e">
        <f>AE205/(((Data!$P$186/100)+1)^AE$70)</f>
        <v>#N/A</v>
      </c>
      <c r="AF208" s="35" t="e">
        <f>AF205/(((Data!$P$186/100)+1)^AF$70)</f>
        <v>#N/A</v>
      </c>
      <c r="AG208" s="35" t="e">
        <f>AG205/(((Data!$P$186/100)+1)^AG$70)</f>
        <v>#N/A</v>
      </c>
      <c r="AH208" s="35" t="e">
        <f>AH205/(((Data!$P$186/100)+1)^AH$70)</f>
        <v>#N/A</v>
      </c>
      <c r="AI208" s="35" t="e">
        <f>AI205/(((Data!$P$186/100)+1)^AI$70)</f>
        <v>#N/A</v>
      </c>
      <c r="AJ208" s="35" t="e">
        <f>AJ205/(((Data!$P$186/100)+1)^AJ$70)</f>
        <v>#N/A</v>
      </c>
    </row>
    <row r="209" spans="7:36" ht="15" customHeight="1" x14ac:dyDescent="0.2">
      <c r="G209" s="15" t="s">
        <v>184</v>
      </c>
      <c r="H209" s="15"/>
      <c r="I209" s="13"/>
      <c r="J209" s="13"/>
      <c r="K209" s="36" t="e">
        <f>K208</f>
        <v>#N/A</v>
      </c>
      <c r="L209" s="36" t="e">
        <f t="shared" ref="L209:AJ209" si="46">K209+L208</f>
        <v>#N/A</v>
      </c>
      <c r="M209" s="36" t="e">
        <f t="shared" si="46"/>
        <v>#N/A</v>
      </c>
      <c r="N209" s="36" t="e">
        <f t="shared" si="46"/>
        <v>#N/A</v>
      </c>
      <c r="O209" s="36" t="e">
        <f t="shared" si="46"/>
        <v>#N/A</v>
      </c>
      <c r="P209" s="36" t="e">
        <f t="shared" si="46"/>
        <v>#N/A</v>
      </c>
      <c r="Q209" s="36" t="e">
        <f t="shared" si="46"/>
        <v>#N/A</v>
      </c>
      <c r="R209" s="36" t="e">
        <f t="shared" si="46"/>
        <v>#N/A</v>
      </c>
      <c r="S209" s="36" t="e">
        <f t="shared" si="46"/>
        <v>#N/A</v>
      </c>
      <c r="T209" s="36" t="e">
        <f t="shared" si="46"/>
        <v>#N/A</v>
      </c>
      <c r="U209" s="36" t="e">
        <f t="shared" si="46"/>
        <v>#N/A</v>
      </c>
      <c r="V209" s="36" t="e">
        <f t="shared" si="46"/>
        <v>#N/A</v>
      </c>
      <c r="W209" s="36" t="e">
        <f t="shared" si="46"/>
        <v>#N/A</v>
      </c>
      <c r="X209" s="36" t="e">
        <f t="shared" si="46"/>
        <v>#N/A</v>
      </c>
      <c r="Y209" s="36" t="e">
        <f t="shared" si="46"/>
        <v>#N/A</v>
      </c>
      <c r="Z209" s="36" t="e">
        <f t="shared" si="46"/>
        <v>#N/A</v>
      </c>
      <c r="AA209" s="36" t="e">
        <f t="shared" si="46"/>
        <v>#N/A</v>
      </c>
      <c r="AB209" s="36" t="e">
        <f t="shared" si="46"/>
        <v>#N/A</v>
      </c>
      <c r="AC209" s="36" t="e">
        <f t="shared" si="46"/>
        <v>#N/A</v>
      </c>
      <c r="AD209" s="36" t="e">
        <f t="shared" si="46"/>
        <v>#N/A</v>
      </c>
      <c r="AE209" s="36" t="e">
        <f t="shared" si="46"/>
        <v>#N/A</v>
      </c>
      <c r="AF209" s="36" t="e">
        <f t="shared" si="46"/>
        <v>#N/A</v>
      </c>
      <c r="AG209" s="36" t="e">
        <f t="shared" si="46"/>
        <v>#N/A</v>
      </c>
      <c r="AH209" s="36" t="e">
        <f t="shared" si="46"/>
        <v>#N/A</v>
      </c>
      <c r="AI209" s="36" t="e">
        <f t="shared" si="46"/>
        <v>#N/A</v>
      </c>
      <c r="AJ209" s="36" t="e">
        <f t="shared" si="46"/>
        <v>#N/A</v>
      </c>
    </row>
    <row r="210" spans="7:36" ht="15" customHeight="1" x14ac:dyDescent="0.2">
      <c r="G210" s="8"/>
      <c r="H210" s="8"/>
      <c r="I210" s="8"/>
      <c r="J210" s="8"/>
      <c r="K210" s="8"/>
      <c r="L210" s="8"/>
      <c r="M210" s="8"/>
      <c r="N210" s="8"/>
      <c r="O210" s="8"/>
      <c r="P210" s="8"/>
      <c r="Q210" s="8"/>
      <c r="R210" s="8"/>
      <c r="S210" s="8"/>
      <c r="T210" s="9"/>
      <c r="U210" s="8"/>
      <c r="V210" s="8"/>
      <c r="W210" s="8"/>
      <c r="X210" s="8"/>
      <c r="Y210" s="8"/>
      <c r="Z210" s="8"/>
      <c r="AA210" s="8"/>
      <c r="AB210" s="8"/>
      <c r="AC210" s="8"/>
      <c r="AD210" s="8"/>
      <c r="AE210" s="8"/>
      <c r="AF210" s="8"/>
      <c r="AG210" s="8"/>
      <c r="AH210" s="8"/>
      <c r="AI210" s="8"/>
      <c r="AJ210" s="8"/>
    </row>
    <row r="211" spans="7:36" ht="15" customHeight="1" x14ac:dyDescent="0.2">
      <c r="G211" s="543" t="s">
        <v>513</v>
      </c>
      <c r="H211" s="18"/>
      <c r="I211" s="13"/>
      <c r="J211" s="13"/>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row>
    <row r="212" spans="7:36" ht="15" customHeight="1" x14ac:dyDescent="0.2">
      <c r="G212" s="18"/>
      <c r="H212" s="18"/>
      <c r="I212" s="13"/>
      <c r="J212" s="13"/>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row>
    <row r="213" spans="7:36" ht="15" customHeight="1" x14ac:dyDescent="0.2">
      <c r="G213" s="18" t="s">
        <v>2</v>
      </c>
      <c r="H213" s="60"/>
      <c r="I213" s="60"/>
      <c r="J213" s="60"/>
      <c r="K213" s="102">
        <f>IF(K$70&lt;$AC$43,VLOOKUP($I$18,$G$75:$AJ$79,K$70+5,FALSE),VLOOKUP($AA$18,$G$75:$AJ$79,K$70+5,FALSE))</f>
        <v>0.184</v>
      </c>
      <c r="L213" s="102">
        <f>IF($AA$18="Grid electricity",K213*((100+Data!$P$200)/100),K213)</f>
        <v>0.184</v>
      </c>
      <c r="M213" s="102">
        <f>IF($AA$18="Grid electricity",L213*((100+Data!$P$200)/100),L213)</f>
        <v>0.184</v>
      </c>
      <c r="N213" s="102">
        <f>IF($AA$18="Grid electricity",M213*((100+Data!$P$200)/100),M213)</f>
        <v>0.184</v>
      </c>
      <c r="O213" s="102">
        <f>IF($AA$18="Grid electricity",N213*((100+Data!$P$200)/100),N213)</f>
        <v>0.184</v>
      </c>
      <c r="P213" s="102">
        <f>IF($AA$18="Grid electricity",O213*((100+Data!$P$200)/100),O213)</f>
        <v>0.184</v>
      </c>
      <c r="Q213" s="102">
        <f>IF($AA$18="Grid electricity",P213*((100+Data!$P$200)/100),P213)</f>
        <v>0.184</v>
      </c>
      <c r="R213" s="102">
        <f>IF($AA$18="Grid electricity",Q213*((100+Data!$P$200)/100),Q213)</f>
        <v>0.184</v>
      </c>
      <c r="S213" s="102">
        <f>IF($AA$18="Grid electricity",R213*((100+Data!$P$200)/100),R213)</f>
        <v>0.184</v>
      </c>
      <c r="T213" s="102">
        <f>IF($AA$18="Grid electricity",S213*((100+Data!$P$200)/100),S213)</f>
        <v>0.184</v>
      </c>
      <c r="U213" s="102">
        <f>IF($AA$18="Grid electricity",T213*((100+Data!$P$200)/100),T213)</f>
        <v>0.184</v>
      </c>
      <c r="V213" s="102">
        <f>IF($AA$18="Grid electricity",U213*((100+Data!$P$200)/100),U213)</f>
        <v>0.184</v>
      </c>
      <c r="W213" s="102">
        <f>IF($AA$18="Grid electricity",V213*((100+Data!$P$200)/100),V213)</f>
        <v>0.184</v>
      </c>
      <c r="X213" s="102">
        <f>IF($AA$18="Grid electricity",W213*((100+Data!$P$200)/100),W213)</f>
        <v>0.184</v>
      </c>
      <c r="Y213" s="102">
        <f>IF($AA$18="Grid electricity",X213*((100+Data!$P$200)/100),X213)</f>
        <v>0.184</v>
      </c>
      <c r="Z213" s="102">
        <f>IF($AA$18="Grid electricity",Y213*((100+Data!$P$200)/100),Y213)</f>
        <v>0.184</v>
      </c>
      <c r="AA213" s="102">
        <f>IF($AA$18="Grid electricity",Z213*((100+Data!$P$200)/100),Z213)</f>
        <v>0.184</v>
      </c>
      <c r="AB213" s="102">
        <f>IF($AA$18="Grid electricity",AA213*((100+Data!$P$200)/100),AA213)</f>
        <v>0.184</v>
      </c>
      <c r="AC213" s="102">
        <f>IF($AA$18="Grid electricity",AB213*((100+Data!$P$200)/100),AB213)</f>
        <v>0.184</v>
      </c>
      <c r="AD213" s="102">
        <f>IF($AA$18="Grid electricity",AC213*((100+Data!$P$200)/100),AC213)</f>
        <v>0.184</v>
      </c>
      <c r="AE213" s="102">
        <f>IF($AA$18="Grid electricity",AD213*((100+Data!$P$200)/100),AD213)</f>
        <v>0.184</v>
      </c>
      <c r="AF213" s="102">
        <f>IF($AA$18="Grid electricity",AE213*((100+Data!$P$200)/100),AE213)</f>
        <v>0.184</v>
      </c>
      <c r="AG213" s="102">
        <f>IF($AA$18="Grid electricity",AF213*((100+Data!$P$200)/100),AF213)</f>
        <v>0.184</v>
      </c>
      <c r="AH213" s="102">
        <f>IF($AA$18="Grid electricity",AG213*((100+Data!$P$200)/100),AG213)</f>
        <v>0.184</v>
      </c>
      <c r="AI213" s="102">
        <f>IF($AA$18="Grid electricity",AH213*((100+Data!$P$200)/100),AH213)</f>
        <v>0.184</v>
      </c>
      <c r="AJ213" s="102">
        <f>IF($AA$18="Grid electricity",AI213*((100+Data!$P$200)/100),AI213)</f>
        <v>0.184</v>
      </c>
    </row>
    <row r="214" spans="7:36" ht="15" customHeight="1" x14ac:dyDescent="0.2">
      <c r="G214" s="18" t="s">
        <v>1</v>
      </c>
      <c r="H214" s="60"/>
      <c r="I214" s="60"/>
      <c r="J214" s="60"/>
      <c r="K214" s="102">
        <f t="shared" ref="K214:AJ214" si="47">IF(K$70&lt;$AC$43,VLOOKUP($I$18,$G$81:$AJ$85,K$70+5,FALSE),VLOOKUP($AA$18,$G$81:$AJ$85,K$70+5,FALSE))</f>
        <v>0.09</v>
      </c>
      <c r="L214" s="102">
        <f t="shared" si="47"/>
        <v>9.5399999999999999E-2</v>
      </c>
      <c r="M214" s="102">
        <f t="shared" si="47"/>
        <v>0.10112400000000001</v>
      </c>
      <c r="N214" s="102">
        <f t="shared" si="47"/>
        <v>0.10719144000000001</v>
      </c>
      <c r="O214" s="102">
        <f t="shared" si="47"/>
        <v>0.11362292640000002</v>
      </c>
      <c r="P214" s="102">
        <f t="shared" si="47"/>
        <v>0.12044030198400002</v>
      </c>
      <c r="Q214" s="102">
        <f t="shared" si="47"/>
        <v>0.12766672010304003</v>
      </c>
      <c r="R214" s="102">
        <f t="shared" si="47"/>
        <v>0.13532672330922244</v>
      </c>
      <c r="S214" s="102">
        <f t="shared" si="47"/>
        <v>0.1434463267077758</v>
      </c>
      <c r="T214" s="102">
        <f t="shared" si="47"/>
        <v>0.15205310631024235</v>
      </c>
      <c r="U214" s="102">
        <f t="shared" si="47"/>
        <v>0.16117629268885691</v>
      </c>
      <c r="V214" s="102">
        <f t="shared" si="47"/>
        <v>0.17084687025018833</v>
      </c>
      <c r="W214" s="102">
        <f t="shared" si="47"/>
        <v>0.18109768246519964</v>
      </c>
      <c r="X214" s="102">
        <f t="shared" si="47"/>
        <v>0.19196354341311161</v>
      </c>
      <c r="Y214" s="102">
        <f t="shared" si="47"/>
        <v>0.20348135601789832</v>
      </c>
      <c r="Z214" s="102">
        <f t="shared" si="47"/>
        <v>0.21569023737897222</v>
      </c>
      <c r="AA214" s="102">
        <f t="shared" si="47"/>
        <v>0.22863165162171056</v>
      </c>
      <c r="AB214" s="102">
        <f t="shared" si="47"/>
        <v>0.24234955071901321</v>
      </c>
      <c r="AC214" s="102">
        <f t="shared" si="47"/>
        <v>0.25689052376215399</v>
      </c>
      <c r="AD214" s="102">
        <f t="shared" si="47"/>
        <v>0.27230395518788325</v>
      </c>
      <c r="AE214" s="102">
        <f t="shared" si="47"/>
        <v>0.28864219249915624</v>
      </c>
      <c r="AF214" s="102">
        <f t="shared" si="47"/>
        <v>0.30596072404910563</v>
      </c>
      <c r="AG214" s="102">
        <f t="shared" si="47"/>
        <v>0.32431836749205201</v>
      </c>
      <c r="AH214" s="102">
        <f t="shared" si="47"/>
        <v>0.34377746954157512</v>
      </c>
      <c r="AI214" s="102">
        <f t="shared" si="47"/>
        <v>0.36440411771406966</v>
      </c>
      <c r="AJ214" s="102">
        <f t="shared" si="47"/>
        <v>0.38626836477691384</v>
      </c>
    </row>
    <row r="215" spans="7:36" ht="15" customHeight="1" x14ac:dyDescent="0.2">
      <c r="G215" s="60"/>
      <c r="H215" s="60"/>
      <c r="I215" s="60"/>
      <c r="J215" s="60"/>
      <c r="K215" s="60"/>
      <c r="L215" s="60"/>
      <c r="M215" s="60"/>
      <c r="N215" s="60"/>
      <c r="O215" s="60"/>
      <c r="P215" s="60"/>
      <c r="Q215" s="60"/>
      <c r="R215" s="61"/>
      <c r="S215" s="60"/>
      <c r="T215" s="60"/>
      <c r="U215" s="60"/>
      <c r="V215" s="60"/>
      <c r="W215" s="60"/>
      <c r="X215" s="60"/>
      <c r="Y215" s="60"/>
      <c r="Z215" s="60"/>
      <c r="AA215" s="60"/>
      <c r="AB215" s="60"/>
      <c r="AC215" s="60"/>
      <c r="AD215" s="60"/>
      <c r="AE215" s="60"/>
      <c r="AF215" s="60"/>
      <c r="AG215" s="60"/>
      <c r="AH215" s="60"/>
      <c r="AI215" s="60"/>
      <c r="AJ215" s="60"/>
    </row>
    <row r="216" spans="7:36" ht="15" customHeight="1" x14ac:dyDescent="0.2">
      <c r="G216" s="18" t="s">
        <v>4</v>
      </c>
      <c r="H216" s="18"/>
      <c r="I216" s="13"/>
      <c r="J216" s="13"/>
      <c r="K216" s="44"/>
      <c r="L216" s="44"/>
      <c r="M216" s="44"/>
      <c r="N216" s="44"/>
      <c r="O216" s="44"/>
      <c r="P216" s="44"/>
      <c r="Q216" s="44"/>
      <c r="R216" s="44"/>
      <c r="S216" s="44"/>
      <c r="T216" s="44"/>
      <c r="U216" s="44"/>
      <c r="V216" s="44"/>
      <c r="W216" s="44"/>
      <c r="X216" s="44"/>
      <c r="Y216" s="44"/>
      <c r="Z216" s="44"/>
      <c r="AA216" s="44"/>
      <c r="AB216" s="44"/>
      <c r="AC216" s="44"/>
      <c r="AD216" s="44"/>
      <c r="AE216" s="44"/>
      <c r="AF216" s="44"/>
      <c r="AG216" s="44"/>
      <c r="AH216" s="44"/>
      <c r="AI216" s="44"/>
      <c r="AJ216" s="44"/>
    </row>
    <row r="217" spans="7:36" ht="15" customHeight="1" x14ac:dyDescent="0.2">
      <c r="G217" s="18" t="s">
        <v>5</v>
      </c>
      <c r="H217" s="18"/>
      <c r="I217" s="13"/>
      <c r="J217" s="13"/>
      <c r="K217" s="44"/>
      <c r="L217" s="44"/>
      <c r="M217" s="44"/>
      <c r="N217" s="44"/>
      <c r="O217" s="44"/>
      <c r="P217" s="44"/>
      <c r="Q217" s="44"/>
      <c r="R217" s="44"/>
      <c r="S217" s="44"/>
      <c r="T217" s="44"/>
      <c r="U217" s="44"/>
      <c r="V217" s="44"/>
      <c r="W217" s="44"/>
      <c r="X217" s="44"/>
      <c r="Y217" s="44"/>
      <c r="Z217" s="44"/>
      <c r="AA217" s="44"/>
      <c r="AB217" s="44"/>
      <c r="AC217" s="44"/>
      <c r="AD217" s="44"/>
      <c r="AE217" s="44"/>
      <c r="AF217" s="44"/>
      <c r="AG217" s="44"/>
      <c r="AH217" s="44"/>
      <c r="AI217" s="44"/>
      <c r="AJ217" s="44"/>
    </row>
    <row r="218" spans="7:36" ht="15" customHeight="1" x14ac:dyDescent="0.2">
      <c r="G218" s="18" t="s">
        <v>6</v>
      </c>
      <c r="H218" s="18"/>
      <c r="I218" s="13"/>
      <c r="J218" s="13"/>
      <c r="K218" s="37" t="e">
        <f t="shared" ref="K218:AJ218" si="48">IF(K$70&lt;$AC$43,$K$13,$AC$13+$AC$14+$AC$15)</f>
        <v>#DIV/0!</v>
      </c>
      <c r="L218" s="37" t="e">
        <f t="shared" si="48"/>
        <v>#DIV/0!</v>
      </c>
      <c r="M218" s="37" t="e">
        <f t="shared" si="48"/>
        <v>#DIV/0!</v>
      </c>
      <c r="N218" s="37" t="e">
        <f t="shared" si="48"/>
        <v>#DIV/0!</v>
      </c>
      <c r="O218" s="37" t="e">
        <f t="shared" si="48"/>
        <v>#DIV/0!</v>
      </c>
      <c r="P218" s="37" t="e">
        <f t="shared" si="48"/>
        <v>#DIV/0!</v>
      </c>
      <c r="Q218" s="37" t="e">
        <f t="shared" si="48"/>
        <v>#DIV/0!</v>
      </c>
      <c r="R218" s="37" t="e">
        <f t="shared" si="48"/>
        <v>#DIV/0!</v>
      </c>
      <c r="S218" s="37" t="e">
        <f t="shared" si="48"/>
        <v>#DIV/0!</v>
      </c>
      <c r="T218" s="37" t="e">
        <f t="shared" si="48"/>
        <v>#DIV/0!</v>
      </c>
      <c r="U218" s="37" t="e">
        <f t="shared" si="48"/>
        <v>#DIV/0!</v>
      </c>
      <c r="V218" s="37" t="e">
        <f t="shared" si="48"/>
        <v>#DIV/0!</v>
      </c>
      <c r="W218" s="37" t="e">
        <f t="shared" si="48"/>
        <v>#DIV/0!</v>
      </c>
      <c r="X218" s="37" t="e">
        <f t="shared" si="48"/>
        <v>#DIV/0!</v>
      </c>
      <c r="Y218" s="37" t="e">
        <f t="shared" si="48"/>
        <v>#DIV/0!</v>
      </c>
      <c r="Z218" s="37" t="e">
        <f t="shared" si="48"/>
        <v>#DIV/0!</v>
      </c>
      <c r="AA218" s="37" t="e">
        <f t="shared" si="48"/>
        <v>#DIV/0!</v>
      </c>
      <c r="AB218" s="37" t="e">
        <f t="shared" si="48"/>
        <v>#DIV/0!</v>
      </c>
      <c r="AC218" s="37" t="e">
        <f t="shared" si="48"/>
        <v>#DIV/0!</v>
      </c>
      <c r="AD218" s="37" t="e">
        <f t="shared" si="48"/>
        <v>#DIV/0!</v>
      </c>
      <c r="AE218" s="37" t="e">
        <f t="shared" si="48"/>
        <v>#DIV/0!</v>
      </c>
      <c r="AF218" s="37" t="e">
        <f t="shared" si="48"/>
        <v>#DIV/0!</v>
      </c>
      <c r="AG218" s="37" t="e">
        <f t="shared" si="48"/>
        <v>#DIV/0!</v>
      </c>
      <c r="AH218" s="37" t="e">
        <f t="shared" si="48"/>
        <v>#DIV/0!</v>
      </c>
      <c r="AI218" s="37" t="e">
        <f t="shared" si="48"/>
        <v>#DIV/0!</v>
      </c>
      <c r="AJ218" s="37" t="e">
        <f t="shared" si="48"/>
        <v>#DIV/0!</v>
      </c>
    </row>
    <row r="219" spans="7:36" ht="15" customHeight="1" x14ac:dyDescent="0.2">
      <c r="G219" s="18"/>
      <c r="H219" s="18"/>
      <c r="I219" s="13"/>
      <c r="J219" s="13"/>
      <c r="K219" s="37"/>
      <c r="L219" s="37"/>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c r="AJ219" s="37"/>
    </row>
    <row r="220" spans="7:36" ht="15" customHeight="1" x14ac:dyDescent="0.2">
      <c r="G220" s="18" t="s">
        <v>7</v>
      </c>
      <c r="H220" s="18"/>
      <c r="I220" s="13"/>
      <c r="J220" s="13"/>
      <c r="K220" s="44"/>
      <c r="L220" s="44"/>
      <c r="M220" s="44"/>
      <c r="N220" s="44"/>
      <c r="O220" s="44"/>
      <c r="P220" s="44"/>
      <c r="Q220" s="44"/>
      <c r="R220" s="44"/>
      <c r="S220" s="44"/>
      <c r="T220" s="44"/>
      <c r="U220" s="44"/>
      <c r="V220" s="44"/>
      <c r="W220" s="44"/>
      <c r="X220" s="44"/>
      <c r="Y220" s="44"/>
      <c r="Z220" s="44"/>
      <c r="AA220" s="44"/>
      <c r="AB220" s="44"/>
      <c r="AC220" s="44"/>
      <c r="AD220" s="44"/>
      <c r="AE220" s="44"/>
      <c r="AF220" s="44"/>
      <c r="AG220" s="44"/>
      <c r="AH220" s="44"/>
      <c r="AI220" s="44"/>
      <c r="AJ220" s="44"/>
    </row>
    <row r="221" spans="7:36" ht="15" customHeight="1" x14ac:dyDescent="0.2">
      <c r="G221" s="18" t="s">
        <v>8</v>
      </c>
      <c r="H221" s="18"/>
      <c r="I221" s="13"/>
      <c r="J221" s="13"/>
      <c r="K221" s="44"/>
      <c r="L221" s="44"/>
      <c r="M221" s="44"/>
      <c r="N221" s="44"/>
      <c r="O221" s="44"/>
      <c r="P221" s="44"/>
      <c r="Q221" s="44"/>
      <c r="R221" s="44"/>
      <c r="S221" s="44"/>
      <c r="T221" s="44"/>
      <c r="U221" s="44"/>
      <c r="V221" s="44"/>
      <c r="W221" s="44"/>
      <c r="X221" s="44"/>
      <c r="Y221" s="44"/>
      <c r="Z221" s="44"/>
      <c r="AA221" s="44"/>
      <c r="AB221" s="44"/>
      <c r="AC221" s="44"/>
      <c r="AD221" s="44"/>
      <c r="AE221" s="44"/>
      <c r="AF221" s="44"/>
      <c r="AG221" s="44"/>
      <c r="AH221" s="44"/>
      <c r="AI221" s="44"/>
      <c r="AJ221" s="44"/>
    </row>
    <row r="222" spans="7:36" ht="15" customHeight="1" x14ac:dyDescent="0.2">
      <c r="G222" s="18" t="s">
        <v>9</v>
      </c>
      <c r="H222" s="18"/>
      <c r="I222" s="13"/>
      <c r="J222" s="13"/>
      <c r="K222" s="37" t="e">
        <f>K213*K218</f>
        <v>#DIV/0!</v>
      </c>
      <c r="L222" s="37" t="e">
        <f t="shared" ref="L222:AJ222" si="49">L213*L218</f>
        <v>#DIV/0!</v>
      </c>
      <c r="M222" s="37" t="e">
        <f t="shared" si="49"/>
        <v>#DIV/0!</v>
      </c>
      <c r="N222" s="37" t="e">
        <f t="shared" si="49"/>
        <v>#DIV/0!</v>
      </c>
      <c r="O222" s="37" t="e">
        <f t="shared" si="49"/>
        <v>#DIV/0!</v>
      </c>
      <c r="P222" s="37" t="e">
        <f t="shared" si="49"/>
        <v>#DIV/0!</v>
      </c>
      <c r="Q222" s="37" t="e">
        <f t="shared" si="49"/>
        <v>#DIV/0!</v>
      </c>
      <c r="R222" s="37" t="e">
        <f t="shared" si="49"/>
        <v>#DIV/0!</v>
      </c>
      <c r="S222" s="37" t="e">
        <f t="shared" si="49"/>
        <v>#DIV/0!</v>
      </c>
      <c r="T222" s="37" t="e">
        <f t="shared" si="49"/>
        <v>#DIV/0!</v>
      </c>
      <c r="U222" s="37" t="e">
        <f t="shared" si="49"/>
        <v>#DIV/0!</v>
      </c>
      <c r="V222" s="37" t="e">
        <f t="shared" si="49"/>
        <v>#DIV/0!</v>
      </c>
      <c r="W222" s="37" t="e">
        <f t="shared" si="49"/>
        <v>#DIV/0!</v>
      </c>
      <c r="X222" s="37" t="e">
        <f t="shared" si="49"/>
        <v>#DIV/0!</v>
      </c>
      <c r="Y222" s="37" t="e">
        <f t="shared" si="49"/>
        <v>#DIV/0!</v>
      </c>
      <c r="Z222" s="37" t="e">
        <f t="shared" si="49"/>
        <v>#DIV/0!</v>
      </c>
      <c r="AA222" s="37" t="e">
        <f t="shared" si="49"/>
        <v>#DIV/0!</v>
      </c>
      <c r="AB222" s="37" t="e">
        <f t="shared" si="49"/>
        <v>#DIV/0!</v>
      </c>
      <c r="AC222" s="37" t="e">
        <f t="shared" si="49"/>
        <v>#DIV/0!</v>
      </c>
      <c r="AD222" s="37" t="e">
        <f t="shared" si="49"/>
        <v>#DIV/0!</v>
      </c>
      <c r="AE222" s="37" t="e">
        <f t="shared" si="49"/>
        <v>#DIV/0!</v>
      </c>
      <c r="AF222" s="37" t="e">
        <f t="shared" si="49"/>
        <v>#DIV/0!</v>
      </c>
      <c r="AG222" s="37" t="e">
        <f t="shared" si="49"/>
        <v>#DIV/0!</v>
      </c>
      <c r="AH222" s="37" t="e">
        <f t="shared" si="49"/>
        <v>#DIV/0!</v>
      </c>
      <c r="AI222" s="37" t="e">
        <f t="shared" si="49"/>
        <v>#DIV/0!</v>
      </c>
      <c r="AJ222" s="37" t="e">
        <f t="shared" si="49"/>
        <v>#DIV/0!</v>
      </c>
    </row>
    <row r="223" spans="7:36" ht="15" customHeight="1" x14ac:dyDescent="0.2">
      <c r="G223" s="18"/>
      <c r="H223" s="18"/>
      <c r="I223" s="13"/>
      <c r="J223" s="13"/>
      <c r="K223" s="37"/>
      <c r="L223" s="37"/>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row>
    <row r="224" spans="7:36" ht="15" customHeight="1" x14ac:dyDescent="0.2">
      <c r="G224" s="18" t="s">
        <v>10</v>
      </c>
      <c r="H224" s="18"/>
      <c r="I224" s="13"/>
      <c r="J224" s="13"/>
      <c r="K224" s="44"/>
      <c r="L224" s="44"/>
      <c r="M224" s="44"/>
      <c r="N224" s="44"/>
      <c r="O224" s="44"/>
      <c r="P224" s="44"/>
      <c r="Q224" s="44"/>
      <c r="R224" s="44"/>
      <c r="S224" s="44"/>
      <c r="T224" s="44"/>
      <c r="U224" s="44"/>
      <c r="V224" s="44"/>
      <c r="W224" s="44"/>
      <c r="X224" s="44"/>
      <c r="Y224" s="44"/>
      <c r="Z224" s="44"/>
      <c r="AA224" s="44"/>
      <c r="AB224" s="44"/>
      <c r="AC224" s="44"/>
      <c r="AD224" s="44"/>
      <c r="AE224" s="44"/>
      <c r="AF224" s="44"/>
      <c r="AG224" s="44"/>
      <c r="AH224" s="44"/>
      <c r="AI224" s="44"/>
      <c r="AJ224" s="44"/>
    </row>
    <row r="225" spans="7:36" ht="15" customHeight="1" x14ac:dyDescent="0.2">
      <c r="G225" s="18" t="s">
        <v>11</v>
      </c>
      <c r="H225" s="18"/>
      <c r="I225" s="13"/>
      <c r="J225" s="13"/>
      <c r="K225" s="44"/>
      <c r="L225" s="44"/>
      <c r="M225" s="44"/>
      <c r="N225" s="44"/>
      <c r="O225" s="44"/>
      <c r="P225" s="44"/>
      <c r="Q225" s="44"/>
      <c r="R225" s="44"/>
      <c r="S225" s="44"/>
      <c r="T225" s="44"/>
      <c r="U225" s="44"/>
      <c r="V225" s="44"/>
      <c r="W225" s="44"/>
      <c r="X225" s="44"/>
      <c r="Y225" s="44"/>
      <c r="Z225" s="44"/>
      <c r="AA225" s="44"/>
      <c r="AB225" s="44"/>
      <c r="AC225" s="44"/>
      <c r="AD225" s="44"/>
      <c r="AE225" s="44"/>
      <c r="AF225" s="44"/>
      <c r="AG225" s="44"/>
      <c r="AH225" s="44"/>
      <c r="AI225" s="44"/>
      <c r="AJ225" s="44"/>
    </row>
    <row r="226" spans="7:36" ht="15" customHeight="1" x14ac:dyDescent="0.2">
      <c r="G226" s="18" t="s">
        <v>12</v>
      </c>
      <c r="H226" s="18"/>
      <c r="I226" s="13"/>
      <c r="J226" s="13"/>
      <c r="K226" s="37" t="e">
        <f>K214*K218</f>
        <v>#DIV/0!</v>
      </c>
      <c r="L226" s="37" t="e">
        <f t="shared" ref="L226:AJ226" si="50">L214*L218</f>
        <v>#DIV/0!</v>
      </c>
      <c r="M226" s="37" t="e">
        <f t="shared" si="50"/>
        <v>#DIV/0!</v>
      </c>
      <c r="N226" s="37" t="e">
        <f t="shared" si="50"/>
        <v>#DIV/0!</v>
      </c>
      <c r="O226" s="37" t="e">
        <f t="shared" si="50"/>
        <v>#DIV/0!</v>
      </c>
      <c r="P226" s="37" t="e">
        <f t="shared" si="50"/>
        <v>#DIV/0!</v>
      </c>
      <c r="Q226" s="37" t="e">
        <f t="shared" si="50"/>
        <v>#DIV/0!</v>
      </c>
      <c r="R226" s="37" t="e">
        <f t="shared" si="50"/>
        <v>#DIV/0!</v>
      </c>
      <c r="S226" s="37" t="e">
        <f t="shared" si="50"/>
        <v>#DIV/0!</v>
      </c>
      <c r="T226" s="37" t="e">
        <f t="shared" si="50"/>
        <v>#DIV/0!</v>
      </c>
      <c r="U226" s="37" t="e">
        <f t="shared" si="50"/>
        <v>#DIV/0!</v>
      </c>
      <c r="V226" s="37" t="e">
        <f t="shared" si="50"/>
        <v>#DIV/0!</v>
      </c>
      <c r="W226" s="37" t="e">
        <f t="shared" si="50"/>
        <v>#DIV/0!</v>
      </c>
      <c r="X226" s="37" t="e">
        <f t="shared" si="50"/>
        <v>#DIV/0!</v>
      </c>
      <c r="Y226" s="37" t="e">
        <f t="shared" si="50"/>
        <v>#DIV/0!</v>
      </c>
      <c r="Z226" s="37" t="e">
        <f t="shared" si="50"/>
        <v>#DIV/0!</v>
      </c>
      <c r="AA226" s="37" t="e">
        <f t="shared" si="50"/>
        <v>#DIV/0!</v>
      </c>
      <c r="AB226" s="37" t="e">
        <f t="shared" si="50"/>
        <v>#DIV/0!</v>
      </c>
      <c r="AC226" s="37" t="e">
        <f t="shared" si="50"/>
        <v>#DIV/0!</v>
      </c>
      <c r="AD226" s="37" t="e">
        <f t="shared" si="50"/>
        <v>#DIV/0!</v>
      </c>
      <c r="AE226" s="37" t="e">
        <f t="shared" si="50"/>
        <v>#DIV/0!</v>
      </c>
      <c r="AF226" s="37" t="e">
        <f t="shared" si="50"/>
        <v>#DIV/0!</v>
      </c>
      <c r="AG226" s="37" t="e">
        <f t="shared" si="50"/>
        <v>#DIV/0!</v>
      </c>
      <c r="AH226" s="37" t="e">
        <f t="shared" si="50"/>
        <v>#DIV/0!</v>
      </c>
      <c r="AI226" s="37" t="e">
        <f t="shared" si="50"/>
        <v>#DIV/0!</v>
      </c>
      <c r="AJ226" s="37" t="e">
        <f t="shared" si="50"/>
        <v>#DIV/0!</v>
      </c>
    </row>
    <row r="227" spans="7:36" ht="15" customHeight="1" x14ac:dyDescent="0.2">
      <c r="G227" s="18" t="s">
        <v>13</v>
      </c>
      <c r="H227" s="18"/>
      <c r="I227" s="13"/>
      <c r="J227" s="13"/>
      <c r="K227" s="37" t="e">
        <f t="shared" ref="K227:AJ227" si="51">K$88*K222</f>
        <v>#DIV/0!</v>
      </c>
      <c r="L227" s="37" t="e">
        <f t="shared" si="51"/>
        <v>#DIV/0!</v>
      </c>
      <c r="M227" s="37" t="e">
        <f t="shared" si="51"/>
        <v>#DIV/0!</v>
      </c>
      <c r="N227" s="37" t="e">
        <f t="shared" si="51"/>
        <v>#DIV/0!</v>
      </c>
      <c r="O227" s="37" t="e">
        <f t="shared" si="51"/>
        <v>#DIV/0!</v>
      </c>
      <c r="P227" s="37" t="e">
        <f t="shared" si="51"/>
        <v>#DIV/0!</v>
      </c>
      <c r="Q227" s="37" t="e">
        <f t="shared" si="51"/>
        <v>#DIV/0!</v>
      </c>
      <c r="R227" s="37" t="e">
        <f t="shared" si="51"/>
        <v>#DIV/0!</v>
      </c>
      <c r="S227" s="37" t="e">
        <f t="shared" si="51"/>
        <v>#DIV/0!</v>
      </c>
      <c r="T227" s="37" t="e">
        <f t="shared" si="51"/>
        <v>#DIV/0!</v>
      </c>
      <c r="U227" s="37" t="e">
        <f t="shared" si="51"/>
        <v>#DIV/0!</v>
      </c>
      <c r="V227" s="37" t="e">
        <f t="shared" si="51"/>
        <v>#DIV/0!</v>
      </c>
      <c r="W227" s="37" t="e">
        <f t="shared" si="51"/>
        <v>#DIV/0!</v>
      </c>
      <c r="X227" s="37" t="e">
        <f t="shared" si="51"/>
        <v>#DIV/0!</v>
      </c>
      <c r="Y227" s="37" t="e">
        <f t="shared" si="51"/>
        <v>#DIV/0!</v>
      </c>
      <c r="Z227" s="37" t="e">
        <f t="shared" si="51"/>
        <v>#DIV/0!</v>
      </c>
      <c r="AA227" s="37" t="e">
        <f t="shared" si="51"/>
        <v>#DIV/0!</v>
      </c>
      <c r="AB227" s="37" t="e">
        <f t="shared" si="51"/>
        <v>#DIV/0!</v>
      </c>
      <c r="AC227" s="37" t="e">
        <f t="shared" si="51"/>
        <v>#DIV/0!</v>
      </c>
      <c r="AD227" s="37" t="e">
        <f t="shared" si="51"/>
        <v>#DIV/0!</v>
      </c>
      <c r="AE227" s="37" t="e">
        <f t="shared" si="51"/>
        <v>#DIV/0!</v>
      </c>
      <c r="AF227" s="37" t="e">
        <f t="shared" si="51"/>
        <v>#DIV/0!</v>
      </c>
      <c r="AG227" s="37" t="e">
        <f t="shared" si="51"/>
        <v>#DIV/0!</v>
      </c>
      <c r="AH227" s="37" t="e">
        <f t="shared" si="51"/>
        <v>#DIV/0!</v>
      </c>
      <c r="AI227" s="37" t="e">
        <f t="shared" si="51"/>
        <v>#DIV/0!</v>
      </c>
      <c r="AJ227" s="37" t="e">
        <f t="shared" si="51"/>
        <v>#DIV/0!</v>
      </c>
    </row>
    <row r="228" spans="7:36" ht="15" customHeight="1" x14ac:dyDescent="0.2">
      <c r="G228" s="18"/>
      <c r="H228" s="18"/>
      <c r="I228" s="13"/>
      <c r="J228" s="13"/>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row>
    <row r="229" spans="7:36" ht="15" customHeight="1" x14ac:dyDescent="0.2">
      <c r="G229" s="18" t="s">
        <v>14</v>
      </c>
      <c r="H229" s="18"/>
      <c r="I229" s="13"/>
      <c r="J229" s="13"/>
      <c r="K229" s="37" t="e">
        <f>SUM(K224:K227)</f>
        <v>#DIV/0!</v>
      </c>
      <c r="L229" s="37" t="e">
        <f t="shared" ref="L229:AH229" si="52">SUM(L224:L227)</f>
        <v>#DIV/0!</v>
      </c>
      <c r="M229" s="37" t="e">
        <f t="shared" si="52"/>
        <v>#DIV/0!</v>
      </c>
      <c r="N229" s="37" t="e">
        <f t="shared" si="52"/>
        <v>#DIV/0!</v>
      </c>
      <c r="O229" s="37" t="e">
        <f t="shared" si="52"/>
        <v>#DIV/0!</v>
      </c>
      <c r="P229" s="37" t="e">
        <f t="shared" si="52"/>
        <v>#DIV/0!</v>
      </c>
      <c r="Q229" s="37" t="e">
        <f t="shared" si="52"/>
        <v>#DIV/0!</v>
      </c>
      <c r="R229" s="37" t="e">
        <f t="shared" si="52"/>
        <v>#DIV/0!</v>
      </c>
      <c r="S229" s="37" t="e">
        <f t="shared" si="52"/>
        <v>#DIV/0!</v>
      </c>
      <c r="T229" s="37" t="e">
        <f t="shared" si="52"/>
        <v>#DIV/0!</v>
      </c>
      <c r="U229" s="37" t="e">
        <f t="shared" si="52"/>
        <v>#DIV/0!</v>
      </c>
      <c r="V229" s="37" t="e">
        <f t="shared" si="52"/>
        <v>#DIV/0!</v>
      </c>
      <c r="W229" s="37" t="e">
        <f t="shared" si="52"/>
        <v>#DIV/0!</v>
      </c>
      <c r="X229" s="37" t="e">
        <f t="shared" si="52"/>
        <v>#DIV/0!</v>
      </c>
      <c r="Y229" s="37" t="e">
        <f t="shared" si="52"/>
        <v>#DIV/0!</v>
      </c>
      <c r="Z229" s="37" t="e">
        <f t="shared" si="52"/>
        <v>#DIV/0!</v>
      </c>
      <c r="AA229" s="37" t="e">
        <f t="shared" si="52"/>
        <v>#DIV/0!</v>
      </c>
      <c r="AB229" s="37" t="e">
        <f t="shared" si="52"/>
        <v>#DIV/0!</v>
      </c>
      <c r="AC229" s="37" t="e">
        <f t="shared" si="52"/>
        <v>#DIV/0!</v>
      </c>
      <c r="AD229" s="37" t="e">
        <f t="shared" si="52"/>
        <v>#DIV/0!</v>
      </c>
      <c r="AE229" s="37" t="e">
        <f t="shared" si="52"/>
        <v>#DIV/0!</v>
      </c>
      <c r="AF229" s="37" t="e">
        <f t="shared" si="52"/>
        <v>#DIV/0!</v>
      </c>
      <c r="AG229" s="37" t="e">
        <f t="shared" si="52"/>
        <v>#DIV/0!</v>
      </c>
      <c r="AH229" s="37" t="e">
        <f t="shared" si="52"/>
        <v>#DIV/0!</v>
      </c>
      <c r="AI229" s="37" t="e">
        <f>SUM(AI224:AI227)</f>
        <v>#DIV/0!</v>
      </c>
      <c r="AJ229" s="37" t="e">
        <f>SUM(AJ224:AJ227)</f>
        <v>#DIV/0!</v>
      </c>
    </row>
    <row r="230" spans="7:36" ht="15" customHeight="1" x14ac:dyDescent="0.2">
      <c r="G230" s="18" t="s">
        <v>435</v>
      </c>
      <c r="H230" s="18"/>
      <c r="I230" s="13"/>
      <c r="J230" s="13"/>
      <c r="K230" s="37" t="e">
        <f>K229</f>
        <v>#DIV/0!</v>
      </c>
      <c r="L230" s="37" t="e">
        <f t="shared" ref="L230:AJ230" si="53">K230+L229</f>
        <v>#DIV/0!</v>
      </c>
      <c r="M230" s="37" t="e">
        <f t="shared" si="53"/>
        <v>#DIV/0!</v>
      </c>
      <c r="N230" s="37" t="e">
        <f t="shared" si="53"/>
        <v>#DIV/0!</v>
      </c>
      <c r="O230" s="37" t="e">
        <f t="shared" si="53"/>
        <v>#DIV/0!</v>
      </c>
      <c r="P230" s="37" t="e">
        <f t="shared" si="53"/>
        <v>#DIV/0!</v>
      </c>
      <c r="Q230" s="37" t="e">
        <f t="shared" si="53"/>
        <v>#DIV/0!</v>
      </c>
      <c r="R230" s="37" t="e">
        <f t="shared" si="53"/>
        <v>#DIV/0!</v>
      </c>
      <c r="S230" s="37" t="e">
        <f t="shared" si="53"/>
        <v>#DIV/0!</v>
      </c>
      <c r="T230" s="37" t="e">
        <f t="shared" si="53"/>
        <v>#DIV/0!</v>
      </c>
      <c r="U230" s="37" t="e">
        <f t="shared" si="53"/>
        <v>#DIV/0!</v>
      </c>
      <c r="V230" s="37" t="e">
        <f t="shared" si="53"/>
        <v>#DIV/0!</v>
      </c>
      <c r="W230" s="37" t="e">
        <f t="shared" si="53"/>
        <v>#DIV/0!</v>
      </c>
      <c r="X230" s="37" t="e">
        <f t="shared" si="53"/>
        <v>#DIV/0!</v>
      </c>
      <c r="Y230" s="37" t="e">
        <f t="shared" si="53"/>
        <v>#DIV/0!</v>
      </c>
      <c r="Z230" s="37" t="e">
        <f t="shared" si="53"/>
        <v>#DIV/0!</v>
      </c>
      <c r="AA230" s="37" t="e">
        <f t="shared" si="53"/>
        <v>#DIV/0!</v>
      </c>
      <c r="AB230" s="37" t="e">
        <f t="shared" si="53"/>
        <v>#DIV/0!</v>
      </c>
      <c r="AC230" s="37" t="e">
        <f t="shared" si="53"/>
        <v>#DIV/0!</v>
      </c>
      <c r="AD230" s="37" t="e">
        <f t="shared" si="53"/>
        <v>#DIV/0!</v>
      </c>
      <c r="AE230" s="37" t="e">
        <f t="shared" si="53"/>
        <v>#DIV/0!</v>
      </c>
      <c r="AF230" s="37" t="e">
        <f t="shared" si="53"/>
        <v>#DIV/0!</v>
      </c>
      <c r="AG230" s="37" t="e">
        <f t="shared" si="53"/>
        <v>#DIV/0!</v>
      </c>
      <c r="AH230" s="37" t="e">
        <f t="shared" si="53"/>
        <v>#DIV/0!</v>
      </c>
      <c r="AI230" s="37" t="e">
        <f t="shared" si="53"/>
        <v>#DIV/0!</v>
      </c>
      <c r="AJ230" s="37" t="e">
        <f t="shared" si="53"/>
        <v>#DIV/0!</v>
      </c>
    </row>
    <row r="231" spans="7:36" ht="15" customHeight="1" x14ac:dyDescent="0.2">
      <c r="G231" s="18"/>
      <c r="H231" s="18"/>
      <c r="I231" s="13"/>
      <c r="J231" s="13"/>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c r="AJ231" s="18"/>
    </row>
    <row r="232" spans="7:36" ht="15" customHeight="1" x14ac:dyDescent="0.2">
      <c r="G232" s="18" t="s">
        <v>17</v>
      </c>
      <c r="H232" s="18"/>
      <c r="I232" s="13"/>
      <c r="J232" s="13"/>
      <c r="K232" s="37" t="e">
        <f>K229/(((Data!$P$186/100)+1)^K$70)</f>
        <v>#DIV/0!</v>
      </c>
      <c r="L232" s="37" t="e">
        <f>L229/(((Data!$P$186/100)+1)^L$70)</f>
        <v>#DIV/0!</v>
      </c>
      <c r="M232" s="37" t="e">
        <f>M229/(((Data!$P$186/100)+1)^M$70)</f>
        <v>#DIV/0!</v>
      </c>
      <c r="N232" s="37" t="e">
        <f>N229/(((Data!$P$186/100)+1)^N$70)</f>
        <v>#DIV/0!</v>
      </c>
      <c r="O232" s="37" t="e">
        <f>O229/(((Data!$P$186/100)+1)^O$70)</f>
        <v>#DIV/0!</v>
      </c>
      <c r="P232" s="37" t="e">
        <f>P229/(((Data!$P$186/100)+1)^P$70)</f>
        <v>#DIV/0!</v>
      </c>
      <c r="Q232" s="37" t="e">
        <f>Q229/(((Data!$P$186/100)+1)^Q$70)</f>
        <v>#DIV/0!</v>
      </c>
      <c r="R232" s="37" t="e">
        <f>R229/(((Data!$P$186/100)+1)^R$70)</f>
        <v>#DIV/0!</v>
      </c>
      <c r="S232" s="37" t="e">
        <f>S229/(((Data!$P$186/100)+1)^S$70)</f>
        <v>#DIV/0!</v>
      </c>
      <c r="T232" s="37" t="e">
        <f>T229/(((Data!$P$186/100)+1)^T$70)</f>
        <v>#DIV/0!</v>
      </c>
      <c r="U232" s="37" t="e">
        <f>U229/(((Data!$P$186/100)+1)^U$70)</f>
        <v>#DIV/0!</v>
      </c>
      <c r="V232" s="37" t="e">
        <f>V229/(((Data!$P$186/100)+1)^V$70)</f>
        <v>#DIV/0!</v>
      </c>
      <c r="W232" s="37" t="e">
        <f>W229/(((Data!$P$186/100)+1)^W$70)</f>
        <v>#DIV/0!</v>
      </c>
      <c r="X232" s="37" t="e">
        <f>X229/(((Data!$P$186/100)+1)^X$70)</f>
        <v>#DIV/0!</v>
      </c>
      <c r="Y232" s="37" t="e">
        <f>Y229/(((Data!$P$186/100)+1)^Y$70)</f>
        <v>#DIV/0!</v>
      </c>
      <c r="Z232" s="37" t="e">
        <f>Z229/(((Data!$P$186/100)+1)^Z$70)</f>
        <v>#DIV/0!</v>
      </c>
      <c r="AA232" s="37" t="e">
        <f>AA229/(((Data!$P$186/100)+1)^AA$70)</f>
        <v>#DIV/0!</v>
      </c>
      <c r="AB232" s="37" t="e">
        <f>AB229/(((Data!$P$186/100)+1)^AB$70)</f>
        <v>#DIV/0!</v>
      </c>
      <c r="AC232" s="37" t="e">
        <f>AC229/(((Data!$P$186/100)+1)^AC$70)</f>
        <v>#DIV/0!</v>
      </c>
      <c r="AD232" s="37" t="e">
        <f>AD229/(((Data!$P$186/100)+1)^AD$70)</f>
        <v>#DIV/0!</v>
      </c>
      <c r="AE232" s="37" t="e">
        <f>AE229/(((Data!$P$186/100)+1)^AE$70)</f>
        <v>#DIV/0!</v>
      </c>
      <c r="AF232" s="37" t="e">
        <f>AF229/(((Data!$P$186/100)+1)^AF$70)</f>
        <v>#DIV/0!</v>
      </c>
      <c r="AG232" s="37" t="e">
        <f>AG229/(((Data!$P$186/100)+1)^AG$70)</f>
        <v>#DIV/0!</v>
      </c>
      <c r="AH232" s="37" t="e">
        <f>AH229/(((Data!$P$186/100)+1)^AH$70)</f>
        <v>#DIV/0!</v>
      </c>
      <c r="AI232" s="37" t="e">
        <f>AI229/(((Data!$P$186/100)+1)^AI$70)</f>
        <v>#DIV/0!</v>
      </c>
      <c r="AJ232" s="37" t="e">
        <f>AJ229/(((Data!$P$186/100)+1)^AJ$70)</f>
        <v>#DIV/0!</v>
      </c>
    </row>
    <row r="233" spans="7:36" ht="15" customHeight="1" x14ac:dyDescent="0.2">
      <c r="G233" s="16" t="s">
        <v>185</v>
      </c>
      <c r="H233" s="16"/>
      <c r="I233" s="13"/>
      <c r="J233" s="13"/>
      <c r="K233" s="38" t="e">
        <f>K232</f>
        <v>#DIV/0!</v>
      </c>
      <c r="L233" s="38" t="e">
        <f t="shared" ref="L233:AJ233" si="54">K233+L232</f>
        <v>#DIV/0!</v>
      </c>
      <c r="M233" s="38" t="e">
        <f t="shared" si="54"/>
        <v>#DIV/0!</v>
      </c>
      <c r="N233" s="38" t="e">
        <f t="shared" si="54"/>
        <v>#DIV/0!</v>
      </c>
      <c r="O233" s="38" t="e">
        <f t="shared" si="54"/>
        <v>#DIV/0!</v>
      </c>
      <c r="P233" s="38" t="e">
        <f t="shared" si="54"/>
        <v>#DIV/0!</v>
      </c>
      <c r="Q233" s="38" t="e">
        <f t="shared" si="54"/>
        <v>#DIV/0!</v>
      </c>
      <c r="R233" s="38" t="e">
        <f t="shared" si="54"/>
        <v>#DIV/0!</v>
      </c>
      <c r="S233" s="38" t="e">
        <f t="shared" si="54"/>
        <v>#DIV/0!</v>
      </c>
      <c r="T233" s="38" t="e">
        <f t="shared" si="54"/>
        <v>#DIV/0!</v>
      </c>
      <c r="U233" s="38" t="e">
        <f t="shared" si="54"/>
        <v>#DIV/0!</v>
      </c>
      <c r="V233" s="38" t="e">
        <f t="shared" si="54"/>
        <v>#DIV/0!</v>
      </c>
      <c r="W233" s="38" t="e">
        <f t="shared" si="54"/>
        <v>#DIV/0!</v>
      </c>
      <c r="X233" s="38" t="e">
        <f t="shared" si="54"/>
        <v>#DIV/0!</v>
      </c>
      <c r="Y233" s="38" t="e">
        <f t="shared" si="54"/>
        <v>#DIV/0!</v>
      </c>
      <c r="Z233" s="38" t="e">
        <f t="shared" si="54"/>
        <v>#DIV/0!</v>
      </c>
      <c r="AA233" s="38" t="e">
        <f t="shared" si="54"/>
        <v>#DIV/0!</v>
      </c>
      <c r="AB233" s="38" t="e">
        <f t="shared" si="54"/>
        <v>#DIV/0!</v>
      </c>
      <c r="AC233" s="38" t="e">
        <f t="shared" si="54"/>
        <v>#DIV/0!</v>
      </c>
      <c r="AD233" s="38" t="e">
        <f t="shared" si="54"/>
        <v>#DIV/0!</v>
      </c>
      <c r="AE233" s="38" t="e">
        <f t="shared" si="54"/>
        <v>#DIV/0!</v>
      </c>
      <c r="AF233" s="38" t="e">
        <f t="shared" si="54"/>
        <v>#DIV/0!</v>
      </c>
      <c r="AG233" s="38" t="e">
        <f t="shared" si="54"/>
        <v>#DIV/0!</v>
      </c>
      <c r="AH233" s="38" t="e">
        <f t="shared" si="54"/>
        <v>#DIV/0!</v>
      </c>
      <c r="AI233" s="38" t="e">
        <f t="shared" si="54"/>
        <v>#DIV/0!</v>
      </c>
      <c r="AJ233" s="38" t="e">
        <f t="shared" si="54"/>
        <v>#DIV/0!</v>
      </c>
    </row>
    <row r="236" spans="7:36" ht="15" customHeight="1" x14ac:dyDescent="0.2">
      <c r="G236" s="489" t="s">
        <v>297</v>
      </c>
      <c r="H236" s="14"/>
      <c r="I236" s="13"/>
      <c r="J236" s="13"/>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row>
    <row r="237" spans="7:36" ht="15" customHeight="1" x14ac:dyDescent="0.2">
      <c r="G237" s="14"/>
      <c r="H237" s="14"/>
      <c r="I237" s="13"/>
      <c r="J237" s="13"/>
      <c r="K237" s="31"/>
      <c r="L237" s="31"/>
      <c r="M237" s="31"/>
      <c r="N237" s="31"/>
      <c r="O237" s="31"/>
      <c r="P237" s="31"/>
      <c r="Q237" s="31"/>
      <c r="R237" s="31"/>
      <c r="S237" s="31"/>
      <c r="T237" s="31"/>
      <c r="U237" s="31"/>
      <c r="V237" s="31"/>
      <c r="W237" s="31"/>
      <c r="X237" s="31"/>
      <c r="Y237" s="31"/>
      <c r="Z237" s="31"/>
      <c r="AA237" s="31"/>
      <c r="AB237" s="31"/>
      <c r="AC237" s="31"/>
      <c r="AD237" s="31"/>
      <c r="AE237" s="31"/>
      <c r="AF237" s="31"/>
      <c r="AG237" s="31"/>
      <c r="AH237" s="31"/>
      <c r="AI237" s="31"/>
      <c r="AJ237" s="31"/>
    </row>
    <row r="238" spans="7:36" ht="15" customHeight="1" x14ac:dyDescent="0.2">
      <c r="G238" s="14" t="s">
        <v>2</v>
      </c>
      <c r="H238" s="60"/>
      <c r="I238" s="60"/>
      <c r="J238" s="60"/>
      <c r="K238" s="39">
        <f>K$79</f>
        <v>0.19338</v>
      </c>
      <c r="L238" s="39">
        <f t="shared" ref="L238:AJ238" si="55">L$79</f>
        <v>0.18757859999999998</v>
      </c>
      <c r="M238" s="39">
        <f t="shared" si="55"/>
        <v>0.18195124199999999</v>
      </c>
      <c r="N238" s="39">
        <f t="shared" si="55"/>
        <v>0.17649270473999998</v>
      </c>
      <c r="O238" s="39">
        <f t="shared" si="55"/>
        <v>0.17119792359779998</v>
      </c>
      <c r="P238" s="39">
        <f t="shared" si="55"/>
        <v>0.16606198588986598</v>
      </c>
      <c r="Q238" s="39">
        <f t="shared" si="55"/>
        <v>0.16108012631317001</v>
      </c>
      <c r="R238" s="39">
        <f t="shared" si="55"/>
        <v>0.15624772252377489</v>
      </c>
      <c r="S238" s="39">
        <f t="shared" si="55"/>
        <v>0.15156029084806164</v>
      </c>
      <c r="T238" s="39">
        <f t="shared" si="55"/>
        <v>0.14701348212261978</v>
      </c>
      <c r="U238" s="39">
        <f t="shared" si="55"/>
        <v>0.14260307765894117</v>
      </c>
      <c r="V238" s="39">
        <f t="shared" si="55"/>
        <v>0.13832498532917292</v>
      </c>
      <c r="W238" s="39">
        <f t="shared" si="55"/>
        <v>0.13417523576929774</v>
      </c>
      <c r="X238" s="39">
        <f t="shared" si="55"/>
        <v>0.1301499786962188</v>
      </c>
      <c r="Y238" s="39">
        <f t="shared" si="55"/>
        <v>0.12624547933533223</v>
      </c>
      <c r="Z238" s="39">
        <f t="shared" si="55"/>
        <v>0.12245811495527226</v>
      </c>
      <c r="AA238" s="39">
        <f t="shared" si="55"/>
        <v>0.11878437150661408</v>
      </c>
      <c r="AB238" s="39">
        <f t="shared" si="55"/>
        <v>0.11522084036141565</v>
      </c>
      <c r="AC238" s="39">
        <f t="shared" si="55"/>
        <v>0.11176421515057318</v>
      </c>
      <c r="AD238" s="39">
        <f t="shared" si="55"/>
        <v>0.10841128869605599</v>
      </c>
      <c r="AE238" s="39">
        <f t="shared" si="55"/>
        <v>0.10515895003517431</v>
      </c>
      <c r="AF238" s="39">
        <f t="shared" si="55"/>
        <v>0.10200418153411908</v>
      </c>
      <c r="AG238" s="39">
        <f t="shared" si="55"/>
        <v>9.8944056088095506E-2</v>
      </c>
      <c r="AH238" s="39">
        <f t="shared" si="55"/>
        <v>9.5975734405452637E-2</v>
      </c>
      <c r="AI238" s="39">
        <f t="shared" si="55"/>
        <v>9.3096462373289057E-2</v>
      </c>
      <c r="AJ238" s="39">
        <f t="shared" si="55"/>
        <v>9.0303568502090384E-2</v>
      </c>
    </row>
    <row r="239" spans="7:36" ht="15" customHeight="1" x14ac:dyDescent="0.2">
      <c r="G239" s="14" t="s">
        <v>1</v>
      </c>
      <c r="H239" s="60"/>
      <c r="I239" s="60"/>
      <c r="J239" s="60"/>
      <c r="K239" s="39">
        <f>K$85</f>
        <v>0.31</v>
      </c>
      <c r="L239" s="39">
        <f t="shared" ref="L239:AJ239" si="56">L$85</f>
        <v>0.34100000000000003</v>
      </c>
      <c r="M239" s="39">
        <f t="shared" si="56"/>
        <v>0.37510000000000004</v>
      </c>
      <c r="N239" s="39">
        <f t="shared" si="56"/>
        <v>0.41261000000000009</v>
      </c>
      <c r="O239" s="39">
        <f t="shared" si="56"/>
        <v>0.45387100000000014</v>
      </c>
      <c r="P239" s="39">
        <f t="shared" si="56"/>
        <v>0.4992581000000002</v>
      </c>
      <c r="Q239" s="39">
        <f t="shared" si="56"/>
        <v>0.54918391000000022</v>
      </c>
      <c r="R239" s="39">
        <f t="shared" si="56"/>
        <v>0.60410230100000029</v>
      </c>
      <c r="S239" s="39">
        <f t="shared" si="56"/>
        <v>0.66451253110000041</v>
      </c>
      <c r="T239" s="39">
        <f t="shared" si="56"/>
        <v>0.73096378421000052</v>
      </c>
      <c r="U239" s="39">
        <f t="shared" si="56"/>
        <v>0.80406016263100066</v>
      </c>
      <c r="V239" s="39">
        <f t="shared" si="56"/>
        <v>0.88446617889410084</v>
      </c>
      <c r="W239" s="39">
        <f t="shared" si="56"/>
        <v>0.97291279678351106</v>
      </c>
      <c r="X239" s="39">
        <f t="shared" si="56"/>
        <v>1.0702040764618623</v>
      </c>
      <c r="Y239" s="39">
        <f t="shared" si="56"/>
        <v>1.1772244841080486</v>
      </c>
      <c r="Z239" s="39">
        <f t="shared" si="56"/>
        <v>1.2949469325188536</v>
      </c>
      <c r="AA239" s="39">
        <f t="shared" si="56"/>
        <v>1.4244416257707391</v>
      </c>
      <c r="AB239" s="39">
        <f t="shared" si="56"/>
        <v>1.5668857883478131</v>
      </c>
      <c r="AC239" s="39">
        <f t="shared" si="56"/>
        <v>1.7235743671825945</v>
      </c>
      <c r="AD239" s="39">
        <f t="shared" si="56"/>
        <v>1.8959318039008541</v>
      </c>
      <c r="AE239" s="39">
        <f t="shared" si="56"/>
        <v>2.0855249842909398</v>
      </c>
      <c r="AF239" s="39">
        <f t="shared" si="56"/>
        <v>2.2940774827200339</v>
      </c>
      <c r="AG239" s="39">
        <f t="shared" si="56"/>
        <v>2.5234852309920375</v>
      </c>
      <c r="AH239" s="39">
        <f t="shared" si="56"/>
        <v>2.7758337540912414</v>
      </c>
      <c r="AI239" s="39">
        <f t="shared" si="56"/>
        <v>3.053417129500366</v>
      </c>
      <c r="AJ239" s="39">
        <f t="shared" si="56"/>
        <v>3.3587588424504031</v>
      </c>
    </row>
    <row r="240" spans="7:36" ht="15" customHeight="1" x14ac:dyDescent="0.2">
      <c r="G240" s="60"/>
      <c r="H240" s="60"/>
      <c r="I240" s="60"/>
      <c r="J240" s="60"/>
      <c r="K240" s="60"/>
      <c r="L240" s="60"/>
      <c r="M240" s="60"/>
      <c r="N240" s="60"/>
      <c r="O240" s="60"/>
      <c r="P240" s="60"/>
      <c r="Q240" s="60"/>
      <c r="R240" s="61"/>
      <c r="S240" s="60"/>
      <c r="T240" s="60"/>
      <c r="U240" s="60"/>
      <c r="V240" s="60"/>
      <c r="W240" s="60"/>
      <c r="X240" s="60"/>
      <c r="Y240" s="60"/>
      <c r="Z240" s="60"/>
      <c r="AA240" s="60"/>
      <c r="AB240" s="60"/>
      <c r="AC240" s="60"/>
      <c r="AD240" s="60"/>
      <c r="AE240" s="60"/>
      <c r="AF240" s="60"/>
      <c r="AG240" s="60"/>
      <c r="AH240" s="60"/>
      <c r="AI240" s="60"/>
      <c r="AJ240" s="60"/>
    </row>
    <row r="241" spans="7:36" ht="15" customHeight="1" x14ac:dyDescent="0.2">
      <c r="G241" s="14" t="s">
        <v>4</v>
      </c>
      <c r="H241" s="14"/>
      <c r="I241" s="13"/>
      <c r="J241" s="13"/>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c r="AI241" s="42"/>
      <c r="AJ241" s="42"/>
    </row>
    <row r="242" spans="7:36" ht="15" customHeight="1" x14ac:dyDescent="0.2">
      <c r="G242" s="14" t="s">
        <v>5</v>
      </c>
      <c r="H242" s="14"/>
      <c r="I242" s="13"/>
      <c r="J242" s="13"/>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c r="AI242" s="42"/>
      <c r="AJ242" s="42"/>
    </row>
    <row r="243" spans="7:36" ht="15" customHeight="1" x14ac:dyDescent="0.2">
      <c r="G243" s="14" t="s">
        <v>6</v>
      </c>
      <c r="H243" s="14"/>
      <c r="I243" s="13"/>
      <c r="J243" s="13"/>
      <c r="K243" s="31">
        <f>$J$32</f>
        <v>0</v>
      </c>
      <c r="L243" s="31">
        <f t="shared" ref="L243:AJ243" si="57">$J$32</f>
        <v>0</v>
      </c>
      <c r="M243" s="31">
        <f t="shared" si="57"/>
        <v>0</v>
      </c>
      <c r="N243" s="31">
        <f t="shared" si="57"/>
        <v>0</v>
      </c>
      <c r="O243" s="31">
        <f t="shared" si="57"/>
        <v>0</v>
      </c>
      <c r="P243" s="31">
        <f t="shared" si="57"/>
        <v>0</v>
      </c>
      <c r="Q243" s="31">
        <f t="shared" si="57"/>
        <v>0</v>
      </c>
      <c r="R243" s="31">
        <f t="shared" si="57"/>
        <v>0</v>
      </c>
      <c r="S243" s="31">
        <f t="shared" si="57"/>
        <v>0</v>
      </c>
      <c r="T243" s="31">
        <f t="shared" si="57"/>
        <v>0</v>
      </c>
      <c r="U243" s="31">
        <f t="shared" si="57"/>
        <v>0</v>
      </c>
      <c r="V243" s="31">
        <f t="shared" si="57"/>
        <v>0</v>
      </c>
      <c r="W243" s="31">
        <f t="shared" si="57"/>
        <v>0</v>
      </c>
      <c r="X243" s="31">
        <f t="shared" si="57"/>
        <v>0</v>
      </c>
      <c r="Y243" s="31">
        <f t="shared" si="57"/>
        <v>0</v>
      </c>
      <c r="Z243" s="31">
        <f t="shared" si="57"/>
        <v>0</v>
      </c>
      <c r="AA243" s="31">
        <f t="shared" si="57"/>
        <v>0</v>
      </c>
      <c r="AB243" s="31">
        <f t="shared" si="57"/>
        <v>0</v>
      </c>
      <c r="AC243" s="31">
        <f t="shared" si="57"/>
        <v>0</v>
      </c>
      <c r="AD243" s="31">
        <f t="shared" si="57"/>
        <v>0</v>
      </c>
      <c r="AE243" s="31">
        <f t="shared" si="57"/>
        <v>0</v>
      </c>
      <c r="AF243" s="31">
        <f t="shared" si="57"/>
        <v>0</v>
      </c>
      <c r="AG243" s="31">
        <f t="shared" si="57"/>
        <v>0</v>
      </c>
      <c r="AH243" s="31">
        <f t="shared" si="57"/>
        <v>0</v>
      </c>
      <c r="AI243" s="31">
        <f t="shared" si="57"/>
        <v>0</v>
      </c>
      <c r="AJ243" s="31">
        <f t="shared" si="57"/>
        <v>0</v>
      </c>
    </row>
    <row r="244" spans="7:36" ht="15" customHeight="1" x14ac:dyDescent="0.2">
      <c r="G244" s="14"/>
      <c r="H244" s="14"/>
      <c r="I244" s="13"/>
      <c r="J244" s="13"/>
      <c r="K244" s="31"/>
      <c r="L244" s="31"/>
      <c r="M244" s="31"/>
      <c r="N244" s="31"/>
      <c r="O244" s="31"/>
      <c r="P244" s="31"/>
      <c r="Q244" s="31"/>
      <c r="R244" s="31"/>
      <c r="S244" s="31"/>
      <c r="T244" s="31"/>
      <c r="U244" s="31"/>
      <c r="V244" s="31"/>
      <c r="W244" s="31"/>
      <c r="X244" s="31"/>
      <c r="Y244" s="31"/>
      <c r="Z244" s="31"/>
      <c r="AA244" s="31"/>
      <c r="AB244" s="31"/>
      <c r="AC244" s="31"/>
      <c r="AD244" s="31"/>
      <c r="AE244" s="31"/>
      <c r="AF244" s="31"/>
      <c r="AG244" s="31"/>
      <c r="AH244" s="31"/>
      <c r="AI244" s="31"/>
      <c r="AJ244" s="31"/>
    </row>
    <row r="245" spans="7:36" ht="15" customHeight="1" x14ac:dyDescent="0.2">
      <c r="G245" s="14" t="s">
        <v>7</v>
      </c>
      <c r="H245" s="14"/>
      <c r="I245" s="13"/>
      <c r="J245" s="13"/>
      <c r="K245" s="42"/>
      <c r="L245" s="42"/>
      <c r="M245" s="42"/>
      <c r="N245" s="42"/>
      <c r="O245" s="42"/>
      <c r="P245" s="42"/>
      <c r="Q245" s="42"/>
      <c r="R245" s="42"/>
      <c r="S245" s="42"/>
      <c r="T245" s="42"/>
      <c r="U245" s="42"/>
      <c r="V245" s="42"/>
      <c r="W245" s="42"/>
      <c r="X245" s="42"/>
      <c r="Y245" s="42"/>
      <c r="Z245" s="42"/>
      <c r="AA245" s="42"/>
      <c r="AB245" s="42"/>
      <c r="AC245" s="42"/>
      <c r="AD245" s="42"/>
      <c r="AE245" s="42"/>
      <c r="AF245" s="42"/>
      <c r="AG245" s="42"/>
      <c r="AH245" s="42"/>
      <c r="AI245" s="42"/>
      <c r="AJ245" s="42"/>
    </row>
    <row r="246" spans="7:36" ht="15" customHeight="1" x14ac:dyDescent="0.2">
      <c r="G246" s="14" t="s">
        <v>8</v>
      </c>
      <c r="H246" s="14"/>
      <c r="I246" s="13"/>
      <c r="J246" s="13"/>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c r="AI246" s="42"/>
      <c r="AJ246" s="42"/>
    </row>
    <row r="247" spans="7:36" ht="15" customHeight="1" x14ac:dyDescent="0.2">
      <c r="G247" s="14" t="s">
        <v>9</v>
      </c>
      <c r="H247" s="14"/>
      <c r="I247" s="13"/>
      <c r="J247" s="13"/>
      <c r="K247" s="31">
        <f>K238*K243</f>
        <v>0</v>
      </c>
      <c r="L247" s="31">
        <f t="shared" ref="L247:AJ247" si="58">L238*L243</f>
        <v>0</v>
      </c>
      <c r="M247" s="31">
        <f t="shared" si="58"/>
        <v>0</v>
      </c>
      <c r="N247" s="31">
        <f t="shared" si="58"/>
        <v>0</v>
      </c>
      <c r="O247" s="31">
        <f t="shared" si="58"/>
        <v>0</v>
      </c>
      <c r="P247" s="31">
        <f t="shared" si="58"/>
        <v>0</v>
      </c>
      <c r="Q247" s="31">
        <f t="shared" si="58"/>
        <v>0</v>
      </c>
      <c r="R247" s="31">
        <f t="shared" si="58"/>
        <v>0</v>
      </c>
      <c r="S247" s="31">
        <f t="shared" si="58"/>
        <v>0</v>
      </c>
      <c r="T247" s="31">
        <f t="shared" si="58"/>
        <v>0</v>
      </c>
      <c r="U247" s="31">
        <f t="shared" si="58"/>
        <v>0</v>
      </c>
      <c r="V247" s="31">
        <f t="shared" si="58"/>
        <v>0</v>
      </c>
      <c r="W247" s="31">
        <f t="shared" si="58"/>
        <v>0</v>
      </c>
      <c r="X247" s="31">
        <f t="shared" si="58"/>
        <v>0</v>
      </c>
      <c r="Y247" s="31">
        <f t="shared" si="58"/>
        <v>0</v>
      </c>
      <c r="Z247" s="31">
        <f t="shared" si="58"/>
        <v>0</v>
      </c>
      <c r="AA247" s="31">
        <f t="shared" si="58"/>
        <v>0</v>
      </c>
      <c r="AB247" s="31">
        <f t="shared" si="58"/>
        <v>0</v>
      </c>
      <c r="AC247" s="31">
        <f t="shared" si="58"/>
        <v>0</v>
      </c>
      <c r="AD247" s="31">
        <f t="shared" si="58"/>
        <v>0</v>
      </c>
      <c r="AE247" s="31">
        <f t="shared" si="58"/>
        <v>0</v>
      </c>
      <c r="AF247" s="31">
        <f t="shared" si="58"/>
        <v>0</v>
      </c>
      <c r="AG247" s="31">
        <f t="shared" si="58"/>
        <v>0</v>
      </c>
      <c r="AH247" s="31">
        <f t="shared" si="58"/>
        <v>0</v>
      </c>
      <c r="AI247" s="31">
        <f t="shared" si="58"/>
        <v>0</v>
      </c>
      <c r="AJ247" s="31">
        <f t="shared" si="58"/>
        <v>0</v>
      </c>
    </row>
    <row r="248" spans="7:36" ht="15" customHeight="1" x14ac:dyDescent="0.2">
      <c r="G248" s="14"/>
      <c r="H248" s="14"/>
      <c r="I248" s="13"/>
      <c r="J248" s="13"/>
      <c r="K248" s="31"/>
      <c r="L248" s="31"/>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c r="AJ248" s="31"/>
    </row>
    <row r="249" spans="7:36" ht="15" customHeight="1" x14ac:dyDescent="0.2">
      <c r="G249" s="14" t="s">
        <v>10</v>
      </c>
      <c r="H249" s="14"/>
      <c r="I249" s="13"/>
      <c r="J249" s="13"/>
      <c r="K249" s="42"/>
      <c r="L249" s="42"/>
      <c r="M249" s="42"/>
      <c r="N249" s="42"/>
      <c r="O249" s="42"/>
      <c r="P249" s="42"/>
      <c r="Q249" s="42"/>
      <c r="R249" s="42"/>
      <c r="S249" s="42"/>
      <c r="T249" s="42"/>
      <c r="U249" s="42"/>
      <c r="V249" s="42"/>
      <c r="W249" s="42"/>
      <c r="X249" s="42"/>
      <c r="Y249" s="42"/>
      <c r="Z249" s="42"/>
      <c r="AA249" s="42"/>
      <c r="AB249" s="42"/>
      <c r="AC249" s="42"/>
      <c r="AD249" s="42"/>
      <c r="AE249" s="42"/>
      <c r="AF249" s="42"/>
      <c r="AG249" s="42"/>
      <c r="AH249" s="42"/>
      <c r="AI249" s="42"/>
      <c r="AJ249" s="42"/>
    </row>
    <row r="250" spans="7:36" ht="15" customHeight="1" x14ac:dyDescent="0.2">
      <c r="G250" s="14" t="s">
        <v>11</v>
      </c>
      <c r="H250" s="14"/>
      <c r="I250" s="13"/>
      <c r="J250" s="13"/>
      <c r="K250" s="42"/>
      <c r="L250" s="42"/>
      <c r="M250" s="42"/>
      <c r="N250" s="42"/>
      <c r="O250" s="42"/>
      <c r="P250" s="42"/>
      <c r="Q250" s="42"/>
      <c r="R250" s="42"/>
      <c r="S250" s="42"/>
      <c r="T250" s="42"/>
      <c r="U250" s="42"/>
      <c r="V250" s="42"/>
      <c r="W250" s="42"/>
      <c r="X250" s="42"/>
      <c r="Y250" s="42"/>
      <c r="Z250" s="42"/>
      <c r="AA250" s="42"/>
      <c r="AB250" s="42"/>
      <c r="AC250" s="42"/>
      <c r="AD250" s="42"/>
      <c r="AE250" s="42"/>
      <c r="AF250" s="42"/>
      <c r="AG250" s="42"/>
      <c r="AH250" s="42"/>
      <c r="AI250" s="42"/>
      <c r="AJ250" s="42"/>
    </row>
    <row r="251" spans="7:36" ht="15" customHeight="1" x14ac:dyDescent="0.2">
      <c r="G251" s="14" t="s">
        <v>12</v>
      </c>
      <c r="H251" s="14"/>
      <c r="I251" s="13"/>
      <c r="J251" s="13"/>
      <c r="K251" s="31">
        <f>K$239*K243</f>
        <v>0</v>
      </c>
      <c r="L251" s="31">
        <f t="shared" ref="L251:AJ251" si="59">L$239*L243</f>
        <v>0</v>
      </c>
      <c r="M251" s="31">
        <f t="shared" si="59"/>
        <v>0</v>
      </c>
      <c r="N251" s="31">
        <f t="shared" si="59"/>
        <v>0</v>
      </c>
      <c r="O251" s="31">
        <f t="shared" si="59"/>
        <v>0</v>
      </c>
      <c r="P251" s="31">
        <f t="shared" si="59"/>
        <v>0</v>
      </c>
      <c r="Q251" s="31">
        <f t="shared" si="59"/>
        <v>0</v>
      </c>
      <c r="R251" s="31">
        <f t="shared" si="59"/>
        <v>0</v>
      </c>
      <c r="S251" s="31">
        <f t="shared" si="59"/>
        <v>0</v>
      </c>
      <c r="T251" s="31">
        <f t="shared" si="59"/>
        <v>0</v>
      </c>
      <c r="U251" s="31">
        <f t="shared" si="59"/>
        <v>0</v>
      </c>
      <c r="V251" s="31">
        <f t="shared" si="59"/>
        <v>0</v>
      </c>
      <c r="W251" s="31">
        <f t="shared" si="59"/>
        <v>0</v>
      </c>
      <c r="X251" s="31">
        <f t="shared" si="59"/>
        <v>0</v>
      </c>
      <c r="Y251" s="31">
        <f t="shared" si="59"/>
        <v>0</v>
      </c>
      <c r="Z251" s="31">
        <f t="shared" si="59"/>
        <v>0</v>
      </c>
      <c r="AA251" s="31">
        <f t="shared" si="59"/>
        <v>0</v>
      </c>
      <c r="AB251" s="31">
        <f t="shared" si="59"/>
        <v>0</v>
      </c>
      <c r="AC251" s="31">
        <f t="shared" si="59"/>
        <v>0</v>
      </c>
      <c r="AD251" s="31">
        <f t="shared" si="59"/>
        <v>0</v>
      </c>
      <c r="AE251" s="31">
        <f t="shared" si="59"/>
        <v>0</v>
      </c>
      <c r="AF251" s="31">
        <f t="shared" si="59"/>
        <v>0</v>
      </c>
      <c r="AG251" s="31">
        <f t="shared" si="59"/>
        <v>0</v>
      </c>
      <c r="AH251" s="31">
        <f t="shared" si="59"/>
        <v>0</v>
      </c>
      <c r="AI251" s="31">
        <f t="shared" si="59"/>
        <v>0</v>
      </c>
      <c r="AJ251" s="31">
        <f t="shared" si="59"/>
        <v>0</v>
      </c>
    </row>
    <row r="252" spans="7:36" ht="15" customHeight="1" x14ac:dyDescent="0.2">
      <c r="G252" s="14" t="s">
        <v>13</v>
      </c>
      <c r="H252" s="14"/>
      <c r="I252" s="13"/>
      <c r="J252" s="13"/>
      <c r="K252" s="31">
        <f t="shared" ref="K252:AJ252" si="60">K$88*K247</f>
        <v>0</v>
      </c>
      <c r="L252" s="31">
        <f t="shared" si="60"/>
        <v>0</v>
      </c>
      <c r="M252" s="31">
        <f t="shared" si="60"/>
        <v>0</v>
      </c>
      <c r="N252" s="31">
        <f t="shared" si="60"/>
        <v>0</v>
      </c>
      <c r="O252" s="31">
        <f t="shared" si="60"/>
        <v>0</v>
      </c>
      <c r="P252" s="31">
        <f t="shared" si="60"/>
        <v>0</v>
      </c>
      <c r="Q252" s="31">
        <f t="shared" si="60"/>
        <v>0</v>
      </c>
      <c r="R252" s="31">
        <f t="shared" si="60"/>
        <v>0</v>
      </c>
      <c r="S252" s="31">
        <f t="shared" si="60"/>
        <v>0</v>
      </c>
      <c r="T252" s="31">
        <f t="shared" si="60"/>
        <v>0</v>
      </c>
      <c r="U252" s="31">
        <f t="shared" si="60"/>
        <v>0</v>
      </c>
      <c r="V252" s="31">
        <f t="shared" si="60"/>
        <v>0</v>
      </c>
      <c r="W252" s="31">
        <f t="shared" si="60"/>
        <v>0</v>
      </c>
      <c r="X252" s="31">
        <f t="shared" si="60"/>
        <v>0</v>
      </c>
      <c r="Y252" s="31">
        <f t="shared" si="60"/>
        <v>0</v>
      </c>
      <c r="Z252" s="31">
        <f t="shared" si="60"/>
        <v>0</v>
      </c>
      <c r="AA252" s="31">
        <f t="shared" si="60"/>
        <v>0</v>
      </c>
      <c r="AB252" s="31">
        <f t="shared" si="60"/>
        <v>0</v>
      </c>
      <c r="AC252" s="31">
        <f t="shared" si="60"/>
        <v>0</v>
      </c>
      <c r="AD252" s="31">
        <f t="shared" si="60"/>
        <v>0</v>
      </c>
      <c r="AE252" s="31">
        <f t="shared" si="60"/>
        <v>0</v>
      </c>
      <c r="AF252" s="31">
        <f t="shared" si="60"/>
        <v>0</v>
      </c>
      <c r="AG252" s="31">
        <f t="shared" si="60"/>
        <v>0</v>
      </c>
      <c r="AH252" s="31">
        <f t="shared" si="60"/>
        <v>0</v>
      </c>
      <c r="AI252" s="31">
        <f t="shared" si="60"/>
        <v>0</v>
      </c>
      <c r="AJ252" s="31">
        <f t="shared" si="60"/>
        <v>0</v>
      </c>
    </row>
    <row r="253" spans="7:36" ht="15" customHeight="1" x14ac:dyDescent="0.2">
      <c r="G253" s="14"/>
      <c r="H253" s="14"/>
      <c r="I253" s="13"/>
      <c r="J253" s="13"/>
      <c r="K253" s="31"/>
      <c r="L253" s="31"/>
      <c r="M253" s="31"/>
      <c r="N253" s="31"/>
      <c r="O253" s="31"/>
      <c r="P253" s="31"/>
      <c r="Q253" s="31"/>
      <c r="R253" s="31"/>
      <c r="S253" s="31"/>
      <c r="T253" s="31"/>
      <c r="U253" s="31"/>
      <c r="V253" s="31"/>
      <c r="W253" s="31"/>
      <c r="X253" s="31"/>
      <c r="Y253" s="31"/>
      <c r="Z253" s="31"/>
      <c r="AA253" s="31"/>
      <c r="AB253" s="31"/>
      <c r="AC253" s="31"/>
      <c r="AD253" s="31"/>
      <c r="AE253" s="31"/>
      <c r="AF253" s="31"/>
      <c r="AG253" s="31"/>
      <c r="AH253" s="31"/>
      <c r="AI253" s="31"/>
      <c r="AJ253" s="31"/>
    </row>
    <row r="254" spans="7:36" ht="15" customHeight="1" x14ac:dyDescent="0.2">
      <c r="G254" s="14" t="s">
        <v>14</v>
      </c>
      <c r="H254" s="14"/>
      <c r="I254" s="13"/>
      <c r="J254" s="13"/>
      <c r="K254" s="31">
        <f t="shared" ref="K254:AJ254" si="61">SUM(K249:K252)</f>
        <v>0</v>
      </c>
      <c r="L254" s="31">
        <f t="shared" si="61"/>
        <v>0</v>
      </c>
      <c r="M254" s="31">
        <f t="shared" si="61"/>
        <v>0</v>
      </c>
      <c r="N254" s="31">
        <f t="shared" si="61"/>
        <v>0</v>
      </c>
      <c r="O254" s="31">
        <f t="shared" si="61"/>
        <v>0</v>
      </c>
      <c r="P254" s="31">
        <f t="shared" si="61"/>
        <v>0</v>
      </c>
      <c r="Q254" s="31">
        <f t="shared" si="61"/>
        <v>0</v>
      </c>
      <c r="R254" s="31">
        <f t="shared" si="61"/>
        <v>0</v>
      </c>
      <c r="S254" s="31">
        <f t="shared" si="61"/>
        <v>0</v>
      </c>
      <c r="T254" s="31">
        <f t="shared" si="61"/>
        <v>0</v>
      </c>
      <c r="U254" s="31">
        <f t="shared" si="61"/>
        <v>0</v>
      </c>
      <c r="V254" s="31">
        <f t="shared" si="61"/>
        <v>0</v>
      </c>
      <c r="W254" s="31">
        <f t="shared" si="61"/>
        <v>0</v>
      </c>
      <c r="X254" s="31">
        <f t="shared" si="61"/>
        <v>0</v>
      </c>
      <c r="Y254" s="31">
        <f t="shared" si="61"/>
        <v>0</v>
      </c>
      <c r="Z254" s="31">
        <f t="shared" si="61"/>
        <v>0</v>
      </c>
      <c r="AA254" s="31">
        <f t="shared" si="61"/>
        <v>0</v>
      </c>
      <c r="AB254" s="31">
        <f t="shared" si="61"/>
        <v>0</v>
      </c>
      <c r="AC254" s="31">
        <f t="shared" si="61"/>
        <v>0</v>
      </c>
      <c r="AD254" s="31">
        <f t="shared" si="61"/>
        <v>0</v>
      </c>
      <c r="AE254" s="31">
        <f t="shared" si="61"/>
        <v>0</v>
      </c>
      <c r="AF254" s="31">
        <f t="shared" si="61"/>
        <v>0</v>
      </c>
      <c r="AG254" s="31">
        <f t="shared" si="61"/>
        <v>0</v>
      </c>
      <c r="AH254" s="31">
        <f t="shared" si="61"/>
        <v>0</v>
      </c>
      <c r="AI254" s="31">
        <f t="shared" si="61"/>
        <v>0</v>
      </c>
      <c r="AJ254" s="31">
        <f t="shared" si="61"/>
        <v>0</v>
      </c>
    </row>
    <row r="255" spans="7:36" ht="15" customHeight="1" x14ac:dyDescent="0.2">
      <c r="G255" s="14" t="s">
        <v>15</v>
      </c>
      <c r="H255" s="14"/>
      <c r="I255" s="13"/>
      <c r="J255" s="13"/>
      <c r="K255" s="31">
        <f>K254</f>
        <v>0</v>
      </c>
      <c r="L255" s="31">
        <f t="shared" ref="L255:AJ255" si="62">K255+L254</f>
        <v>0</v>
      </c>
      <c r="M255" s="31">
        <f t="shared" si="62"/>
        <v>0</v>
      </c>
      <c r="N255" s="31">
        <f t="shared" si="62"/>
        <v>0</v>
      </c>
      <c r="O255" s="31">
        <f t="shared" si="62"/>
        <v>0</v>
      </c>
      <c r="P255" s="31">
        <f t="shared" si="62"/>
        <v>0</v>
      </c>
      <c r="Q255" s="31">
        <f t="shared" si="62"/>
        <v>0</v>
      </c>
      <c r="R255" s="31">
        <f t="shared" si="62"/>
        <v>0</v>
      </c>
      <c r="S255" s="31">
        <f t="shared" si="62"/>
        <v>0</v>
      </c>
      <c r="T255" s="31">
        <f t="shared" si="62"/>
        <v>0</v>
      </c>
      <c r="U255" s="31">
        <f t="shared" si="62"/>
        <v>0</v>
      </c>
      <c r="V255" s="31">
        <f t="shared" si="62"/>
        <v>0</v>
      </c>
      <c r="W255" s="31">
        <f t="shared" si="62"/>
        <v>0</v>
      </c>
      <c r="X255" s="31">
        <f t="shared" si="62"/>
        <v>0</v>
      </c>
      <c r="Y255" s="31">
        <f t="shared" si="62"/>
        <v>0</v>
      </c>
      <c r="Z255" s="31">
        <f t="shared" si="62"/>
        <v>0</v>
      </c>
      <c r="AA255" s="31">
        <f t="shared" si="62"/>
        <v>0</v>
      </c>
      <c r="AB255" s="31">
        <f t="shared" si="62"/>
        <v>0</v>
      </c>
      <c r="AC255" s="31">
        <f t="shared" si="62"/>
        <v>0</v>
      </c>
      <c r="AD255" s="31">
        <f t="shared" si="62"/>
        <v>0</v>
      </c>
      <c r="AE255" s="31">
        <f t="shared" si="62"/>
        <v>0</v>
      </c>
      <c r="AF255" s="31">
        <f t="shared" si="62"/>
        <v>0</v>
      </c>
      <c r="AG255" s="31">
        <f t="shared" si="62"/>
        <v>0</v>
      </c>
      <c r="AH255" s="31">
        <f t="shared" si="62"/>
        <v>0</v>
      </c>
      <c r="AI255" s="31">
        <f t="shared" si="62"/>
        <v>0</v>
      </c>
      <c r="AJ255" s="31">
        <f t="shared" si="62"/>
        <v>0</v>
      </c>
    </row>
    <row r="256" spans="7:36" ht="15" customHeight="1" x14ac:dyDescent="0.2">
      <c r="G256" s="13"/>
      <c r="H256" s="13"/>
      <c r="I256" s="13"/>
      <c r="J256" s="13"/>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row>
    <row r="257" spans="7:36" ht="15" customHeight="1" x14ac:dyDescent="0.2">
      <c r="G257" s="14" t="s">
        <v>17</v>
      </c>
      <c r="H257" s="13"/>
      <c r="I257" s="13"/>
      <c r="J257" s="13"/>
      <c r="K257" s="31">
        <f>K254/(((Data!$P$186/100)+1)^K$70)</f>
        <v>0</v>
      </c>
      <c r="L257" s="31">
        <f>L254/(((Data!$P$186/100)+1)^L$70)</f>
        <v>0</v>
      </c>
      <c r="M257" s="31">
        <f>M254/(((Data!$P$186/100)+1)^M$70)</f>
        <v>0</v>
      </c>
      <c r="N257" s="31">
        <f>N254/(((Data!$P$186/100)+1)^N$70)</f>
        <v>0</v>
      </c>
      <c r="O257" s="31">
        <f>O254/(((Data!$P$186/100)+1)^O$70)</f>
        <v>0</v>
      </c>
      <c r="P257" s="31">
        <f>P254/(((Data!$P$186/100)+1)^P$70)</f>
        <v>0</v>
      </c>
      <c r="Q257" s="31">
        <f>Q254/(((Data!$P$186/100)+1)^Q$70)</f>
        <v>0</v>
      </c>
      <c r="R257" s="31">
        <f>R254/(((Data!$P$186/100)+1)^R$70)</f>
        <v>0</v>
      </c>
      <c r="S257" s="31">
        <f>S254/(((Data!$P$186/100)+1)^S$70)</f>
        <v>0</v>
      </c>
      <c r="T257" s="31">
        <f>T254/(((Data!$P$186/100)+1)^T$70)</f>
        <v>0</v>
      </c>
      <c r="U257" s="31">
        <f>U254/(((Data!$P$186/100)+1)^U$70)</f>
        <v>0</v>
      </c>
      <c r="V257" s="31">
        <f>V254/(((Data!$P$186/100)+1)^V$70)</f>
        <v>0</v>
      </c>
      <c r="W257" s="31">
        <f>W254/(((Data!$P$186/100)+1)^W$70)</f>
        <v>0</v>
      </c>
      <c r="X257" s="31">
        <f>X254/(((Data!$P$186/100)+1)^X$70)</f>
        <v>0</v>
      </c>
      <c r="Y257" s="31">
        <f>Y254/(((Data!$P$186/100)+1)^Y$70)</f>
        <v>0</v>
      </c>
      <c r="Z257" s="31">
        <f>Z254/(((Data!$P$186/100)+1)^Z$70)</f>
        <v>0</v>
      </c>
      <c r="AA257" s="31">
        <f>AA254/(((Data!$P$186/100)+1)^AA$70)</f>
        <v>0</v>
      </c>
      <c r="AB257" s="31">
        <f>AB254/(((Data!$P$186/100)+1)^AB$70)</f>
        <v>0</v>
      </c>
      <c r="AC257" s="31">
        <f>AC254/(((Data!$P$186/100)+1)^AC$70)</f>
        <v>0</v>
      </c>
      <c r="AD257" s="31">
        <f>AD254/(((Data!$P$186/100)+1)^AD$70)</f>
        <v>0</v>
      </c>
      <c r="AE257" s="31">
        <f>AE254/(((Data!$P$186/100)+1)^AE$70)</f>
        <v>0</v>
      </c>
      <c r="AF257" s="31">
        <f>AF254/(((Data!$P$186/100)+1)^AF$70)</f>
        <v>0</v>
      </c>
      <c r="AG257" s="31">
        <f>AG254/(((Data!$P$186/100)+1)^AG$70)</f>
        <v>0</v>
      </c>
      <c r="AH257" s="31">
        <f>AH254/(((Data!$P$186/100)+1)^AH$70)</f>
        <v>0</v>
      </c>
      <c r="AI257" s="31">
        <f>AI254/(((Data!$P$186/100)+1)^AI$70)</f>
        <v>0</v>
      </c>
      <c r="AJ257" s="31">
        <f>AJ254/(((Data!$P$186/100)+1)^AJ$70)</f>
        <v>0</v>
      </c>
    </row>
    <row r="258" spans="7:36" ht="15" customHeight="1" x14ac:dyDescent="0.2">
      <c r="G258" s="30" t="s">
        <v>186</v>
      </c>
      <c r="H258" s="33"/>
      <c r="I258" s="13"/>
      <c r="J258" s="13"/>
      <c r="K258" s="34">
        <f>K257</f>
        <v>0</v>
      </c>
      <c r="L258" s="34">
        <f t="shared" ref="L258:AJ258" si="63">K258+L257</f>
        <v>0</v>
      </c>
      <c r="M258" s="34">
        <f t="shared" si="63"/>
        <v>0</v>
      </c>
      <c r="N258" s="34">
        <f t="shared" si="63"/>
        <v>0</v>
      </c>
      <c r="O258" s="34">
        <f t="shared" si="63"/>
        <v>0</v>
      </c>
      <c r="P258" s="34">
        <f t="shared" si="63"/>
        <v>0</v>
      </c>
      <c r="Q258" s="34">
        <f t="shared" si="63"/>
        <v>0</v>
      </c>
      <c r="R258" s="34">
        <f t="shared" si="63"/>
        <v>0</v>
      </c>
      <c r="S258" s="34">
        <f t="shared" si="63"/>
        <v>0</v>
      </c>
      <c r="T258" s="34">
        <f t="shared" si="63"/>
        <v>0</v>
      </c>
      <c r="U258" s="34">
        <f t="shared" si="63"/>
        <v>0</v>
      </c>
      <c r="V258" s="34">
        <f t="shared" si="63"/>
        <v>0</v>
      </c>
      <c r="W258" s="34">
        <f t="shared" si="63"/>
        <v>0</v>
      </c>
      <c r="X258" s="34">
        <f t="shared" si="63"/>
        <v>0</v>
      </c>
      <c r="Y258" s="34">
        <f t="shared" si="63"/>
        <v>0</v>
      </c>
      <c r="Z258" s="34">
        <f t="shared" si="63"/>
        <v>0</v>
      </c>
      <c r="AA258" s="34">
        <f t="shared" si="63"/>
        <v>0</v>
      </c>
      <c r="AB258" s="34">
        <f t="shared" si="63"/>
        <v>0</v>
      </c>
      <c r="AC258" s="34">
        <f t="shared" si="63"/>
        <v>0</v>
      </c>
      <c r="AD258" s="34">
        <f t="shared" si="63"/>
        <v>0</v>
      </c>
      <c r="AE258" s="34">
        <f t="shared" si="63"/>
        <v>0</v>
      </c>
      <c r="AF258" s="34">
        <f t="shared" si="63"/>
        <v>0</v>
      </c>
      <c r="AG258" s="34">
        <f t="shared" si="63"/>
        <v>0</v>
      </c>
      <c r="AH258" s="34">
        <f t="shared" si="63"/>
        <v>0</v>
      </c>
      <c r="AI258" s="34">
        <f t="shared" si="63"/>
        <v>0</v>
      </c>
      <c r="AJ258" s="34">
        <f t="shared" si="63"/>
        <v>0</v>
      </c>
    </row>
    <row r="259" spans="7:36" ht="15" customHeight="1" x14ac:dyDescent="0.2">
      <c r="G259" s="8"/>
      <c r="H259" s="8"/>
      <c r="I259" s="8"/>
      <c r="J259" s="8"/>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row>
    <row r="260" spans="7:36" ht="15" customHeight="1" x14ac:dyDescent="0.2">
      <c r="G260" s="532" t="s">
        <v>514</v>
      </c>
      <c r="H260" s="17"/>
      <c r="I260" s="13"/>
      <c r="J260" s="13"/>
      <c r="K260" s="35"/>
      <c r="L260" s="35"/>
      <c r="M260" s="35"/>
      <c r="N260" s="35"/>
      <c r="O260" s="35"/>
      <c r="P260" s="35"/>
      <c r="Q260" s="35"/>
      <c r="R260" s="35"/>
      <c r="S260" s="35"/>
      <c r="T260" s="35"/>
      <c r="U260" s="35"/>
      <c r="V260" s="35"/>
      <c r="W260" s="35"/>
      <c r="X260" s="35"/>
      <c r="Y260" s="35"/>
      <c r="Z260" s="35"/>
      <c r="AA260" s="35"/>
      <c r="AB260" s="35"/>
      <c r="AC260" s="35"/>
      <c r="AD260" s="35"/>
      <c r="AE260" s="35"/>
      <c r="AF260" s="35"/>
      <c r="AG260" s="35"/>
      <c r="AH260" s="35"/>
      <c r="AI260" s="35"/>
      <c r="AJ260" s="35"/>
    </row>
    <row r="261" spans="7:36" ht="15" customHeight="1" x14ac:dyDescent="0.2">
      <c r="G261" s="17"/>
      <c r="H261" s="17"/>
      <c r="I261" s="13"/>
      <c r="J261" s="13"/>
      <c r="K261" s="35"/>
      <c r="L261" s="35"/>
      <c r="M261" s="35"/>
      <c r="N261" s="35"/>
      <c r="O261" s="35"/>
      <c r="P261" s="35"/>
      <c r="Q261" s="35"/>
      <c r="R261" s="35"/>
      <c r="S261" s="35"/>
      <c r="T261" s="35"/>
      <c r="U261" s="35"/>
      <c r="V261" s="35"/>
      <c r="W261" s="35"/>
      <c r="X261" s="35"/>
      <c r="Y261" s="35"/>
      <c r="Z261" s="35"/>
      <c r="AA261" s="35"/>
      <c r="AB261" s="35"/>
      <c r="AC261" s="35"/>
      <c r="AD261" s="35"/>
      <c r="AE261" s="35"/>
      <c r="AF261" s="35"/>
      <c r="AG261" s="35"/>
      <c r="AH261" s="35"/>
      <c r="AI261" s="35"/>
      <c r="AJ261" s="35"/>
    </row>
    <row r="262" spans="7:36" ht="15" customHeight="1" x14ac:dyDescent="0.2">
      <c r="G262" s="17" t="s">
        <v>2</v>
      </c>
      <c r="H262" s="60"/>
      <c r="I262" s="60"/>
      <c r="J262" s="60"/>
      <c r="K262" s="101">
        <f>K$79</f>
        <v>0.19338</v>
      </c>
      <c r="L262" s="101">
        <f t="shared" ref="L262:AJ262" si="64">L$79</f>
        <v>0.18757859999999998</v>
      </c>
      <c r="M262" s="101">
        <f t="shared" si="64"/>
        <v>0.18195124199999999</v>
      </c>
      <c r="N262" s="101">
        <f t="shared" si="64"/>
        <v>0.17649270473999998</v>
      </c>
      <c r="O262" s="101">
        <f t="shared" si="64"/>
        <v>0.17119792359779998</v>
      </c>
      <c r="P262" s="101">
        <f t="shared" si="64"/>
        <v>0.16606198588986598</v>
      </c>
      <c r="Q262" s="101">
        <f t="shared" si="64"/>
        <v>0.16108012631317001</v>
      </c>
      <c r="R262" s="101">
        <f t="shared" si="64"/>
        <v>0.15624772252377489</v>
      </c>
      <c r="S262" s="101">
        <f t="shared" si="64"/>
        <v>0.15156029084806164</v>
      </c>
      <c r="T262" s="101">
        <f t="shared" si="64"/>
        <v>0.14701348212261978</v>
      </c>
      <c r="U262" s="101">
        <f t="shared" si="64"/>
        <v>0.14260307765894117</v>
      </c>
      <c r="V262" s="101">
        <f t="shared" si="64"/>
        <v>0.13832498532917292</v>
      </c>
      <c r="W262" s="101">
        <f t="shared" si="64"/>
        <v>0.13417523576929774</v>
      </c>
      <c r="X262" s="101">
        <f t="shared" si="64"/>
        <v>0.1301499786962188</v>
      </c>
      <c r="Y262" s="101">
        <f t="shared" si="64"/>
        <v>0.12624547933533223</v>
      </c>
      <c r="Z262" s="101">
        <f t="shared" si="64"/>
        <v>0.12245811495527226</v>
      </c>
      <c r="AA262" s="101">
        <f t="shared" si="64"/>
        <v>0.11878437150661408</v>
      </c>
      <c r="AB262" s="101">
        <f t="shared" si="64"/>
        <v>0.11522084036141565</v>
      </c>
      <c r="AC262" s="101">
        <f t="shared" si="64"/>
        <v>0.11176421515057318</v>
      </c>
      <c r="AD262" s="101">
        <f t="shared" si="64"/>
        <v>0.10841128869605599</v>
      </c>
      <c r="AE262" s="101">
        <f t="shared" si="64"/>
        <v>0.10515895003517431</v>
      </c>
      <c r="AF262" s="101">
        <f t="shared" si="64"/>
        <v>0.10200418153411908</v>
      </c>
      <c r="AG262" s="101">
        <f t="shared" si="64"/>
        <v>9.8944056088095506E-2</v>
      </c>
      <c r="AH262" s="101">
        <f t="shared" si="64"/>
        <v>9.5975734405452637E-2</v>
      </c>
      <c r="AI262" s="101">
        <f t="shared" si="64"/>
        <v>9.3096462373289057E-2</v>
      </c>
      <c r="AJ262" s="101">
        <f t="shared" si="64"/>
        <v>9.0303568502090384E-2</v>
      </c>
    </row>
    <row r="263" spans="7:36" ht="15" customHeight="1" x14ac:dyDescent="0.2">
      <c r="G263" s="17" t="s">
        <v>1</v>
      </c>
      <c r="H263" s="60"/>
      <c r="I263" s="60"/>
      <c r="J263" s="60"/>
      <c r="K263" s="101">
        <f>K$85</f>
        <v>0.31</v>
      </c>
      <c r="L263" s="101">
        <f t="shared" ref="L263:AJ263" si="65">L$85</f>
        <v>0.34100000000000003</v>
      </c>
      <c r="M263" s="101">
        <f t="shared" si="65"/>
        <v>0.37510000000000004</v>
      </c>
      <c r="N263" s="101">
        <f t="shared" si="65"/>
        <v>0.41261000000000009</v>
      </c>
      <c r="O263" s="101">
        <f t="shared" si="65"/>
        <v>0.45387100000000014</v>
      </c>
      <c r="P263" s="101">
        <f t="shared" si="65"/>
        <v>0.4992581000000002</v>
      </c>
      <c r="Q263" s="101">
        <f t="shared" si="65"/>
        <v>0.54918391000000022</v>
      </c>
      <c r="R263" s="101">
        <f t="shared" si="65"/>
        <v>0.60410230100000029</v>
      </c>
      <c r="S263" s="101">
        <f t="shared" si="65"/>
        <v>0.66451253110000041</v>
      </c>
      <c r="T263" s="101">
        <f t="shared" si="65"/>
        <v>0.73096378421000052</v>
      </c>
      <c r="U263" s="101">
        <f t="shared" si="65"/>
        <v>0.80406016263100066</v>
      </c>
      <c r="V263" s="101">
        <f t="shared" si="65"/>
        <v>0.88446617889410084</v>
      </c>
      <c r="W263" s="101">
        <f t="shared" si="65"/>
        <v>0.97291279678351106</v>
      </c>
      <c r="X263" s="101">
        <f t="shared" si="65"/>
        <v>1.0702040764618623</v>
      </c>
      <c r="Y263" s="101">
        <f t="shared" si="65"/>
        <v>1.1772244841080486</v>
      </c>
      <c r="Z263" s="101">
        <f t="shared" si="65"/>
        <v>1.2949469325188536</v>
      </c>
      <c r="AA263" s="101">
        <f t="shared" si="65"/>
        <v>1.4244416257707391</v>
      </c>
      <c r="AB263" s="101">
        <f t="shared" si="65"/>
        <v>1.5668857883478131</v>
      </c>
      <c r="AC263" s="101">
        <f t="shared" si="65"/>
        <v>1.7235743671825945</v>
      </c>
      <c r="AD263" s="101">
        <f t="shared" si="65"/>
        <v>1.8959318039008541</v>
      </c>
      <c r="AE263" s="101">
        <f t="shared" si="65"/>
        <v>2.0855249842909398</v>
      </c>
      <c r="AF263" s="101">
        <f t="shared" si="65"/>
        <v>2.2940774827200339</v>
      </c>
      <c r="AG263" s="101">
        <f t="shared" si="65"/>
        <v>2.5234852309920375</v>
      </c>
      <c r="AH263" s="101">
        <f t="shared" si="65"/>
        <v>2.7758337540912414</v>
      </c>
      <c r="AI263" s="101">
        <f t="shared" si="65"/>
        <v>3.053417129500366</v>
      </c>
      <c r="AJ263" s="101">
        <f t="shared" si="65"/>
        <v>3.3587588424504031</v>
      </c>
    </row>
    <row r="264" spans="7:36" ht="15" customHeight="1" x14ac:dyDescent="0.2">
      <c r="G264" s="60"/>
      <c r="H264" s="60"/>
      <c r="I264" s="60"/>
      <c r="J264" s="60"/>
      <c r="K264" s="60"/>
      <c r="L264" s="60"/>
      <c r="M264" s="60"/>
      <c r="N264" s="60"/>
      <c r="O264" s="60"/>
      <c r="P264" s="60"/>
      <c r="Q264" s="60"/>
      <c r="R264" s="61"/>
      <c r="S264" s="60"/>
      <c r="T264" s="60"/>
      <c r="U264" s="60"/>
      <c r="V264" s="60"/>
      <c r="W264" s="60"/>
      <c r="X264" s="60"/>
      <c r="Y264" s="60"/>
      <c r="Z264" s="60"/>
      <c r="AA264" s="60"/>
      <c r="AB264" s="60"/>
      <c r="AC264" s="60"/>
      <c r="AD264" s="60"/>
      <c r="AE264" s="60"/>
      <c r="AF264" s="60"/>
      <c r="AG264" s="60"/>
      <c r="AH264" s="60"/>
      <c r="AI264" s="60"/>
      <c r="AJ264" s="60"/>
    </row>
    <row r="265" spans="7:36" ht="15" customHeight="1" x14ac:dyDescent="0.2">
      <c r="G265" s="17" t="s">
        <v>4</v>
      </c>
      <c r="H265" s="17"/>
      <c r="I265" s="13"/>
      <c r="J265" s="13"/>
      <c r="K265" s="43"/>
      <c r="L265" s="43"/>
      <c r="M265" s="43"/>
      <c r="N265" s="43"/>
      <c r="O265" s="43"/>
      <c r="P265" s="43"/>
      <c r="Q265" s="43"/>
      <c r="R265" s="43"/>
      <c r="S265" s="43"/>
      <c r="T265" s="43"/>
      <c r="U265" s="43"/>
      <c r="V265" s="43"/>
      <c r="W265" s="43"/>
      <c r="X265" s="43"/>
      <c r="Y265" s="43"/>
      <c r="Z265" s="43"/>
      <c r="AA265" s="43"/>
      <c r="AB265" s="43"/>
      <c r="AC265" s="43"/>
      <c r="AD265" s="43"/>
      <c r="AE265" s="43"/>
      <c r="AF265" s="43"/>
      <c r="AG265" s="43"/>
      <c r="AH265" s="43"/>
      <c r="AI265" s="43"/>
      <c r="AJ265" s="43"/>
    </row>
    <row r="266" spans="7:36" ht="15" customHeight="1" x14ac:dyDescent="0.2">
      <c r="G266" s="17" t="s">
        <v>5</v>
      </c>
      <c r="H266" s="17"/>
      <c r="I266" s="13"/>
      <c r="J266" s="13"/>
      <c r="K266" s="43"/>
      <c r="L266" s="43"/>
      <c r="M266" s="43"/>
      <c r="N266" s="43"/>
      <c r="O266" s="43"/>
      <c r="P266" s="43"/>
      <c r="Q266" s="43"/>
      <c r="R266" s="43"/>
      <c r="S266" s="43"/>
      <c r="T266" s="43"/>
      <c r="U266" s="43"/>
      <c r="V266" s="43"/>
      <c r="W266" s="43"/>
      <c r="X266" s="43"/>
      <c r="Y266" s="43"/>
      <c r="Z266" s="43"/>
      <c r="AA266" s="43"/>
      <c r="AB266" s="43"/>
      <c r="AC266" s="43"/>
      <c r="AD266" s="43"/>
      <c r="AE266" s="43"/>
      <c r="AF266" s="43"/>
      <c r="AG266" s="43"/>
      <c r="AH266" s="43"/>
      <c r="AI266" s="43"/>
      <c r="AJ266" s="43"/>
    </row>
    <row r="267" spans="7:36" ht="15" customHeight="1" x14ac:dyDescent="0.2">
      <c r="G267" s="17" t="s">
        <v>6</v>
      </c>
      <c r="H267" s="17"/>
      <c r="I267" s="13"/>
      <c r="J267" s="13"/>
      <c r="K267" s="35">
        <f t="shared" ref="K267:AJ267" si="66">IF(K$70&lt;$Q$43,$J$32,$P$32)</f>
        <v>0</v>
      </c>
      <c r="L267" s="35">
        <f t="shared" si="66"/>
        <v>0</v>
      </c>
      <c r="M267" s="35">
        <f t="shared" si="66"/>
        <v>0</v>
      </c>
      <c r="N267" s="35">
        <f t="shared" si="66"/>
        <v>0</v>
      </c>
      <c r="O267" s="35">
        <f t="shared" si="66"/>
        <v>0</v>
      </c>
      <c r="P267" s="35">
        <f t="shared" si="66"/>
        <v>0</v>
      </c>
      <c r="Q267" s="35">
        <f t="shared" si="66"/>
        <v>0</v>
      </c>
      <c r="R267" s="35">
        <f t="shared" si="66"/>
        <v>0</v>
      </c>
      <c r="S267" s="35">
        <f t="shared" si="66"/>
        <v>0</v>
      </c>
      <c r="T267" s="35">
        <f t="shared" si="66"/>
        <v>0</v>
      </c>
      <c r="U267" s="35">
        <f t="shared" si="66"/>
        <v>0</v>
      </c>
      <c r="V267" s="35">
        <f t="shared" si="66"/>
        <v>0</v>
      </c>
      <c r="W267" s="35">
        <f t="shared" si="66"/>
        <v>0</v>
      </c>
      <c r="X267" s="35">
        <f t="shared" si="66"/>
        <v>0</v>
      </c>
      <c r="Y267" s="35">
        <f t="shared" si="66"/>
        <v>0</v>
      </c>
      <c r="Z267" s="35">
        <f t="shared" si="66"/>
        <v>0</v>
      </c>
      <c r="AA267" s="35">
        <f t="shared" si="66"/>
        <v>0</v>
      </c>
      <c r="AB267" s="35">
        <f t="shared" si="66"/>
        <v>0</v>
      </c>
      <c r="AC267" s="35">
        <f t="shared" si="66"/>
        <v>0</v>
      </c>
      <c r="AD267" s="35">
        <f t="shared" si="66"/>
        <v>0</v>
      </c>
      <c r="AE267" s="35">
        <f t="shared" si="66"/>
        <v>0</v>
      </c>
      <c r="AF267" s="35">
        <f t="shared" si="66"/>
        <v>0</v>
      </c>
      <c r="AG267" s="35">
        <f t="shared" si="66"/>
        <v>0</v>
      </c>
      <c r="AH267" s="35">
        <f t="shared" si="66"/>
        <v>0</v>
      </c>
      <c r="AI267" s="35">
        <f t="shared" si="66"/>
        <v>0</v>
      </c>
      <c r="AJ267" s="35">
        <f t="shared" si="66"/>
        <v>0</v>
      </c>
    </row>
    <row r="268" spans="7:36" ht="15" customHeight="1" x14ac:dyDescent="0.2">
      <c r="G268" s="17"/>
      <c r="H268" s="17"/>
      <c r="I268" s="13"/>
      <c r="J268" s="13"/>
      <c r="K268" s="35"/>
      <c r="L268" s="35"/>
      <c r="M268" s="35"/>
      <c r="N268" s="35"/>
      <c r="O268" s="35"/>
      <c r="P268" s="35"/>
      <c r="Q268" s="35"/>
      <c r="R268" s="35"/>
      <c r="S268" s="35"/>
      <c r="T268" s="35"/>
      <c r="U268" s="35"/>
      <c r="V268" s="35"/>
      <c r="W268" s="35"/>
      <c r="X268" s="35"/>
      <c r="Y268" s="35"/>
      <c r="Z268" s="35"/>
      <c r="AA268" s="35"/>
      <c r="AB268" s="35"/>
      <c r="AC268" s="35"/>
      <c r="AD268" s="35"/>
      <c r="AE268" s="35"/>
      <c r="AF268" s="35"/>
      <c r="AG268" s="35"/>
      <c r="AH268" s="35"/>
      <c r="AI268" s="35"/>
      <c r="AJ268" s="35"/>
    </row>
    <row r="269" spans="7:36" ht="15" customHeight="1" x14ac:dyDescent="0.2">
      <c r="G269" s="17" t="s">
        <v>7</v>
      </c>
      <c r="H269" s="17"/>
      <c r="I269" s="13"/>
      <c r="J269" s="13"/>
      <c r="K269" s="43"/>
      <c r="L269" s="43"/>
      <c r="M269" s="43"/>
      <c r="N269" s="43"/>
      <c r="O269" s="43"/>
      <c r="P269" s="43"/>
      <c r="Q269" s="43"/>
      <c r="R269" s="43"/>
      <c r="S269" s="43"/>
      <c r="T269" s="43"/>
      <c r="U269" s="43"/>
      <c r="V269" s="43"/>
      <c r="W269" s="43"/>
      <c r="X269" s="43"/>
      <c r="Y269" s="43"/>
      <c r="Z269" s="43"/>
      <c r="AA269" s="43"/>
      <c r="AB269" s="43"/>
      <c r="AC269" s="43"/>
      <c r="AD269" s="43"/>
      <c r="AE269" s="43"/>
      <c r="AF269" s="43"/>
      <c r="AG269" s="43"/>
      <c r="AH269" s="43"/>
      <c r="AI269" s="43"/>
      <c r="AJ269" s="43"/>
    </row>
    <row r="270" spans="7:36" ht="15" customHeight="1" x14ac:dyDescent="0.2">
      <c r="G270" s="17" t="s">
        <v>8</v>
      </c>
      <c r="H270" s="17"/>
      <c r="I270" s="13"/>
      <c r="J270" s="13"/>
      <c r="K270" s="43"/>
      <c r="L270" s="43"/>
      <c r="M270" s="43"/>
      <c r="N270" s="43"/>
      <c r="O270" s="43"/>
      <c r="P270" s="43"/>
      <c r="Q270" s="43"/>
      <c r="R270" s="43"/>
      <c r="S270" s="43"/>
      <c r="T270" s="43"/>
      <c r="U270" s="43"/>
      <c r="V270" s="43"/>
      <c r="W270" s="43"/>
      <c r="X270" s="43"/>
      <c r="Y270" s="43"/>
      <c r="Z270" s="43"/>
      <c r="AA270" s="43"/>
      <c r="AB270" s="43"/>
      <c r="AC270" s="43"/>
      <c r="AD270" s="43"/>
      <c r="AE270" s="43"/>
      <c r="AF270" s="43"/>
      <c r="AG270" s="43"/>
      <c r="AH270" s="43"/>
      <c r="AI270" s="43"/>
      <c r="AJ270" s="43"/>
    </row>
    <row r="271" spans="7:36" ht="15" customHeight="1" x14ac:dyDescent="0.2">
      <c r="G271" s="17" t="s">
        <v>9</v>
      </c>
      <c r="H271" s="17"/>
      <c r="I271" s="13"/>
      <c r="J271" s="13"/>
      <c r="K271" s="35">
        <f>K262*K267</f>
        <v>0</v>
      </c>
      <c r="L271" s="35">
        <f t="shared" ref="L271:AJ271" si="67">L262*L267</f>
        <v>0</v>
      </c>
      <c r="M271" s="35">
        <f t="shared" si="67"/>
        <v>0</v>
      </c>
      <c r="N271" s="35">
        <f t="shared" si="67"/>
        <v>0</v>
      </c>
      <c r="O271" s="35">
        <f t="shared" si="67"/>
        <v>0</v>
      </c>
      <c r="P271" s="35">
        <f t="shared" si="67"/>
        <v>0</v>
      </c>
      <c r="Q271" s="35">
        <f t="shared" si="67"/>
        <v>0</v>
      </c>
      <c r="R271" s="35">
        <f t="shared" si="67"/>
        <v>0</v>
      </c>
      <c r="S271" s="35">
        <f t="shared" si="67"/>
        <v>0</v>
      </c>
      <c r="T271" s="35">
        <f t="shared" si="67"/>
        <v>0</v>
      </c>
      <c r="U271" s="35">
        <f t="shared" si="67"/>
        <v>0</v>
      </c>
      <c r="V271" s="35">
        <f t="shared" si="67"/>
        <v>0</v>
      </c>
      <c r="W271" s="35">
        <f t="shared" si="67"/>
        <v>0</v>
      </c>
      <c r="X271" s="35">
        <f t="shared" si="67"/>
        <v>0</v>
      </c>
      <c r="Y271" s="35">
        <f t="shared" si="67"/>
        <v>0</v>
      </c>
      <c r="Z271" s="35">
        <f t="shared" si="67"/>
        <v>0</v>
      </c>
      <c r="AA271" s="35">
        <f t="shared" si="67"/>
        <v>0</v>
      </c>
      <c r="AB271" s="35">
        <f t="shared" si="67"/>
        <v>0</v>
      </c>
      <c r="AC271" s="35">
        <f t="shared" si="67"/>
        <v>0</v>
      </c>
      <c r="AD271" s="35">
        <f t="shared" si="67"/>
        <v>0</v>
      </c>
      <c r="AE271" s="35">
        <f t="shared" si="67"/>
        <v>0</v>
      </c>
      <c r="AF271" s="35">
        <f t="shared" si="67"/>
        <v>0</v>
      </c>
      <c r="AG271" s="35">
        <f t="shared" si="67"/>
        <v>0</v>
      </c>
      <c r="AH271" s="35">
        <f t="shared" si="67"/>
        <v>0</v>
      </c>
      <c r="AI271" s="35">
        <f t="shared" si="67"/>
        <v>0</v>
      </c>
      <c r="AJ271" s="35">
        <f t="shared" si="67"/>
        <v>0</v>
      </c>
    </row>
    <row r="272" spans="7:36" ht="15" customHeight="1" x14ac:dyDescent="0.2">
      <c r="G272" s="17"/>
      <c r="H272" s="17"/>
      <c r="I272" s="13"/>
      <c r="J272" s="13"/>
      <c r="K272" s="35"/>
      <c r="L272" s="35"/>
      <c r="M272" s="35"/>
      <c r="N272" s="35"/>
      <c r="O272" s="35"/>
      <c r="P272" s="35"/>
      <c r="Q272" s="35"/>
      <c r="R272" s="35"/>
      <c r="S272" s="35"/>
      <c r="T272" s="35"/>
      <c r="U272" s="35"/>
      <c r="V272" s="35"/>
      <c r="W272" s="35"/>
      <c r="X272" s="35"/>
      <c r="Y272" s="35"/>
      <c r="Z272" s="35"/>
      <c r="AA272" s="35"/>
      <c r="AB272" s="35"/>
      <c r="AC272" s="35"/>
      <c r="AD272" s="35"/>
      <c r="AE272" s="35"/>
      <c r="AF272" s="35"/>
      <c r="AG272" s="35"/>
      <c r="AH272" s="35"/>
      <c r="AI272" s="35"/>
      <c r="AJ272" s="35"/>
    </row>
    <row r="273" spans="7:37" ht="15" customHeight="1" x14ac:dyDescent="0.2">
      <c r="G273" s="17" t="s">
        <v>10</v>
      </c>
      <c r="H273" s="17"/>
      <c r="I273" s="13"/>
      <c r="J273" s="13"/>
      <c r="K273" s="43"/>
      <c r="L273" s="43"/>
      <c r="M273" s="43"/>
      <c r="N273" s="43"/>
      <c r="O273" s="43"/>
      <c r="P273" s="43"/>
      <c r="Q273" s="43"/>
      <c r="R273" s="43"/>
      <c r="S273" s="43"/>
      <c r="T273" s="43"/>
      <c r="U273" s="43"/>
      <c r="V273" s="43"/>
      <c r="W273" s="43"/>
      <c r="X273" s="43"/>
      <c r="Y273" s="43"/>
      <c r="Z273" s="43"/>
      <c r="AA273" s="43"/>
      <c r="AB273" s="43"/>
      <c r="AC273" s="43"/>
      <c r="AD273" s="43"/>
      <c r="AE273" s="43"/>
      <c r="AF273" s="43"/>
      <c r="AG273" s="43"/>
      <c r="AH273" s="43"/>
      <c r="AI273" s="43"/>
      <c r="AJ273" s="43"/>
    </row>
    <row r="274" spans="7:37" ht="15" customHeight="1" x14ac:dyDescent="0.2">
      <c r="G274" s="17" t="s">
        <v>11</v>
      </c>
      <c r="H274" s="17"/>
      <c r="I274" s="13"/>
      <c r="J274" s="13"/>
      <c r="K274" s="43"/>
      <c r="L274" s="43"/>
      <c r="M274" s="43"/>
      <c r="N274" s="43"/>
      <c r="O274" s="43"/>
      <c r="P274" s="43"/>
      <c r="Q274" s="43"/>
      <c r="R274" s="43"/>
      <c r="S274" s="43"/>
      <c r="T274" s="43"/>
      <c r="U274" s="43"/>
      <c r="V274" s="43"/>
      <c r="W274" s="43"/>
      <c r="X274" s="43"/>
      <c r="Y274" s="43"/>
      <c r="Z274" s="43"/>
      <c r="AA274" s="43"/>
      <c r="AB274" s="43"/>
      <c r="AC274" s="43"/>
      <c r="AD274" s="43"/>
      <c r="AE274" s="43"/>
      <c r="AF274" s="43"/>
      <c r="AG274" s="43"/>
      <c r="AH274" s="43"/>
      <c r="AI274" s="43"/>
      <c r="AJ274" s="43"/>
    </row>
    <row r="275" spans="7:37" ht="15" customHeight="1" x14ac:dyDescent="0.2">
      <c r="G275" s="17" t="s">
        <v>12</v>
      </c>
      <c r="H275" s="17"/>
      <c r="I275" s="13"/>
      <c r="J275" s="13"/>
      <c r="K275" s="35">
        <f>K$263*K267</f>
        <v>0</v>
      </c>
      <c r="L275" s="35">
        <f t="shared" ref="L275:AJ275" si="68">L$263*L267</f>
        <v>0</v>
      </c>
      <c r="M275" s="35">
        <f t="shared" si="68"/>
        <v>0</v>
      </c>
      <c r="N275" s="35">
        <f t="shared" si="68"/>
        <v>0</v>
      </c>
      <c r="O275" s="35">
        <f t="shared" si="68"/>
        <v>0</v>
      </c>
      <c r="P275" s="35">
        <f t="shared" si="68"/>
        <v>0</v>
      </c>
      <c r="Q275" s="35">
        <f t="shared" si="68"/>
        <v>0</v>
      </c>
      <c r="R275" s="35">
        <f t="shared" si="68"/>
        <v>0</v>
      </c>
      <c r="S275" s="35">
        <f t="shared" si="68"/>
        <v>0</v>
      </c>
      <c r="T275" s="35">
        <f t="shared" si="68"/>
        <v>0</v>
      </c>
      <c r="U275" s="35">
        <f t="shared" si="68"/>
        <v>0</v>
      </c>
      <c r="V275" s="35">
        <f t="shared" si="68"/>
        <v>0</v>
      </c>
      <c r="W275" s="35">
        <f t="shared" si="68"/>
        <v>0</v>
      </c>
      <c r="X275" s="35">
        <f t="shared" si="68"/>
        <v>0</v>
      </c>
      <c r="Y275" s="35">
        <f t="shared" si="68"/>
        <v>0</v>
      </c>
      <c r="Z275" s="35">
        <f t="shared" si="68"/>
        <v>0</v>
      </c>
      <c r="AA275" s="35">
        <f t="shared" si="68"/>
        <v>0</v>
      </c>
      <c r="AB275" s="35">
        <f t="shared" si="68"/>
        <v>0</v>
      </c>
      <c r="AC275" s="35">
        <f t="shared" si="68"/>
        <v>0</v>
      </c>
      <c r="AD275" s="35">
        <f t="shared" si="68"/>
        <v>0</v>
      </c>
      <c r="AE275" s="35">
        <f t="shared" si="68"/>
        <v>0</v>
      </c>
      <c r="AF275" s="35">
        <f t="shared" si="68"/>
        <v>0</v>
      </c>
      <c r="AG275" s="35">
        <f t="shared" si="68"/>
        <v>0</v>
      </c>
      <c r="AH275" s="35">
        <f t="shared" si="68"/>
        <v>0</v>
      </c>
      <c r="AI275" s="35">
        <f t="shared" si="68"/>
        <v>0</v>
      </c>
      <c r="AJ275" s="35">
        <f t="shared" si="68"/>
        <v>0</v>
      </c>
      <c r="AK275" s="112"/>
    </row>
    <row r="276" spans="7:37" ht="15" customHeight="1" x14ac:dyDescent="0.2">
      <c r="G276" s="17" t="s">
        <v>13</v>
      </c>
      <c r="H276" s="17"/>
      <c r="I276" s="13"/>
      <c r="J276" s="13"/>
      <c r="K276" s="35">
        <f t="shared" ref="K276:AJ276" si="69">K$88*K271</f>
        <v>0</v>
      </c>
      <c r="L276" s="35">
        <f t="shared" si="69"/>
        <v>0</v>
      </c>
      <c r="M276" s="35">
        <f t="shared" si="69"/>
        <v>0</v>
      </c>
      <c r="N276" s="35">
        <f t="shared" si="69"/>
        <v>0</v>
      </c>
      <c r="O276" s="35">
        <f t="shared" si="69"/>
        <v>0</v>
      </c>
      <c r="P276" s="35">
        <f t="shared" si="69"/>
        <v>0</v>
      </c>
      <c r="Q276" s="35">
        <f t="shared" si="69"/>
        <v>0</v>
      </c>
      <c r="R276" s="35">
        <f t="shared" si="69"/>
        <v>0</v>
      </c>
      <c r="S276" s="35">
        <f t="shared" si="69"/>
        <v>0</v>
      </c>
      <c r="T276" s="35">
        <f t="shared" si="69"/>
        <v>0</v>
      </c>
      <c r="U276" s="35">
        <f t="shared" si="69"/>
        <v>0</v>
      </c>
      <c r="V276" s="35">
        <f t="shared" si="69"/>
        <v>0</v>
      </c>
      <c r="W276" s="35">
        <f t="shared" si="69"/>
        <v>0</v>
      </c>
      <c r="X276" s="35">
        <f t="shared" si="69"/>
        <v>0</v>
      </c>
      <c r="Y276" s="35">
        <f t="shared" si="69"/>
        <v>0</v>
      </c>
      <c r="Z276" s="35">
        <f t="shared" si="69"/>
        <v>0</v>
      </c>
      <c r="AA276" s="35">
        <f t="shared" si="69"/>
        <v>0</v>
      </c>
      <c r="AB276" s="35">
        <f t="shared" si="69"/>
        <v>0</v>
      </c>
      <c r="AC276" s="35">
        <f t="shared" si="69"/>
        <v>0</v>
      </c>
      <c r="AD276" s="35">
        <f t="shared" si="69"/>
        <v>0</v>
      </c>
      <c r="AE276" s="35">
        <f t="shared" si="69"/>
        <v>0</v>
      </c>
      <c r="AF276" s="35">
        <f t="shared" si="69"/>
        <v>0</v>
      </c>
      <c r="AG276" s="35">
        <f t="shared" si="69"/>
        <v>0</v>
      </c>
      <c r="AH276" s="35">
        <f t="shared" si="69"/>
        <v>0</v>
      </c>
      <c r="AI276" s="35">
        <f t="shared" si="69"/>
        <v>0</v>
      </c>
      <c r="AJ276" s="35">
        <f t="shared" si="69"/>
        <v>0</v>
      </c>
    </row>
    <row r="277" spans="7:37" ht="15" customHeight="1" x14ac:dyDescent="0.2">
      <c r="G277" s="17"/>
      <c r="H277" s="17"/>
      <c r="I277" s="13"/>
      <c r="J277" s="13"/>
      <c r="K277" s="35"/>
      <c r="L277" s="35"/>
      <c r="M277" s="35"/>
      <c r="N277" s="35"/>
      <c r="O277" s="35"/>
      <c r="P277" s="35"/>
      <c r="Q277" s="35"/>
      <c r="R277" s="35"/>
      <c r="S277" s="35"/>
      <c r="T277" s="35"/>
      <c r="U277" s="35"/>
      <c r="V277" s="35"/>
      <c r="W277" s="35"/>
      <c r="X277" s="35"/>
      <c r="Y277" s="35"/>
      <c r="Z277" s="35"/>
      <c r="AA277" s="35"/>
      <c r="AB277" s="35"/>
      <c r="AC277" s="35"/>
      <c r="AD277" s="35"/>
      <c r="AE277" s="35"/>
      <c r="AF277" s="35"/>
      <c r="AG277" s="35"/>
      <c r="AH277" s="35"/>
      <c r="AI277" s="35"/>
      <c r="AJ277" s="35"/>
    </row>
    <row r="278" spans="7:37" ht="15" customHeight="1" x14ac:dyDescent="0.2">
      <c r="G278" s="17" t="s">
        <v>14</v>
      </c>
      <c r="H278" s="17"/>
      <c r="I278" s="13"/>
      <c r="J278" s="13"/>
      <c r="K278" s="35">
        <f>SUM(K273:K276)</f>
        <v>0</v>
      </c>
      <c r="L278" s="35">
        <f t="shared" ref="L278:AH278" si="70">SUM(L273:L276)</f>
        <v>0</v>
      </c>
      <c r="M278" s="35">
        <f t="shared" si="70"/>
        <v>0</v>
      </c>
      <c r="N278" s="35">
        <f t="shared" si="70"/>
        <v>0</v>
      </c>
      <c r="O278" s="35">
        <f t="shared" si="70"/>
        <v>0</v>
      </c>
      <c r="P278" s="35">
        <f t="shared" si="70"/>
        <v>0</v>
      </c>
      <c r="Q278" s="35">
        <f t="shared" si="70"/>
        <v>0</v>
      </c>
      <c r="R278" s="35">
        <f t="shared" si="70"/>
        <v>0</v>
      </c>
      <c r="S278" s="35">
        <f t="shared" si="70"/>
        <v>0</v>
      </c>
      <c r="T278" s="35">
        <f t="shared" si="70"/>
        <v>0</v>
      </c>
      <c r="U278" s="35">
        <f t="shared" si="70"/>
        <v>0</v>
      </c>
      <c r="V278" s="35">
        <f t="shared" si="70"/>
        <v>0</v>
      </c>
      <c r="W278" s="35">
        <f t="shared" si="70"/>
        <v>0</v>
      </c>
      <c r="X278" s="35">
        <f t="shared" si="70"/>
        <v>0</v>
      </c>
      <c r="Y278" s="35">
        <f t="shared" si="70"/>
        <v>0</v>
      </c>
      <c r="Z278" s="35">
        <f t="shared" si="70"/>
        <v>0</v>
      </c>
      <c r="AA278" s="35">
        <f t="shared" si="70"/>
        <v>0</v>
      </c>
      <c r="AB278" s="35">
        <f t="shared" si="70"/>
        <v>0</v>
      </c>
      <c r="AC278" s="35">
        <f t="shared" si="70"/>
        <v>0</v>
      </c>
      <c r="AD278" s="35">
        <f t="shared" si="70"/>
        <v>0</v>
      </c>
      <c r="AE278" s="35">
        <f t="shared" si="70"/>
        <v>0</v>
      </c>
      <c r="AF278" s="35">
        <f t="shared" si="70"/>
        <v>0</v>
      </c>
      <c r="AG278" s="35">
        <f t="shared" si="70"/>
        <v>0</v>
      </c>
      <c r="AH278" s="35">
        <f t="shared" si="70"/>
        <v>0</v>
      </c>
      <c r="AI278" s="35">
        <f>SUM(AI273:AI276)</f>
        <v>0</v>
      </c>
      <c r="AJ278" s="35">
        <f>SUM(AJ273:AJ276)</f>
        <v>0</v>
      </c>
    </row>
    <row r="279" spans="7:37" ht="15" customHeight="1" x14ac:dyDescent="0.2">
      <c r="G279" s="17" t="s">
        <v>435</v>
      </c>
      <c r="H279" s="17"/>
      <c r="I279" s="13"/>
      <c r="J279" s="13"/>
      <c r="K279" s="35">
        <f>K278</f>
        <v>0</v>
      </c>
      <c r="L279" s="35">
        <f t="shared" ref="L279:AJ279" si="71">K279+L278</f>
        <v>0</v>
      </c>
      <c r="M279" s="35">
        <f t="shared" si="71"/>
        <v>0</v>
      </c>
      <c r="N279" s="35">
        <f t="shared" si="71"/>
        <v>0</v>
      </c>
      <c r="O279" s="35">
        <f t="shared" si="71"/>
        <v>0</v>
      </c>
      <c r="P279" s="35">
        <f t="shared" si="71"/>
        <v>0</v>
      </c>
      <c r="Q279" s="35">
        <f t="shared" si="71"/>
        <v>0</v>
      </c>
      <c r="R279" s="35">
        <f t="shared" si="71"/>
        <v>0</v>
      </c>
      <c r="S279" s="35">
        <f t="shared" si="71"/>
        <v>0</v>
      </c>
      <c r="T279" s="35">
        <f t="shared" si="71"/>
        <v>0</v>
      </c>
      <c r="U279" s="35">
        <f t="shared" si="71"/>
        <v>0</v>
      </c>
      <c r="V279" s="35">
        <f t="shared" si="71"/>
        <v>0</v>
      </c>
      <c r="W279" s="35">
        <f t="shared" si="71"/>
        <v>0</v>
      </c>
      <c r="X279" s="35">
        <f t="shared" si="71"/>
        <v>0</v>
      </c>
      <c r="Y279" s="35">
        <f t="shared" si="71"/>
        <v>0</v>
      </c>
      <c r="Z279" s="35">
        <f t="shared" si="71"/>
        <v>0</v>
      </c>
      <c r="AA279" s="35">
        <f t="shared" si="71"/>
        <v>0</v>
      </c>
      <c r="AB279" s="35">
        <f t="shared" si="71"/>
        <v>0</v>
      </c>
      <c r="AC279" s="35">
        <f t="shared" si="71"/>
        <v>0</v>
      </c>
      <c r="AD279" s="35">
        <f t="shared" si="71"/>
        <v>0</v>
      </c>
      <c r="AE279" s="35">
        <f t="shared" si="71"/>
        <v>0</v>
      </c>
      <c r="AF279" s="35">
        <f t="shared" si="71"/>
        <v>0</v>
      </c>
      <c r="AG279" s="35">
        <f t="shared" si="71"/>
        <v>0</v>
      </c>
      <c r="AH279" s="35">
        <f t="shared" si="71"/>
        <v>0</v>
      </c>
      <c r="AI279" s="35">
        <f t="shared" si="71"/>
        <v>0</v>
      </c>
      <c r="AJ279" s="35">
        <f t="shared" si="71"/>
        <v>0</v>
      </c>
    </row>
    <row r="280" spans="7:37" ht="15" customHeight="1" x14ac:dyDescent="0.2">
      <c r="G280" s="17"/>
      <c r="H280" s="17"/>
      <c r="I280" s="13"/>
      <c r="J280" s="13"/>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row>
    <row r="281" spans="7:37" ht="15" customHeight="1" x14ac:dyDescent="0.2">
      <c r="G281" s="17" t="s">
        <v>17</v>
      </c>
      <c r="H281" s="17"/>
      <c r="I281" s="13"/>
      <c r="J281" s="13"/>
      <c r="K281" s="35">
        <f>K278/(((Data!$P$186/100)+1)^K$70)</f>
        <v>0</v>
      </c>
      <c r="L281" s="35">
        <f>L278/(((Data!$P$186/100)+1)^L$70)</f>
        <v>0</v>
      </c>
      <c r="M281" s="35">
        <f>M278/(((Data!$P$186/100)+1)^M$70)</f>
        <v>0</v>
      </c>
      <c r="N281" s="35">
        <f>N278/(((Data!$P$186/100)+1)^N$70)</f>
        <v>0</v>
      </c>
      <c r="O281" s="35">
        <f>O278/(((Data!$P$186/100)+1)^O$70)</f>
        <v>0</v>
      </c>
      <c r="P281" s="35">
        <f>P278/(((Data!$P$186/100)+1)^P$70)</f>
        <v>0</v>
      </c>
      <c r="Q281" s="35">
        <f>Q278/(((Data!$P$186/100)+1)^Q$70)</f>
        <v>0</v>
      </c>
      <c r="R281" s="35">
        <f>R278/(((Data!$P$186/100)+1)^R$70)</f>
        <v>0</v>
      </c>
      <c r="S281" s="35">
        <f>S278/(((Data!$P$186/100)+1)^S$70)</f>
        <v>0</v>
      </c>
      <c r="T281" s="35">
        <f>T278/(((Data!$P$186/100)+1)^T$70)</f>
        <v>0</v>
      </c>
      <c r="U281" s="35">
        <f>U278/(((Data!$P$186/100)+1)^U$70)</f>
        <v>0</v>
      </c>
      <c r="V281" s="35">
        <f>V278/(((Data!$P$186/100)+1)^V$70)</f>
        <v>0</v>
      </c>
      <c r="W281" s="35">
        <f>W278/(((Data!$P$186/100)+1)^W$70)</f>
        <v>0</v>
      </c>
      <c r="X281" s="35">
        <f>X278/(((Data!$P$186/100)+1)^X$70)</f>
        <v>0</v>
      </c>
      <c r="Y281" s="35">
        <f>Y278/(((Data!$P$186/100)+1)^Y$70)</f>
        <v>0</v>
      </c>
      <c r="Z281" s="35">
        <f>Z278/(((Data!$P$186/100)+1)^Z$70)</f>
        <v>0</v>
      </c>
      <c r="AA281" s="35">
        <f>AA278/(((Data!$P$186/100)+1)^AA$70)</f>
        <v>0</v>
      </c>
      <c r="AB281" s="35">
        <f>AB278/(((Data!$P$186/100)+1)^AB$70)</f>
        <v>0</v>
      </c>
      <c r="AC281" s="35">
        <f>AC278/(((Data!$P$186/100)+1)^AC$70)</f>
        <v>0</v>
      </c>
      <c r="AD281" s="35">
        <f>AD278/(((Data!$P$186/100)+1)^AD$70)</f>
        <v>0</v>
      </c>
      <c r="AE281" s="35">
        <f>AE278/(((Data!$P$186/100)+1)^AE$70)</f>
        <v>0</v>
      </c>
      <c r="AF281" s="35">
        <f>AF278/(((Data!$P$186/100)+1)^AF$70)</f>
        <v>0</v>
      </c>
      <c r="AG281" s="35">
        <f>AG278/(((Data!$P$186/100)+1)^AG$70)</f>
        <v>0</v>
      </c>
      <c r="AH281" s="35">
        <f>AH278/(((Data!$P$186/100)+1)^AH$70)</f>
        <v>0</v>
      </c>
      <c r="AI281" s="35">
        <f>AI278/(((Data!$P$186/100)+1)^AI$70)</f>
        <v>0</v>
      </c>
      <c r="AJ281" s="35">
        <f>AJ278/(((Data!$P$186/100)+1)^AJ$70)</f>
        <v>0</v>
      </c>
    </row>
    <row r="282" spans="7:37" ht="15" customHeight="1" x14ac:dyDescent="0.2">
      <c r="G282" s="15" t="s">
        <v>184</v>
      </c>
      <c r="H282" s="15"/>
      <c r="I282" s="13"/>
      <c r="J282" s="13"/>
      <c r="K282" s="36">
        <f>K281</f>
        <v>0</v>
      </c>
      <c r="L282" s="36">
        <f t="shared" ref="L282:AJ282" si="72">K282+L281</f>
        <v>0</v>
      </c>
      <c r="M282" s="36">
        <f t="shared" si="72"/>
        <v>0</v>
      </c>
      <c r="N282" s="36">
        <f t="shared" si="72"/>
        <v>0</v>
      </c>
      <c r="O282" s="36">
        <f t="shared" si="72"/>
        <v>0</v>
      </c>
      <c r="P282" s="36">
        <f t="shared" si="72"/>
        <v>0</v>
      </c>
      <c r="Q282" s="36">
        <f t="shared" si="72"/>
        <v>0</v>
      </c>
      <c r="R282" s="36">
        <f t="shared" si="72"/>
        <v>0</v>
      </c>
      <c r="S282" s="36">
        <f t="shared" si="72"/>
        <v>0</v>
      </c>
      <c r="T282" s="36">
        <f t="shared" si="72"/>
        <v>0</v>
      </c>
      <c r="U282" s="36">
        <f t="shared" si="72"/>
        <v>0</v>
      </c>
      <c r="V282" s="36">
        <f t="shared" si="72"/>
        <v>0</v>
      </c>
      <c r="W282" s="36">
        <f t="shared" si="72"/>
        <v>0</v>
      </c>
      <c r="X282" s="36">
        <f t="shared" si="72"/>
        <v>0</v>
      </c>
      <c r="Y282" s="36">
        <f t="shared" si="72"/>
        <v>0</v>
      </c>
      <c r="Z282" s="36">
        <f t="shared" si="72"/>
        <v>0</v>
      </c>
      <c r="AA282" s="36">
        <f t="shared" si="72"/>
        <v>0</v>
      </c>
      <c r="AB282" s="36">
        <f t="shared" si="72"/>
        <v>0</v>
      </c>
      <c r="AC282" s="36">
        <f t="shared" si="72"/>
        <v>0</v>
      </c>
      <c r="AD282" s="36">
        <f t="shared" si="72"/>
        <v>0</v>
      </c>
      <c r="AE282" s="36">
        <f t="shared" si="72"/>
        <v>0</v>
      </c>
      <c r="AF282" s="36">
        <f t="shared" si="72"/>
        <v>0</v>
      </c>
      <c r="AG282" s="36">
        <f t="shared" si="72"/>
        <v>0</v>
      </c>
      <c r="AH282" s="36">
        <f t="shared" si="72"/>
        <v>0</v>
      </c>
      <c r="AI282" s="36">
        <f t="shared" si="72"/>
        <v>0</v>
      </c>
      <c r="AJ282" s="36">
        <f t="shared" si="72"/>
        <v>0</v>
      </c>
    </row>
    <row r="283" spans="7:37" ht="15" customHeight="1" x14ac:dyDescent="0.2">
      <c r="G283" s="8"/>
      <c r="H283" s="8"/>
      <c r="I283" s="8"/>
      <c r="J283" s="8"/>
      <c r="K283" s="8"/>
      <c r="L283" s="8"/>
      <c r="M283" s="8"/>
      <c r="N283" s="8"/>
      <c r="O283" s="8"/>
      <c r="P283" s="8"/>
      <c r="Q283" s="8"/>
      <c r="R283" s="8"/>
      <c r="S283" s="8"/>
      <c r="T283" s="9"/>
      <c r="U283" s="8"/>
      <c r="V283" s="8"/>
      <c r="W283" s="8"/>
      <c r="X283" s="8"/>
      <c r="Y283" s="8"/>
      <c r="Z283" s="8"/>
      <c r="AA283" s="8"/>
      <c r="AB283" s="8"/>
      <c r="AC283" s="8"/>
      <c r="AD283" s="8"/>
      <c r="AE283" s="8"/>
      <c r="AF283" s="8"/>
      <c r="AG283" s="8"/>
      <c r="AH283" s="8"/>
      <c r="AI283" s="8"/>
      <c r="AJ283" s="8"/>
    </row>
    <row r="284" spans="7:37" ht="15" customHeight="1" x14ac:dyDescent="0.2">
      <c r="G284" s="543" t="s">
        <v>515</v>
      </c>
      <c r="H284" s="18"/>
      <c r="I284" s="13"/>
      <c r="J284" s="13"/>
      <c r="K284" s="37"/>
      <c r="L284" s="37"/>
      <c r="M284" s="37"/>
      <c r="N284" s="37"/>
      <c r="O284" s="37"/>
      <c r="P284" s="37"/>
      <c r="Q284" s="37"/>
      <c r="R284" s="37"/>
      <c r="S284" s="37"/>
      <c r="T284" s="37"/>
      <c r="U284" s="37"/>
      <c r="V284" s="37"/>
      <c r="W284" s="37"/>
      <c r="X284" s="37"/>
      <c r="Y284" s="37"/>
      <c r="Z284" s="37"/>
      <c r="AA284" s="37"/>
      <c r="AB284" s="37"/>
      <c r="AC284" s="37"/>
      <c r="AD284" s="37"/>
      <c r="AE284" s="37"/>
      <c r="AF284" s="37"/>
      <c r="AG284" s="37"/>
      <c r="AH284" s="37"/>
      <c r="AI284" s="37"/>
      <c r="AJ284" s="37"/>
    </row>
    <row r="285" spans="7:37" ht="15" customHeight="1" x14ac:dyDescent="0.2">
      <c r="G285" s="18"/>
      <c r="H285" s="18"/>
      <c r="I285" s="13"/>
      <c r="J285" s="13"/>
      <c r="K285" s="37"/>
      <c r="L285" s="37"/>
      <c r="M285" s="37"/>
      <c r="N285" s="37"/>
      <c r="O285" s="37"/>
      <c r="P285" s="37"/>
      <c r="Q285" s="37"/>
      <c r="R285" s="37"/>
      <c r="S285" s="37"/>
      <c r="T285" s="37"/>
      <c r="U285" s="37"/>
      <c r="V285" s="37"/>
      <c r="W285" s="37"/>
      <c r="X285" s="37"/>
      <c r="Y285" s="37"/>
      <c r="Z285" s="37"/>
      <c r="AA285" s="37"/>
      <c r="AB285" s="37"/>
      <c r="AC285" s="37"/>
      <c r="AD285" s="37"/>
      <c r="AE285" s="37"/>
      <c r="AF285" s="37"/>
      <c r="AG285" s="37"/>
      <c r="AH285" s="37"/>
      <c r="AI285" s="37"/>
      <c r="AJ285" s="37"/>
    </row>
    <row r="286" spans="7:37" ht="15" customHeight="1" x14ac:dyDescent="0.2">
      <c r="G286" s="18" t="s">
        <v>2</v>
      </c>
      <c r="H286" s="60"/>
      <c r="I286" s="60"/>
      <c r="J286" s="60"/>
      <c r="K286" s="102">
        <f>K$79</f>
        <v>0.19338</v>
      </c>
      <c r="L286" s="102">
        <f t="shared" ref="L286:AJ286" si="73">L$79</f>
        <v>0.18757859999999998</v>
      </c>
      <c r="M286" s="102">
        <f t="shared" si="73"/>
        <v>0.18195124199999999</v>
      </c>
      <c r="N286" s="102">
        <f t="shared" si="73"/>
        <v>0.17649270473999998</v>
      </c>
      <c r="O286" s="102">
        <f t="shared" si="73"/>
        <v>0.17119792359779998</v>
      </c>
      <c r="P286" s="102">
        <f t="shared" si="73"/>
        <v>0.16606198588986598</v>
      </c>
      <c r="Q286" s="102">
        <f t="shared" si="73"/>
        <v>0.16108012631317001</v>
      </c>
      <c r="R286" s="102">
        <f t="shared" si="73"/>
        <v>0.15624772252377489</v>
      </c>
      <c r="S286" s="102">
        <f t="shared" si="73"/>
        <v>0.15156029084806164</v>
      </c>
      <c r="T286" s="102">
        <f t="shared" si="73"/>
        <v>0.14701348212261978</v>
      </c>
      <c r="U286" s="102">
        <f t="shared" si="73"/>
        <v>0.14260307765894117</v>
      </c>
      <c r="V286" s="102">
        <f t="shared" si="73"/>
        <v>0.13832498532917292</v>
      </c>
      <c r="W286" s="102">
        <f t="shared" si="73"/>
        <v>0.13417523576929774</v>
      </c>
      <c r="X286" s="102">
        <f t="shared" si="73"/>
        <v>0.1301499786962188</v>
      </c>
      <c r="Y286" s="102">
        <f t="shared" si="73"/>
        <v>0.12624547933533223</v>
      </c>
      <c r="Z286" s="102">
        <f t="shared" si="73"/>
        <v>0.12245811495527226</v>
      </c>
      <c r="AA286" s="102">
        <f t="shared" si="73"/>
        <v>0.11878437150661408</v>
      </c>
      <c r="AB286" s="102">
        <f t="shared" si="73"/>
        <v>0.11522084036141565</v>
      </c>
      <c r="AC286" s="102">
        <f t="shared" si="73"/>
        <v>0.11176421515057318</v>
      </c>
      <c r="AD286" s="102">
        <f t="shared" si="73"/>
        <v>0.10841128869605599</v>
      </c>
      <c r="AE286" s="102">
        <f t="shared" si="73"/>
        <v>0.10515895003517431</v>
      </c>
      <c r="AF286" s="102">
        <f t="shared" si="73"/>
        <v>0.10200418153411908</v>
      </c>
      <c r="AG286" s="102">
        <f t="shared" si="73"/>
        <v>9.8944056088095506E-2</v>
      </c>
      <c r="AH286" s="102">
        <f t="shared" si="73"/>
        <v>9.5975734405452637E-2</v>
      </c>
      <c r="AI286" s="102">
        <f t="shared" si="73"/>
        <v>9.3096462373289057E-2</v>
      </c>
      <c r="AJ286" s="102">
        <f t="shared" si="73"/>
        <v>9.0303568502090384E-2</v>
      </c>
    </row>
    <row r="287" spans="7:37" ht="15" customHeight="1" x14ac:dyDescent="0.2">
      <c r="G287" s="18" t="s">
        <v>1</v>
      </c>
      <c r="H287" s="60"/>
      <c r="I287" s="60"/>
      <c r="J287" s="60"/>
      <c r="K287" s="102">
        <f>K$85</f>
        <v>0.31</v>
      </c>
      <c r="L287" s="102">
        <f t="shared" ref="L287:AJ287" si="74">L$85</f>
        <v>0.34100000000000003</v>
      </c>
      <c r="M287" s="102">
        <f t="shared" si="74"/>
        <v>0.37510000000000004</v>
      </c>
      <c r="N287" s="102">
        <f t="shared" si="74"/>
        <v>0.41261000000000009</v>
      </c>
      <c r="O287" s="102">
        <f t="shared" si="74"/>
        <v>0.45387100000000014</v>
      </c>
      <c r="P287" s="102">
        <f t="shared" si="74"/>
        <v>0.4992581000000002</v>
      </c>
      <c r="Q287" s="102">
        <f t="shared" si="74"/>
        <v>0.54918391000000022</v>
      </c>
      <c r="R287" s="102">
        <f t="shared" si="74"/>
        <v>0.60410230100000029</v>
      </c>
      <c r="S287" s="102">
        <f t="shared" si="74"/>
        <v>0.66451253110000041</v>
      </c>
      <c r="T287" s="102">
        <f t="shared" si="74"/>
        <v>0.73096378421000052</v>
      </c>
      <c r="U287" s="102">
        <f t="shared" si="74"/>
        <v>0.80406016263100066</v>
      </c>
      <c r="V287" s="102">
        <f t="shared" si="74"/>
        <v>0.88446617889410084</v>
      </c>
      <c r="W287" s="102">
        <f t="shared" si="74"/>
        <v>0.97291279678351106</v>
      </c>
      <c r="X287" s="102">
        <f t="shared" si="74"/>
        <v>1.0702040764618623</v>
      </c>
      <c r="Y287" s="102">
        <f t="shared" si="74"/>
        <v>1.1772244841080486</v>
      </c>
      <c r="Z287" s="102">
        <f t="shared" si="74"/>
        <v>1.2949469325188536</v>
      </c>
      <c r="AA287" s="102">
        <f t="shared" si="74"/>
        <v>1.4244416257707391</v>
      </c>
      <c r="AB287" s="102">
        <f t="shared" si="74"/>
        <v>1.5668857883478131</v>
      </c>
      <c r="AC287" s="102">
        <f t="shared" si="74"/>
        <v>1.7235743671825945</v>
      </c>
      <c r="AD287" s="102">
        <f t="shared" si="74"/>
        <v>1.8959318039008541</v>
      </c>
      <c r="AE287" s="102">
        <f t="shared" si="74"/>
        <v>2.0855249842909398</v>
      </c>
      <c r="AF287" s="102">
        <f t="shared" si="74"/>
        <v>2.2940774827200339</v>
      </c>
      <c r="AG287" s="102">
        <f t="shared" si="74"/>
        <v>2.5234852309920375</v>
      </c>
      <c r="AH287" s="102">
        <f t="shared" si="74"/>
        <v>2.7758337540912414</v>
      </c>
      <c r="AI287" s="102">
        <f t="shared" si="74"/>
        <v>3.053417129500366</v>
      </c>
      <c r="AJ287" s="102">
        <f t="shared" si="74"/>
        <v>3.3587588424504031</v>
      </c>
    </row>
    <row r="288" spans="7:37" ht="15" customHeight="1" x14ac:dyDescent="0.2">
      <c r="G288" s="60"/>
      <c r="H288" s="60"/>
      <c r="I288" s="60"/>
      <c r="J288" s="60"/>
      <c r="K288" s="60"/>
      <c r="L288" s="60"/>
      <c r="M288" s="60"/>
      <c r="N288" s="60"/>
      <c r="O288" s="60"/>
      <c r="P288" s="60"/>
      <c r="Q288" s="60"/>
      <c r="R288" s="61"/>
      <c r="S288" s="60"/>
      <c r="T288" s="60"/>
      <c r="U288" s="60"/>
      <c r="V288" s="60"/>
      <c r="W288" s="60"/>
      <c r="X288" s="60"/>
      <c r="Y288" s="60"/>
      <c r="Z288" s="60"/>
      <c r="AA288" s="60"/>
      <c r="AB288" s="60"/>
      <c r="AC288" s="60"/>
      <c r="AD288" s="60"/>
      <c r="AE288" s="60"/>
      <c r="AF288" s="60"/>
      <c r="AG288" s="60"/>
      <c r="AH288" s="60"/>
      <c r="AI288" s="60"/>
      <c r="AJ288" s="60"/>
    </row>
    <row r="289" spans="7:36" ht="15" customHeight="1" x14ac:dyDescent="0.2">
      <c r="G289" s="18" t="s">
        <v>4</v>
      </c>
      <c r="H289" s="18"/>
      <c r="I289" s="13"/>
      <c r="J289" s="13"/>
      <c r="K289" s="44"/>
      <c r="L289" s="44"/>
      <c r="M289" s="44"/>
      <c r="N289" s="44"/>
      <c r="O289" s="44"/>
      <c r="P289" s="44"/>
      <c r="Q289" s="44"/>
      <c r="R289" s="44"/>
      <c r="S289" s="44"/>
      <c r="T289" s="44"/>
      <c r="U289" s="44"/>
      <c r="V289" s="44"/>
      <c r="W289" s="44"/>
      <c r="X289" s="44"/>
      <c r="Y289" s="44"/>
      <c r="Z289" s="44"/>
      <c r="AA289" s="44"/>
      <c r="AB289" s="44"/>
      <c r="AC289" s="44"/>
      <c r="AD289" s="44"/>
      <c r="AE289" s="44"/>
      <c r="AF289" s="44"/>
      <c r="AG289" s="44"/>
      <c r="AH289" s="44"/>
      <c r="AI289" s="44"/>
      <c r="AJ289" s="44"/>
    </row>
    <row r="290" spans="7:36" ht="15" customHeight="1" x14ac:dyDescent="0.2">
      <c r="G290" s="18" t="s">
        <v>5</v>
      </c>
      <c r="H290" s="18"/>
      <c r="I290" s="13"/>
      <c r="J290" s="13"/>
      <c r="K290" s="44"/>
      <c r="L290" s="44"/>
      <c r="M290" s="44"/>
      <c r="N290" s="44"/>
      <c r="O290" s="44"/>
      <c r="P290" s="44"/>
      <c r="Q290" s="44"/>
      <c r="R290" s="44"/>
      <c r="S290" s="44"/>
      <c r="T290" s="44"/>
      <c r="U290" s="44"/>
      <c r="V290" s="44"/>
      <c r="W290" s="44"/>
      <c r="X290" s="44"/>
      <c r="Y290" s="44"/>
      <c r="Z290" s="44"/>
      <c r="AA290" s="44"/>
      <c r="AB290" s="44"/>
      <c r="AC290" s="44"/>
      <c r="AD290" s="44"/>
      <c r="AE290" s="44"/>
      <c r="AF290" s="44"/>
      <c r="AG290" s="44"/>
      <c r="AH290" s="44"/>
      <c r="AI290" s="44"/>
      <c r="AJ290" s="44"/>
    </row>
    <row r="291" spans="7:36" ht="15" customHeight="1" x14ac:dyDescent="0.2">
      <c r="G291" s="18" t="s">
        <v>6</v>
      </c>
      <c r="H291" s="18"/>
      <c r="I291" s="13"/>
      <c r="J291" s="13"/>
      <c r="K291" s="37">
        <f t="shared" ref="K291:AJ291" si="75">IF(K$70&lt;$AC$43,$J$32,$AB$32)</f>
        <v>0</v>
      </c>
      <c r="L291" s="37">
        <f t="shared" si="75"/>
        <v>0</v>
      </c>
      <c r="M291" s="37">
        <f t="shared" si="75"/>
        <v>0</v>
      </c>
      <c r="N291" s="37">
        <f t="shared" si="75"/>
        <v>0</v>
      </c>
      <c r="O291" s="37">
        <f t="shared" si="75"/>
        <v>0</v>
      </c>
      <c r="P291" s="37">
        <f t="shared" si="75"/>
        <v>0</v>
      </c>
      <c r="Q291" s="37">
        <f t="shared" si="75"/>
        <v>0</v>
      </c>
      <c r="R291" s="37">
        <f t="shared" si="75"/>
        <v>0</v>
      </c>
      <c r="S291" s="37">
        <f t="shared" si="75"/>
        <v>0</v>
      </c>
      <c r="T291" s="37">
        <f t="shared" si="75"/>
        <v>0</v>
      </c>
      <c r="U291" s="37">
        <f t="shared" si="75"/>
        <v>0</v>
      </c>
      <c r="V291" s="37">
        <f t="shared" si="75"/>
        <v>0</v>
      </c>
      <c r="W291" s="37">
        <f t="shared" si="75"/>
        <v>0</v>
      </c>
      <c r="X291" s="37">
        <f t="shared" si="75"/>
        <v>0</v>
      </c>
      <c r="Y291" s="37">
        <f t="shared" si="75"/>
        <v>0</v>
      </c>
      <c r="Z291" s="37">
        <f t="shared" si="75"/>
        <v>0</v>
      </c>
      <c r="AA291" s="37">
        <f t="shared" si="75"/>
        <v>0</v>
      </c>
      <c r="AB291" s="37">
        <f t="shared" si="75"/>
        <v>0</v>
      </c>
      <c r="AC291" s="37">
        <f t="shared" si="75"/>
        <v>0</v>
      </c>
      <c r="AD291" s="37">
        <f t="shared" si="75"/>
        <v>0</v>
      </c>
      <c r="AE291" s="37">
        <f t="shared" si="75"/>
        <v>0</v>
      </c>
      <c r="AF291" s="37">
        <f t="shared" si="75"/>
        <v>0</v>
      </c>
      <c r="AG291" s="37">
        <f t="shared" si="75"/>
        <v>0</v>
      </c>
      <c r="AH291" s="37">
        <f t="shared" si="75"/>
        <v>0</v>
      </c>
      <c r="AI291" s="37">
        <f t="shared" si="75"/>
        <v>0</v>
      </c>
      <c r="AJ291" s="37">
        <f t="shared" si="75"/>
        <v>0</v>
      </c>
    </row>
    <row r="292" spans="7:36" ht="15" customHeight="1" x14ac:dyDescent="0.2">
      <c r="G292" s="18"/>
      <c r="H292" s="18"/>
      <c r="I292" s="13"/>
      <c r="J292" s="13"/>
      <c r="K292" s="37"/>
      <c r="L292" s="37"/>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row>
    <row r="293" spans="7:36" ht="15" customHeight="1" x14ac:dyDescent="0.2">
      <c r="G293" s="18" t="s">
        <v>7</v>
      </c>
      <c r="H293" s="18"/>
      <c r="I293" s="13"/>
      <c r="J293" s="13"/>
      <c r="K293" s="44"/>
      <c r="L293" s="44"/>
      <c r="M293" s="44"/>
      <c r="N293" s="44"/>
      <c r="O293" s="44"/>
      <c r="P293" s="44"/>
      <c r="Q293" s="44"/>
      <c r="R293" s="44"/>
      <c r="S293" s="44"/>
      <c r="T293" s="44"/>
      <c r="U293" s="44"/>
      <c r="V293" s="44"/>
      <c r="W293" s="44"/>
      <c r="X293" s="44"/>
      <c r="Y293" s="44"/>
      <c r="Z293" s="44"/>
      <c r="AA293" s="44"/>
      <c r="AB293" s="44"/>
      <c r="AC293" s="44"/>
      <c r="AD293" s="44"/>
      <c r="AE293" s="44"/>
      <c r="AF293" s="44"/>
      <c r="AG293" s="44"/>
      <c r="AH293" s="44"/>
      <c r="AI293" s="44"/>
      <c r="AJ293" s="44"/>
    </row>
    <row r="294" spans="7:36" ht="15" customHeight="1" x14ac:dyDescent="0.2">
      <c r="G294" s="18" t="s">
        <v>8</v>
      </c>
      <c r="H294" s="18"/>
      <c r="I294" s="13"/>
      <c r="J294" s="13"/>
      <c r="K294" s="44"/>
      <c r="L294" s="44"/>
      <c r="M294" s="44"/>
      <c r="N294" s="44"/>
      <c r="O294" s="44"/>
      <c r="P294" s="44"/>
      <c r="Q294" s="44"/>
      <c r="R294" s="44"/>
      <c r="S294" s="44"/>
      <c r="T294" s="44"/>
      <c r="U294" s="44"/>
      <c r="V294" s="44"/>
      <c r="W294" s="44"/>
      <c r="X294" s="44"/>
      <c r="Y294" s="44"/>
      <c r="Z294" s="44"/>
      <c r="AA294" s="44"/>
      <c r="AB294" s="44"/>
      <c r="AC294" s="44"/>
      <c r="AD294" s="44"/>
      <c r="AE294" s="44"/>
      <c r="AF294" s="44"/>
      <c r="AG294" s="44"/>
      <c r="AH294" s="44"/>
      <c r="AI294" s="44"/>
      <c r="AJ294" s="44"/>
    </row>
    <row r="295" spans="7:36" ht="15" customHeight="1" x14ac:dyDescent="0.2">
      <c r="G295" s="18" t="s">
        <v>9</v>
      </c>
      <c r="H295" s="18"/>
      <c r="I295" s="13"/>
      <c r="J295" s="13"/>
      <c r="K295" s="37">
        <f>K$140*K291</f>
        <v>0</v>
      </c>
      <c r="L295" s="37">
        <f t="shared" ref="L295:AJ295" si="76">L$140*L291</f>
        <v>0</v>
      </c>
      <c r="M295" s="37">
        <f t="shared" si="76"/>
        <v>0</v>
      </c>
      <c r="N295" s="37">
        <f t="shared" si="76"/>
        <v>0</v>
      </c>
      <c r="O295" s="37">
        <f t="shared" si="76"/>
        <v>0</v>
      </c>
      <c r="P295" s="37">
        <f t="shared" si="76"/>
        <v>0</v>
      </c>
      <c r="Q295" s="37">
        <f t="shared" si="76"/>
        <v>0</v>
      </c>
      <c r="R295" s="37">
        <f t="shared" si="76"/>
        <v>0</v>
      </c>
      <c r="S295" s="37">
        <f t="shared" si="76"/>
        <v>0</v>
      </c>
      <c r="T295" s="37">
        <f t="shared" si="76"/>
        <v>0</v>
      </c>
      <c r="U295" s="37">
        <f t="shared" si="76"/>
        <v>0</v>
      </c>
      <c r="V295" s="37">
        <f t="shared" si="76"/>
        <v>0</v>
      </c>
      <c r="W295" s="37">
        <f t="shared" si="76"/>
        <v>0</v>
      </c>
      <c r="X295" s="37">
        <f t="shared" si="76"/>
        <v>0</v>
      </c>
      <c r="Y295" s="37">
        <f t="shared" si="76"/>
        <v>0</v>
      </c>
      <c r="Z295" s="37">
        <f t="shared" si="76"/>
        <v>0</v>
      </c>
      <c r="AA295" s="37">
        <f t="shared" si="76"/>
        <v>0</v>
      </c>
      <c r="AB295" s="37">
        <f t="shared" si="76"/>
        <v>0</v>
      </c>
      <c r="AC295" s="37">
        <f t="shared" si="76"/>
        <v>0</v>
      </c>
      <c r="AD295" s="37">
        <f t="shared" si="76"/>
        <v>0</v>
      </c>
      <c r="AE295" s="37">
        <f t="shared" si="76"/>
        <v>0</v>
      </c>
      <c r="AF295" s="37">
        <f t="shared" si="76"/>
        <v>0</v>
      </c>
      <c r="AG295" s="37">
        <f t="shared" si="76"/>
        <v>0</v>
      </c>
      <c r="AH295" s="37">
        <f t="shared" si="76"/>
        <v>0</v>
      </c>
      <c r="AI295" s="37">
        <f t="shared" si="76"/>
        <v>0</v>
      </c>
      <c r="AJ295" s="37">
        <f t="shared" si="76"/>
        <v>0</v>
      </c>
    </row>
    <row r="296" spans="7:36" ht="15" customHeight="1" x14ac:dyDescent="0.2">
      <c r="G296" s="18"/>
      <c r="H296" s="18"/>
      <c r="I296" s="13"/>
      <c r="J296" s="13"/>
      <c r="K296" s="3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row>
    <row r="297" spans="7:36" ht="15" customHeight="1" x14ac:dyDescent="0.2">
      <c r="G297" s="18" t="s">
        <v>10</v>
      </c>
      <c r="H297" s="18"/>
      <c r="I297" s="13"/>
      <c r="J297" s="13"/>
      <c r="K297" s="44"/>
      <c r="L297" s="44"/>
      <c r="M297" s="44"/>
      <c r="N297" s="44"/>
      <c r="O297" s="44"/>
      <c r="P297" s="44"/>
      <c r="Q297" s="44"/>
      <c r="R297" s="44"/>
      <c r="S297" s="44"/>
      <c r="T297" s="44"/>
      <c r="U297" s="44"/>
      <c r="V297" s="44"/>
      <c r="W297" s="44"/>
      <c r="X297" s="44"/>
      <c r="Y297" s="44"/>
      <c r="Z297" s="44"/>
      <c r="AA297" s="44"/>
      <c r="AB297" s="44"/>
      <c r="AC297" s="44"/>
      <c r="AD297" s="44"/>
      <c r="AE297" s="44"/>
      <c r="AF297" s="44"/>
      <c r="AG297" s="44"/>
      <c r="AH297" s="44"/>
      <c r="AI297" s="44"/>
      <c r="AJ297" s="44"/>
    </row>
    <row r="298" spans="7:36" ht="15" customHeight="1" x14ac:dyDescent="0.2">
      <c r="G298" s="18" t="s">
        <v>11</v>
      </c>
      <c r="H298" s="18"/>
      <c r="I298" s="13"/>
      <c r="J298" s="13"/>
      <c r="K298" s="44"/>
      <c r="L298" s="44"/>
      <c r="M298" s="44"/>
      <c r="N298" s="44"/>
      <c r="O298" s="44"/>
      <c r="P298" s="44"/>
      <c r="Q298" s="44"/>
      <c r="R298" s="44"/>
      <c r="S298" s="44"/>
      <c r="T298" s="44"/>
      <c r="U298" s="44"/>
      <c r="V298" s="44"/>
      <c r="W298" s="44"/>
      <c r="X298" s="44"/>
      <c r="Y298" s="44"/>
      <c r="Z298" s="44"/>
      <c r="AA298" s="44"/>
      <c r="AB298" s="44"/>
      <c r="AC298" s="44"/>
      <c r="AD298" s="44"/>
      <c r="AE298" s="44"/>
      <c r="AF298" s="44"/>
      <c r="AG298" s="44"/>
      <c r="AH298" s="44"/>
      <c r="AI298" s="44"/>
      <c r="AJ298" s="44"/>
    </row>
    <row r="299" spans="7:36" ht="15" customHeight="1" x14ac:dyDescent="0.2">
      <c r="G299" s="18" t="s">
        <v>12</v>
      </c>
      <c r="H299" s="18"/>
      <c r="I299" s="13"/>
      <c r="J299" s="13"/>
      <c r="K299" s="37">
        <f>K$287*K291</f>
        <v>0</v>
      </c>
      <c r="L299" s="37">
        <f t="shared" ref="L299:AJ299" si="77">L$287*L291</f>
        <v>0</v>
      </c>
      <c r="M299" s="37">
        <f t="shared" si="77"/>
        <v>0</v>
      </c>
      <c r="N299" s="37">
        <f t="shared" si="77"/>
        <v>0</v>
      </c>
      <c r="O299" s="37">
        <f t="shared" si="77"/>
        <v>0</v>
      </c>
      <c r="P299" s="37">
        <f t="shared" si="77"/>
        <v>0</v>
      </c>
      <c r="Q299" s="37">
        <f t="shared" si="77"/>
        <v>0</v>
      </c>
      <c r="R299" s="37">
        <f t="shared" si="77"/>
        <v>0</v>
      </c>
      <c r="S299" s="37">
        <f t="shared" si="77"/>
        <v>0</v>
      </c>
      <c r="T299" s="37">
        <f t="shared" si="77"/>
        <v>0</v>
      </c>
      <c r="U299" s="37">
        <f t="shared" si="77"/>
        <v>0</v>
      </c>
      <c r="V299" s="37">
        <f t="shared" si="77"/>
        <v>0</v>
      </c>
      <c r="W299" s="37">
        <f t="shared" si="77"/>
        <v>0</v>
      </c>
      <c r="X299" s="37">
        <f t="shared" si="77"/>
        <v>0</v>
      </c>
      <c r="Y299" s="37">
        <f t="shared" si="77"/>
        <v>0</v>
      </c>
      <c r="Z299" s="37">
        <f t="shared" si="77"/>
        <v>0</v>
      </c>
      <c r="AA299" s="37">
        <f t="shared" si="77"/>
        <v>0</v>
      </c>
      <c r="AB299" s="37">
        <f t="shared" si="77"/>
        <v>0</v>
      </c>
      <c r="AC299" s="37">
        <f t="shared" si="77"/>
        <v>0</v>
      </c>
      <c r="AD299" s="37">
        <f t="shared" si="77"/>
        <v>0</v>
      </c>
      <c r="AE299" s="37">
        <f t="shared" si="77"/>
        <v>0</v>
      </c>
      <c r="AF299" s="37">
        <f t="shared" si="77"/>
        <v>0</v>
      </c>
      <c r="AG299" s="37">
        <f t="shared" si="77"/>
        <v>0</v>
      </c>
      <c r="AH299" s="37">
        <f t="shared" si="77"/>
        <v>0</v>
      </c>
      <c r="AI299" s="37">
        <f t="shared" si="77"/>
        <v>0</v>
      </c>
      <c r="AJ299" s="37">
        <f t="shared" si="77"/>
        <v>0</v>
      </c>
    </row>
    <row r="300" spans="7:36" ht="15" customHeight="1" x14ac:dyDescent="0.2">
      <c r="G300" s="18" t="s">
        <v>13</v>
      </c>
      <c r="H300" s="18"/>
      <c r="I300" s="13"/>
      <c r="J300" s="13"/>
      <c r="K300" s="37">
        <f t="shared" ref="K300:AJ300" si="78">K$88*K295</f>
        <v>0</v>
      </c>
      <c r="L300" s="37">
        <f t="shared" si="78"/>
        <v>0</v>
      </c>
      <c r="M300" s="37">
        <f t="shared" si="78"/>
        <v>0</v>
      </c>
      <c r="N300" s="37">
        <f t="shared" si="78"/>
        <v>0</v>
      </c>
      <c r="O300" s="37">
        <f t="shared" si="78"/>
        <v>0</v>
      </c>
      <c r="P300" s="37">
        <f t="shared" si="78"/>
        <v>0</v>
      </c>
      <c r="Q300" s="37">
        <f t="shared" si="78"/>
        <v>0</v>
      </c>
      <c r="R300" s="37">
        <f t="shared" si="78"/>
        <v>0</v>
      </c>
      <c r="S300" s="37">
        <f t="shared" si="78"/>
        <v>0</v>
      </c>
      <c r="T300" s="37">
        <f t="shared" si="78"/>
        <v>0</v>
      </c>
      <c r="U300" s="37">
        <f t="shared" si="78"/>
        <v>0</v>
      </c>
      <c r="V300" s="37">
        <f t="shared" si="78"/>
        <v>0</v>
      </c>
      <c r="W300" s="37">
        <f t="shared" si="78"/>
        <v>0</v>
      </c>
      <c r="X300" s="37">
        <f t="shared" si="78"/>
        <v>0</v>
      </c>
      <c r="Y300" s="37">
        <f t="shared" si="78"/>
        <v>0</v>
      </c>
      <c r="Z300" s="37">
        <f t="shared" si="78"/>
        <v>0</v>
      </c>
      <c r="AA300" s="37">
        <f t="shared" si="78"/>
        <v>0</v>
      </c>
      <c r="AB300" s="37">
        <f t="shared" si="78"/>
        <v>0</v>
      </c>
      <c r="AC300" s="37">
        <f t="shared" si="78"/>
        <v>0</v>
      </c>
      <c r="AD300" s="37">
        <f t="shared" si="78"/>
        <v>0</v>
      </c>
      <c r="AE300" s="37">
        <f t="shared" si="78"/>
        <v>0</v>
      </c>
      <c r="AF300" s="37">
        <f t="shared" si="78"/>
        <v>0</v>
      </c>
      <c r="AG300" s="37">
        <f t="shared" si="78"/>
        <v>0</v>
      </c>
      <c r="AH300" s="37">
        <f t="shared" si="78"/>
        <v>0</v>
      </c>
      <c r="AI300" s="37">
        <f t="shared" si="78"/>
        <v>0</v>
      </c>
      <c r="AJ300" s="37">
        <f t="shared" si="78"/>
        <v>0</v>
      </c>
    </row>
    <row r="301" spans="7:36" ht="15" customHeight="1" x14ac:dyDescent="0.2">
      <c r="G301" s="18"/>
      <c r="H301" s="18"/>
      <c r="I301" s="13"/>
      <c r="J301" s="13"/>
      <c r="K301" s="37"/>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row>
    <row r="302" spans="7:36" ht="15" customHeight="1" x14ac:dyDescent="0.2">
      <c r="G302" s="18" t="s">
        <v>14</v>
      </c>
      <c r="H302" s="18"/>
      <c r="I302" s="13"/>
      <c r="J302" s="13"/>
      <c r="K302" s="37">
        <f>SUM(K297:K300)</f>
        <v>0</v>
      </c>
      <c r="L302" s="37">
        <f t="shared" ref="L302:AH302" si="79">SUM(L297:L300)</f>
        <v>0</v>
      </c>
      <c r="M302" s="37">
        <f t="shared" si="79"/>
        <v>0</v>
      </c>
      <c r="N302" s="37">
        <f t="shared" si="79"/>
        <v>0</v>
      </c>
      <c r="O302" s="37">
        <f t="shared" si="79"/>
        <v>0</v>
      </c>
      <c r="P302" s="37">
        <f t="shared" si="79"/>
        <v>0</v>
      </c>
      <c r="Q302" s="37">
        <f t="shared" si="79"/>
        <v>0</v>
      </c>
      <c r="R302" s="37">
        <f t="shared" si="79"/>
        <v>0</v>
      </c>
      <c r="S302" s="37">
        <f t="shared" si="79"/>
        <v>0</v>
      </c>
      <c r="T302" s="37">
        <f t="shared" si="79"/>
        <v>0</v>
      </c>
      <c r="U302" s="37">
        <f t="shared" si="79"/>
        <v>0</v>
      </c>
      <c r="V302" s="37">
        <f t="shared" si="79"/>
        <v>0</v>
      </c>
      <c r="W302" s="37">
        <f t="shared" si="79"/>
        <v>0</v>
      </c>
      <c r="X302" s="37">
        <f t="shared" si="79"/>
        <v>0</v>
      </c>
      <c r="Y302" s="37">
        <f t="shared" si="79"/>
        <v>0</v>
      </c>
      <c r="Z302" s="37">
        <f t="shared" si="79"/>
        <v>0</v>
      </c>
      <c r="AA302" s="37">
        <f t="shared" si="79"/>
        <v>0</v>
      </c>
      <c r="AB302" s="37">
        <f t="shared" si="79"/>
        <v>0</v>
      </c>
      <c r="AC302" s="37">
        <f t="shared" si="79"/>
        <v>0</v>
      </c>
      <c r="AD302" s="37">
        <f t="shared" si="79"/>
        <v>0</v>
      </c>
      <c r="AE302" s="37">
        <f t="shared" si="79"/>
        <v>0</v>
      </c>
      <c r="AF302" s="37">
        <f t="shared" si="79"/>
        <v>0</v>
      </c>
      <c r="AG302" s="37">
        <f t="shared" si="79"/>
        <v>0</v>
      </c>
      <c r="AH302" s="37">
        <f t="shared" si="79"/>
        <v>0</v>
      </c>
      <c r="AI302" s="37">
        <f>SUM(AI297:AI300)</f>
        <v>0</v>
      </c>
      <c r="AJ302" s="37">
        <f>SUM(AJ297:AJ300)</f>
        <v>0</v>
      </c>
    </row>
    <row r="303" spans="7:36" ht="15" customHeight="1" x14ac:dyDescent="0.2">
      <c r="G303" s="18" t="s">
        <v>435</v>
      </c>
      <c r="H303" s="18"/>
      <c r="I303" s="13"/>
      <c r="J303" s="13"/>
      <c r="K303" s="37">
        <f>K302</f>
        <v>0</v>
      </c>
      <c r="L303" s="37">
        <f t="shared" ref="L303:AJ303" si="80">K303+L302</f>
        <v>0</v>
      </c>
      <c r="M303" s="37">
        <f t="shared" si="80"/>
        <v>0</v>
      </c>
      <c r="N303" s="37">
        <f t="shared" si="80"/>
        <v>0</v>
      </c>
      <c r="O303" s="37">
        <f t="shared" si="80"/>
        <v>0</v>
      </c>
      <c r="P303" s="37">
        <f t="shared" si="80"/>
        <v>0</v>
      </c>
      <c r="Q303" s="37">
        <f t="shared" si="80"/>
        <v>0</v>
      </c>
      <c r="R303" s="37">
        <f t="shared" si="80"/>
        <v>0</v>
      </c>
      <c r="S303" s="37">
        <f t="shared" si="80"/>
        <v>0</v>
      </c>
      <c r="T303" s="37">
        <f t="shared" si="80"/>
        <v>0</v>
      </c>
      <c r="U303" s="37">
        <f t="shared" si="80"/>
        <v>0</v>
      </c>
      <c r="V303" s="37">
        <f t="shared" si="80"/>
        <v>0</v>
      </c>
      <c r="W303" s="37">
        <f t="shared" si="80"/>
        <v>0</v>
      </c>
      <c r="X303" s="37">
        <f t="shared" si="80"/>
        <v>0</v>
      </c>
      <c r="Y303" s="37">
        <f t="shared" si="80"/>
        <v>0</v>
      </c>
      <c r="Z303" s="37">
        <f t="shared" si="80"/>
        <v>0</v>
      </c>
      <c r="AA303" s="37">
        <f t="shared" si="80"/>
        <v>0</v>
      </c>
      <c r="AB303" s="37">
        <f t="shared" si="80"/>
        <v>0</v>
      </c>
      <c r="AC303" s="37">
        <f t="shared" si="80"/>
        <v>0</v>
      </c>
      <c r="AD303" s="37">
        <f t="shared" si="80"/>
        <v>0</v>
      </c>
      <c r="AE303" s="37">
        <f t="shared" si="80"/>
        <v>0</v>
      </c>
      <c r="AF303" s="37">
        <f t="shared" si="80"/>
        <v>0</v>
      </c>
      <c r="AG303" s="37">
        <f t="shared" si="80"/>
        <v>0</v>
      </c>
      <c r="AH303" s="37">
        <f t="shared" si="80"/>
        <v>0</v>
      </c>
      <c r="AI303" s="37">
        <f t="shared" si="80"/>
        <v>0</v>
      </c>
      <c r="AJ303" s="37">
        <f t="shared" si="80"/>
        <v>0</v>
      </c>
    </row>
    <row r="304" spans="7:36" ht="15" customHeight="1" x14ac:dyDescent="0.2">
      <c r="G304" s="18"/>
      <c r="H304" s="18"/>
      <c r="I304" s="13"/>
      <c r="J304" s="13"/>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c r="AI304" s="18"/>
      <c r="AJ304" s="18"/>
    </row>
    <row r="305" spans="7:36" ht="15" customHeight="1" x14ac:dyDescent="0.2">
      <c r="G305" s="18" t="s">
        <v>17</v>
      </c>
      <c r="H305" s="18"/>
      <c r="I305" s="13"/>
      <c r="J305" s="13"/>
      <c r="K305" s="37">
        <f>K302/(((Data!$P$186/100)+1)^K$70)</f>
        <v>0</v>
      </c>
      <c r="L305" s="37">
        <f>L302/(((Data!$P$186/100)+1)^L$70)</f>
        <v>0</v>
      </c>
      <c r="M305" s="37">
        <f>M302/(((Data!$P$186/100)+1)^M$70)</f>
        <v>0</v>
      </c>
      <c r="N305" s="37">
        <f>N302/(((Data!$P$186/100)+1)^N$70)</f>
        <v>0</v>
      </c>
      <c r="O305" s="37">
        <f>O302/(((Data!$P$186/100)+1)^O$70)</f>
        <v>0</v>
      </c>
      <c r="P305" s="37">
        <f>P302/(((Data!$P$186/100)+1)^P$70)</f>
        <v>0</v>
      </c>
      <c r="Q305" s="37">
        <f>Q302/(((Data!$P$186/100)+1)^Q$70)</f>
        <v>0</v>
      </c>
      <c r="R305" s="37">
        <f>R302/(((Data!$P$186/100)+1)^R$70)</f>
        <v>0</v>
      </c>
      <c r="S305" s="37">
        <f>S302/(((Data!$P$186/100)+1)^S$70)</f>
        <v>0</v>
      </c>
      <c r="T305" s="37">
        <f>T302/(((Data!$P$186/100)+1)^T$70)</f>
        <v>0</v>
      </c>
      <c r="U305" s="37">
        <f>U302/(((Data!$P$186/100)+1)^U$70)</f>
        <v>0</v>
      </c>
      <c r="V305" s="37">
        <f>V302/(((Data!$P$186/100)+1)^V$70)</f>
        <v>0</v>
      </c>
      <c r="W305" s="37">
        <f>W302/(((Data!$P$186/100)+1)^W$70)</f>
        <v>0</v>
      </c>
      <c r="X305" s="37">
        <f>X302/(((Data!$P$186/100)+1)^X$70)</f>
        <v>0</v>
      </c>
      <c r="Y305" s="37">
        <f>Y302/(((Data!$P$186/100)+1)^Y$70)</f>
        <v>0</v>
      </c>
      <c r="Z305" s="37">
        <f>Z302/(((Data!$P$186/100)+1)^Z$70)</f>
        <v>0</v>
      </c>
      <c r="AA305" s="37">
        <f>AA302/(((Data!$P$186/100)+1)^AA$70)</f>
        <v>0</v>
      </c>
      <c r="AB305" s="37">
        <f>AB302/(((Data!$P$186/100)+1)^AB$70)</f>
        <v>0</v>
      </c>
      <c r="AC305" s="37">
        <f>AC302/(((Data!$P$186/100)+1)^AC$70)</f>
        <v>0</v>
      </c>
      <c r="AD305" s="37">
        <f>AD302/(((Data!$P$186/100)+1)^AD$70)</f>
        <v>0</v>
      </c>
      <c r="AE305" s="37">
        <f>AE302/(((Data!$P$186/100)+1)^AE$70)</f>
        <v>0</v>
      </c>
      <c r="AF305" s="37">
        <f>AF302/(((Data!$P$186/100)+1)^AF$70)</f>
        <v>0</v>
      </c>
      <c r="AG305" s="37">
        <f>AG302/(((Data!$P$186/100)+1)^AG$70)</f>
        <v>0</v>
      </c>
      <c r="AH305" s="37">
        <f>AH302/(((Data!$P$186/100)+1)^AH$70)</f>
        <v>0</v>
      </c>
      <c r="AI305" s="37">
        <f>AI302/(((Data!$P$186/100)+1)^AI$70)</f>
        <v>0</v>
      </c>
      <c r="AJ305" s="37">
        <f>AJ302/(((Data!$P$186/100)+1)^AJ$70)</f>
        <v>0</v>
      </c>
    </row>
    <row r="306" spans="7:36" ht="15" customHeight="1" x14ac:dyDescent="0.2">
      <c r="G306" s="16" t="s">
        <v>185</v>
      </c>
      <c r="H306" s="16"/>
      <c r="I306" s="13"/>
      <c r="J306" s="13"/>
      <c r="K306" s="38">
        <f>K305</f>
        <v>0</v>
      </c>
      <c r="L306" s="38">
        <f t="shared" ref="L306:AJ306" si="81">K306+L305</f>
        <v>0</v>
      </c>
      <c r="M306" s="38">
        <f t="shared" si="81"/>
        <v>0</v>
      </c>
      <c r="N306" s="38">
        <f t="shared" si="81"/>
        <v>0</v>
      </c>
      <c r="O306" s="38">
        <f t="shared" si="81"/>
        <v>0</v>
      </c>
      <c r="P306" s="38">
        <f t="shared" si="81"/>
        <v>0</v>
      </c>
      <c r="Q306" s="38">
        <f t="shared" si="81"/>
        <v>0</v>
      </c>
      <c r="R306" s="38">
        <f t="shared" si="81"/>
        <v>0</v>
      </c>
      <c r="S306" s="38">
        <f t="shared" si="81"/>
        <v>0</v>
      </c>
      <c r="T306" s="38">
        <f t="shared" si="81"/>
        <v>0</v>
      </c>
      <c r="U306" s="38">
        <f t="shared" si="81"/>
        <v>0</v>
      </c>
      <c r="V306" s="38">
        <f t="shared" si="81"/>
        <v>0</v>
      </c>
      <c r="W306" s="38">
        <f t="shared" si="81"/>
        <v>0</v>
      </c>
      <c r="X306" s="38">
        <f t="shared" si="81"/>
        <v>0</v>
      </c>
      <c r="Y306" s="38">
        <f t="shared" si="81"/>
        <v>0</v>
      </c>
      <c r="Z306" s="38">
        <f t="shared" si="81"/>
        <v>0</v>
      </c>
      <c r="AA306" s="38">
        <f t="shared" si="81"/>
        <v>0</v>
      </c>
      <c r="AB306" s="38">
        <f t="shared" si="81"/>
        <v>0</v>
      </c>
      <c r="AC306" s="38">
        <f t="shared" si="81"/>
        <v>0</v>
      </c>
      <c r="AD306" s="38">
        <f t="shared" si="81"/>
        <v>0</v>
      </c>
      <c r="AE306" s="38">
        <f t="shared" si="81"/>
        <v>0</v>
      </c>
      <c r="AF306" s="38">
        <f t="shared" si="81"/>
        <v>0</v>
      </c>
      <c r="AG306" s="38">
        <f t="shared" si="81"/>
        <v>0</v>
      </c>
      <c r="AH306" s="38">
        <f t="shared" si="81"/>
        <v>0</v>
      </c>
      <c r="AI306" s="38">
        <f t="shared" si="81"/>
        <v>0</v>
      </c>
      <c r="AJ306" s="38">
        <f t="shared" si="81"/>
        <v>0</v>
      </c>
    </row>
    <row r="308" spans="7:36" ht="15" customHeight="1" x14ac:dyDescent="0.2">
      <c r="G308" s="10"/>
      <c r="H308" s="8"/>
      <c r="I308" s="8"/>
      <c r="J308" s="8"/>
      <c r="K308" s="8"/>
      <c r="L308" s="8"/>
      <c r="M308" s="8"/>
      <c r="N308" s="8"/>
      <c r="O308" s="8"/>
      <c r="P308" s="8"/>
      <c r="Q308" s="8"/>
      <c r="R308" s="9"/>
      <c r="S308" s="8"/>
      <c r="T308" s="8"/>
      <c r="U308" s="8"/>
      <c r="V308" s="8"/>
      <c r="W308" s="8"/>
      <c r="X308" s="8"/>
      <c r="Y308" s="8"/>
      <c r="Z308" s="8"/>
      <c r="AA308" s="8"/>
      <c r="AB308" s="73"/>
      <c r="AC308" s="8"/>
      <c r="AD308" s="8"/>
      <c r="AE308" s="8"/>
      <c r="AF308" s="8"/>
      <c r="AG308" s="8"/>
      <c r="AH308" s="8"/>
      <c r="AI308" s="8"/>
      <c r="AJ308" s="8"/>
    </row>
    <row r="309" spans="7:36" ht="15" customHeight="1" x14ac:dyDescent="0.2">
      <c r="G309" s="421"/>
      <c r="H309" s="8"/>
      <c r="I309" s="8"/>
      <c r="J309" s="8"/>
      <c r="K309" s="8"/>
      <c r="L309" s="8"/>
      <c r="M309" s="8"/>
      <c r="N309" s="8"/>
      <c r="O309" s="8"/>
      <c r="P309" s="8"/>
      <c r="Q309" s="8"/>
      <c r="R309" s="9"/>
      <c r="S309" s="8"/>
      <c r="T309" s="8"/>
      <c r="U309" s="8"/>
      <c r="V309" s="8"/>
      <c r="W309" s="8"/>
      <c r="X309" s="8"/>
      <c r="Y309" s="8"/>
      <c r="Z309" s="8"/>
      <c r="AA309" s="8"/>
      <c r="AB309" s="73"/>
      <c r="AC309" s="8"/>
      <c r="AD309" s="8"/>
      <c r="AE309" s="8"/>
      <c r="AF309" s="8"/>
      <c r="AG309" s="8"/>
      <c r="AH309" s="8"/>
      <c r="AI309" s="8"/>
      <c r="AJ309" s="8"/>
    </row>
    <row r="310" spans="7:36" ht="15" customHeight="1" x14ac:dyDescent="0.2">
      <c r="G310" s="10"/>
      <c r="H310" s="8"/>
      <c r="I310" s="8"/>
      <c r="J310" s="8"/>
      <c r="K310" s="67"/>
      <c r="L310" s="67"/>
      <c r="M310" s="67"/>
      <c r="N310" s="67"/>
      <c r="O310" s="67"/>
      <c r="P310" s="67"/>
      <c r="Q310" s="67"/>
      <c r="R310" s="67"/>
      <c r="S310" s="67"/>
      <c r="T310" s="67"/>
      <c r="U310" s="67"/>
      <c r="V310" s="67"/>
      <c r="W310" s="67"/>
      <c r="X310" s="67"/>
      <c r="Y310" s="67"/>
      <c r="Z310" s="67"/>
      <c r="AA310" s="67"/>
      <c r="AB310" s="67"/>
      <c r="AC310" s="67"/>
      <c r="AD310" s="67"/>
      <c r="AE310" s="67"/>
      <c r="AF310" s="67"/>
      <c r="AG310" s="67"/>
      <c r="AH310" s="67"/>
      <c r="AI310" s="67"/>
      <c r="AJ310" s="67"/>
    </row>
    <row r="311" spans="7:36" ht="15" customHeight="1" x14ac:dyDescent="0.2">
      <c r="G311" s="10"/>
      <c r="H311" s="8"/>
      <c r="I311" s="8"/>
      <c r="J311" s="8"/>
      <c r="K311" s="67"/>
      <c r="L311" s="67"/>
      <c r="M311" s="67"/>
      <c r="N311" s="67"/>
      <c r="O311" s="67"/>
      <c r="P311" s="67"/>
      <c r="Q311" s="67"/>
      <c r="R311" s="67"/>
      <c r="S311" s="67"/>
      <c r="T311" s="67"/>
      <c r="U311" s="67"/>
      <c r="V311" s="67"/>
      <c r="W311" s="67"/>
      <c r="X311" s="67"/>
      <c r="Y311" s="67"/>
      <c r="Z311" s="67"/>
      <c r="AA311" s="67"/>
      <c r="AB311" s="67"/>
      <c r="AC311" s="67"/>
      <c r="AD311" s="67"/>
      <c r="AE311" s="67"/>
      <c r="AF311" s="67"/>
      <c r="AG311" s="67"/>
      <c r="AH311" s="67"/>
      <c r="AI311" s="67"/>
      <c r="AJ311" s="67"/>
    </row>
    <row r="312" spans="7:36" ht="15" customHeight="1" x14ac:dyDescent="0.2">
      <c r="G312" s="10"/>
      <c r="H312" s="8"/>
      <c r="I312" s="8"/>
      <c r="J312" s="8"/>
      <c r="K312" s="67"/>
      <c r="L312" s="67"/>
      <c r="M312" s="67"/>
      <c r="N312" s="67"/>
      <c r="O312" s="67"/>
      <c r="P312" s="67"/>
      <c r="Q312" s="67"/>
      <c r="R312" s="67"/>
      <c r="S312" s="67"/>
      <c r="T312" s="67"/>
      <c r="U312" s="67"/>
      <c r="V312" s="67"/>
      <c r="W312" s="67"/>
      <c r="X312" s="67"/>
      <c r="Y312" s="67"/>
      <c r="Z312" s="67"/>
      <c r="AA312" s="67"/>
      <c r="AB312" s="67"/>
      <c r="AC312" s="67"/>
      <c r="AD312" s="67"/>
      <c r="AE312" s="67"/>
      <c r="AF312" s="67"/>
      <c r="AG312" s="67"/>
      <c r="AH312" s="67"/>
      <c r="AI312" s="67"/>
      <c r="AJ312" s="67"/>
    </row>
    <row r="313" spans="7:36" ht="15" customHeight="1" x14ac:dyDescent="0.2">
      <c r="G313" s="8"/>
      <c r="H313" s="8"/>
      <c r="I313" s="8"/>
      <c r="J313" s="8"/>
      <c r="K313" s="8"/>
      <c r="L313" s="8"/>
      <c r="M313" s="8"/>
      <c r="N313" s="8"/>
      <c r="O313" s="8"/>
      <c r="P313" s="8"/>
      <c r="Q313" s="8"/>
      <c r="R313" s="9"/>
      <c r="S313" s="8"/>
      <c r="T313" s="8"/>
      <c r="U313" s="8"/>
      <c r="V313" s="8"/>
      <c r="W313" s="8"/>
      <c r="X313" s="8"/>
      <c r="Y313" s="8"/>
      <c r="Z313" s="8"/>
      <c r="AA313" s="8"/>
      <c r="AB313" s="73"/>
      <c r="AC313" s="8"/>
      <c r="AD313" s="8"/>
      <c r="AE313" s="8"/>
      <c r="AF313" s="8"/>
      <c r="AG313" s="8"/>
      <c r="AH313" s="8"/>
      <c r="AI313" s="8"/>
      <c r="AJ313" s="8"/>
    </row>
    <row r="314" spans="7:36" ht="15" customHeight="1" x14ac:dyDescent="0.2">
      <c r="G314" s="531"/>
      <c r="H314" s="66"/>
      <c r="I314" s="66"/>
      <c r="J314" s="66"/>
      <c r="K314" s="66"/>
      <c r="L314" s="66"/>
      <c r="M314" s="66"/>
      <c r="N314" s="66"/>
      <c r="O314" s="66"/>
      <c r="P314" s="66"/>
      <c r="Q314" s="66"/>
      <c r="R314" s="66"/>
      <c r="S314" s="66"/>
      <c r="T314" s="66"/>
      <c r="U314" s="66"/>
      <c r="V314" s="66"/>
      <c r="W314" s="66"/>
      <c r="X314" s="66"/>
      <c r="Y314" s="66"/>
      <c r="Z314" s="66"/>
      <c r="AA314" s="66"/>
      <c r="AB314" s="395"/>
      <c r="AC314" s="66"/>
      <c r="AD314" s="66"/>
      <c r="AE314" s="66"/>
      <c r="AF314" s="66"/>
      <c r="AG314" s="66"/>
      <c r="AH314" s="66"/>
      <c r="AI314" s="66"/>
      <c r="AJ314" s="66"/>
    </row>
    <row r="315" spans="7:36" ht="15" customHeight="1" x14ac:dyDescent="0.2">
      <c r="G315" s="66"/>
      <c r="H315" s="66"/>
      <c r="I315" s="66"/>
      <c r="J315" s="66"/>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row>
    <row r="316" spans="7:36" ht="15" customHeight="1" x14ac:dyDescent="0.2">
      <c r="G316" s="66"/>
      <c r="H316" s="66"/>
      <c r="I316" s="66"/>
      <c r="J316" s="66"/>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row>
    <row r="317" spans="7:36" ht="15" customHeight="1" x14ac:dyDescent="0.2">
      <c r="G317" s="66"/>
      <c r="H317" s="66"/>
      <c r="I317" s="66"/>
      <c r="J317" s="66"/>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row>
    <row r="318" spans="7:36" ht="15" customHeight="1" x14ac:dyDescent="0.2">
      <c r="G318" s="8"/>
      <c r="H318" s="8"/>
      <c r="I318" s="8"/>
      <c r="J318" s="8"/>
      <c r="K318" s="8"/>
      <c r="L318" s="8"/>
      <c r="M318" s="8"/>
      <c r="N318" s="8"/>
      <c r="O318" s="8"/>
      <c r="P318" s="8"/>
      <c r="Q318" s="8"/>
      <c r="R318" s="9"/>
      <c r="S318" s="8"/>
      <c r="T318" s="8"/>
      <c r="U318" s="8"/>
      <c r="V318" s="8"/>
      <c r="W318" s="8"/>
      <c r="X318" s="8"/>
      <c r="Y318" s="8"/>
      <c r="Z318" s="8"/>
      <c r="AA318" s="8"/>
      <c r="AB318" s="73"/>
      <c r="AC318" s="8"/>
      <c r="AD318" s="8"/>
      <c r="AE318" s="8"/>
      <c r="AF318" s="8"/>
      <c r="AG318" s="8"/>
      <c r="AH318" s="8"/>
      <c r="AI318" s="8"/>
      <c r="AJ318" s="8"/>
    </row>
    <row r="319" spans="7:36" ht="15" customHeight="1" x14ac:dyDescent="0.2">
      <c r="G319" s="521"/>
      <c r="H319" s="164"/>
      <c r="I319" s="164"/>
      <c r="J319" s="164"/>
      <c r="K319" s="164"/>
      <c r="L319" s="164"/>
      <c r="M319" s="164"/>
      <c r="N319" s="164"/>
      <c r="O319" s="164"/>
      <c r="P319" s="164"/>
      <c r="Q319" s="164"/>
      <c r="R319" s="164"/>
      <c r="S319" s="164"/>
      <c r="T319" s="164"/>
      <c r="U319" s="164"/>
      <c r="V319" s="164"/>
      <c r="W319" s="164"/>
      <c r="X319" s="164"/>
      <c r="Y319" s="164"/>
      <c r="Z319" s="164"/>
      <c r="AA319" s="164"/>
      <c r="AB319" s="396"/>
      <c r="AC319" s="164"/>
      <c r="AD319" s="164"/>
      <c r="AE319" s="164"/>
      <c r="AF319" s="164"/>
      <c r="AG319" s="164"/>
      <c r="AH319" s="164"/>
      <c r="AI319" s="164"/>
      <c r="AJ319" s="164"/>
    </row>
    <row r="320" spans="7:36" ht="15" customHeight="1" x14ac:dyDescent="0.2">
      <c r="G320" s="164"/>
      <c r="H320" s="164"/>
      <c r="I320" s="164"/>
      <c r="J320" s="164"/>
      <c r="K320" s="165"/>
      <c r="L320" s="165"/>
      <c r="M320" s="165"/>
      <c r="N320" s="165"/>
      <c r="O320" s="165"/>
      <c r="P320" s="165"/>
      <c r="Q320" s="165"/>
      <c r="R320" s="165"/>
      <c r="S320" s="165"/>
      <c r="T320" s="165"/>
      <c r="U320" s="165"/>
      <c r="V320" s="165"/>
      <c r="W320" s="165"/>
      <c r="X320" s="165"/>
      <c r="Y320" s="165"/>
      <c r="Z320" s="165"/>
      <c r="AA320" s="165"/>
      <c r="AB320" s="165"/>
      <c r="AC320" s="165"/>
      <c r="AD320" s="165"/>
      <c r="AE320" s="165"/>
      <c r="AF320" s="165"/>
      <c r="AG320" s="165"/>
      <c r="AH320" s="165"/>
      <c r="AI320" s="165"/>
      <c r="AJ320" s="165"/>
    </row>
    <row r="321" spans="7:36" ht="15" customHeight="1" x14ac:dyDescent="0.2">
      <c r="G321" s="164"/>
      <c r="H321" s="164"/>
      <c r="I321" s="164"/>
      <c r="J321" s="164"/>
      <c r="K321" s="165"/>
      <c r="L321" s="165"/>
      <c r="M321" s="165"/>
      <c r="N321" s="165"/>
      <c r="O321" s="165"/>
      <c r="P321" s="165"/>
      <c r="Q321" s="165"/>
      <c r="R321" s="165"/>
      <c r="S321" s="165"/>
      <c r="T321" s="165"/>
      <c r="U321" s="165"/>
      <c r="V321" s="165"/>
      <c r="W321" s="165"/>
      <c r="X321" s="165"/>
      <c r="Y321" s="165"/>
      <c r="Z321" s="165"/>
      <c r="AA321" s="165"/>
      <c r="AB321" s="165"/>
      <c r="AC321" s="165"/>
      <c r="AD321" s="165"/>
      <c r="AE321" s="165"/>
      <c r="AF321" s="165"/>
      <c r="AG321" s="165"/>
      <c r="AH321" s="165"/>
      <c r="AI321" s="165"/>
      <c r="AJ321" s="165"/>
    </row>
    <row r="322" spans="7:36" ht="15" customHeight="1" x14ac:dyDescent="0.2">
      <c r="G322" s="164"/>
      <c r="H322" s="164"/>
      <c r="I322" s="164"/>
      <c r="J322" s="164"/>
      <c r="K322" s="165"/>
      <c r="L322" s="165"/>
      <c r="M322" s="165"/>
      <c r="N322" s="165"/>
      <c r="O322" s="165"/>
      <c r="P322" s="165"/>
      <c r="Q322" s="165"/>
      <c r="R322" s="165"/>
      <c r="S322" s="165"/>
      <c r="T322" s="165"/>
      <c r="U322" s="165"/>
      <c r="V322" s="165"/>
      <c r="W322" s="165"/>
      <c r="X322" s="165"/>
      <c r="Y322" s="165"/>
      <c r="Z322" s="165"/>
      <c r="AA322" s="165"/>
      <c r="AB322" s="165"/>
      <c r="AC322" s="165"/>
      <c r="AD322" s="165"/>
      <c r="AE322" s="165"/>
      <c r="AF322" s="165"/>
      <c r="AG322" s="165"/>
      <c r="AH322" s="165"/>
      <c r="AI322" s="165"/>
      <c r="AJ322" s="165"/>
    </row>
    <row r="325" spans="7:36" ht="15" customHeight="1" x14ac:dyDescent="0.2">
      <c r="G325" s="421"/>
      <c r="H325" s="8"/>
      <c r="I325" s="8"/>
      <c r="J325" s="8"/>
      <c r="K325" s="8"/>
      <c r="L325" s="8"/>
      <c r="M325" s="8"/>
      <c r="N325" s="8"/>
      <c r="O325" s="8"/>
      <c r="P325" s="8"/>
      <c r="Q325" s="8"/>
      <c r="R325" s="9"/>
      <c r="S325" s="8"/>
      <c r="T325" s="8"/>
      <c r="U325" s="8"/>
      <c r="V325" s="8"/>
      <c r="W325" s="8"/>
      <c r="X325" s="8"/>
      <c r="Y325" s="8"/>
      <c r="Z325" s="8"/>
      <c r="AA325" s="8"/>
      <c r="AB325" s="73"/>
      <c r="AC325" s="8"/>
      <c r="AD325" s="8"/>
      <c r="AE325" s="8"/>
      <c r="AF325" s="8"/>
      <c r="AG325" s="8"/>
      <c r="AH325" s="8"/>
      <c r="AI325" s="8"/>
      <c r="AJ325" s="8"/>
    </row>
    <row r="326" spans="7:36" ht="15" customHeight="1" x14ac:dyDescent="0.2">
      <c r="G326" s="10"/>
      <c r="H326" s="8"/>
      <c r="I326" s="8"/>
      <c r="J326" s="8"/>
      <c r="K326" s="67"/>
      <c r="L326" s="67"/>
      <c r="M326" s="67"/>
      <c r="N326" s="67"/>
      <c r="O326" s="67"/>
      <c r="P326" s="67"/>
      <c r="Q326" s="67"/>
      <c r="R326" s="67"/>
      <c r="S326" s="67"/>
      <c r="T326" s="67"/>
      <c r="U326" s="67"/>
      <c r="V326" s="67"/>
      <c r="W326" s="67"/>
      <c r="X326" s="67"/>
      <c r="Y326" s="67"/>
      <c r="Z326" s="67"/>
      <c r="AA326" s="67"/>
      <c r="AB326" s="67"/>
      <c r="AC326" s="67"/>
      <c r="AD326" s="67"/>
      <c r="AE326" s="67"/>
      <c r="AF326" s="67"/>
      <c r="AG326" s="67"/>
      <c r="AH326" s="67"/>
      <c r="AI326" s="67"/>
      <c r="AJ326" s="67"/>
    </row>
    <row r="327" spans="7:36" ht="15" customHeight="1" x14ac:dyDescent="0.2">
      <c r="G327" s="10"/>
      <c r="H327" s="8"/>
      <c r="I327" s="8"/>
      <c r="J327" s="8"/>
      <c r="K327" s="67"/>
      <c r="L327" s="67"/>
      <c r="M327" s="67"/>
      <c r="N327" s="67"/>
      <c r="O327" s="67"/>
      <c r="P327" s="67"/>
      <c r="Q327" s="67"/>
      <c r="R327" s="67"/>
      <c r="S327" s="67"/>
      <c r="T327" s="67"/>
      <c r="U327" s="67"/>
      <c r="V327" s="67"/>
      <c r="W327" s="67"/>
      <c r="X327" s="67"/>
      <c r="Y327" s="67"/>
      <c r="Z327" s="67"/>
      <c r="AA327" s="67"/>
      <c r="AB327" s="67"/>
      <c r="AC327" s="67"/>
      <c r="AD327" s="67"/>
      <c r="AE327" s="67"/>
      <c r="AF327" s="67"/>
      <c r="AG327" s="67"/>
      <c r="AH327" s="67"/>
      <c r="AI327" s="67"/>
      <c r="AJ327" s="67"/>
    </row>
    <row r="328" spans="7:36" ht="15" customHeight="1" x14ac:dyDescent="0.2">
      <c r="G328" s="10"/>
      <c r="H328" s="8"/>
      <c r="I328" s="8"/>
      <c r="J328" s="8"/>
      <c r="K328" s="67"/>
      <c r="L328" s="67"/>
      <c r="M328" s="67"/>
      <c r="N328" s="67"/>
      <c r="O328" s="67"/>
      <c r="P328" s="67"/>
      <c r="Q328" s="67"/>
      <c r="R328" s="67"/>
      <c r="S328" s="67"/>
      <c r="T328" s="67"/>
      <c r="U328" s="67"/>
      <c r="V328" s="67"/>
      <c r="W328" s="67"/>
      <c r="X328" s="67"/>
      <c r="Y328" s="67"/>
      <c r="Z328" s="67"/>
      <c r="AA328" s="67"/>
      <c r="AB328" s="67"/>
      <c r="AC328" s="67"/>
      <c r="AD328" s="67"/>
      <c r="AE328" s="67"/>
      <c r="AF328" s="67"/>
      <c r="AG328" s="67"/>
      <c r="AH328" s="67"/>
      <c r="AI328" s="67"/>
      <c r="AJ328" s="67"/>
    </row>
    <row r="329" spans="7:36" ht="15" customHeight="1" x14ac:dyDescent="0.2">
      <c r="G329" s="8"/>
      <c r="H329" s="8"/>
      <c r="I329" s="8"/>
      <c r="J329" s="8"/>
      <c r="K329" s="8"/>
      <c r="L329" s="8"/>
      <c r="M329" s="8"/>
      <c r="N329" s="8"/>
      <c r="O329" s="8"/>
      <c r="P329" s="8"/>
      <c r="Q329" s="8"/>
      <c r="R329" s="9"/>
      <c r="S329" s="8"/>
      <c r="T329" s="8"/>
      <c r="U329" s="8"/>
      <c r="V329" s="8"/>
      <c r="W329" s="8"/>
      <c r="X329" s="8"/>
      <c r="Y329" s="8"/>
      <c r="Z329" s="8"/>
      <c r="AA329" s="8"/>
      <c r="AB329" s="73"/>
      <c r="AC329" s="8"/>
      <c r="AD329" s="8"/>
      <c r="AE329" s="8"/>
      <c r="AF329" s="8"/>
      <c r="AG329" s="8"/>
      <c r="AH329" s="8"/>
      <c r="AI329" s="8"/>
      <c r="AJ329" s="8"/>
    </row>
    <row r="330" spans="7:36" ht="15" customHeight="1" x14ac:dyDescent="0.2">
      <c r="G330" s="531"/>
      <c r="H330" s="66"/>
      <c r="I330" s="66"/>
      <c r="J330" s="66"/>
      <c r="K330" s="66"/>
      <c r="L330" s="66"/>
      <c r="M330" s="66"/>
      <c r="N330" s="66"/>
      <c r="O330" s="66"/>
      <c r="P330" s="66"/>
      <c r="Q330" s="66"/>
      <c r="R330" s="66"/>
      <c r="S330" s="66"/>
      <c r="T330" s="66"/>
      <c r="U330" s="66"/>
      <c r="V330" s="66"/>
      <c r="W330" s="66"/>
      <c r="X330" s="66"/>
      <c r="Y330" s="66"/>
      <c r="Z330" s="66"/>
      <c r="AA330" s="66"/>
      <c r="AB330" s="395"/>
      <c r="AC330" s="66"/>
      <c r="AD330" s="66"/>
      <c r="AE330" s="66"/>
      <c r="AF330" s="66"/>
      <c r="AG330" s="66"/>
      <c r="AH330" s="66"/>
      <c r="AI330" s="66"/>
      <c r="AJ330" s="66"/>
    </row>
    <row r="331" spans="7:36" ht="15" customHeight="1" x14ac:dyDescent="0.2">
      <c r="G331" s="66"/>
      <c r="H331" s="66"/>
      <c r="I331" s="66"/>
      <c r="J331" s="66"/>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row>
    <row r="332" spans="7:36" ht="15" customHeight="1" x14ac:dyDescent="0.2">
      <c r="G332" s="66"/>
      <c r="H332" s="66"/>
      <c r="I332" s="66"/>
      <c r="J332" s="66"/>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row>
    <row r="333" spans="7:36" ht="15" customHeight="1" x14ac:dyDescent="0.2">
      <c r="G333" s="66"/>
      <c r="H333" s="66"/>
      <c r="I333" s="66"/>
      <c r="J333" s="66"/>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row>
    <row r="334" spans="7:36" ht="15" customHeight="1" x14ac:dyDescent="0.2">
      <c r="G334" s="8"/>
      <c r="H334" s="8"/>
      <c r="I334" s="8"/>
      <c r="J334" s="8"/>
      <c r="K334" s="8"/>
      <c r="L334" s="8"/>
      <c r="M334" s="8"/>
      <c r="N334" s="8"/>
      <c r="O334" s="8"/>
      <c r="P334" s="8"/>
      <c r="Q334" s="8"/>
      <c r="R334" s="9"/>
      <c r="S334" s="8"/>
      <c r="T334" s="8"/>
      <c r="U334" s="8"/>
      <c r="V334" s="8"/>
      <c r="W334" s="8"/>
      <c r="X334" s="8"/>
      <c r="Y334" s="8"/>
      <c r="Z334" s="8"/>
      <c r="AA334" s="8"/>
      <c r="AB334" s="73"/>
      <c r="AC334" s="8"/>
      <c r="AD334" s="8"/>
      <c r="AE334" s="8"/>
      <c r="AF334" s="8"/>
      <c r="AG334" s="8"/>
      <c r="AH334" s="8"/>
      <c r="AI334" s="8"/>
      <c r="AJ334" s="8"/>
    </row>
    <row r="335" spans="7:36" ht="15" customHeight="1" x14ac:dyDescent="0.2">
      <c r="G335" s="521"/>
      <c r="H335" s="164"/>
      <c r="I335" s="164"/>
      <c r="J335" s="164"/>
      <c r="K335" s="164"/>
      <c r="L335" s="164"/>
      <c r="M335" s="164"/>
      <c r="N335" s="164"/>
      <c r="O335" s="164"/>
      <c r="P335" s="164"/>
      <c r="Q335" s="164"/>
      <c r="R335" s="164"/>
      <c r="S335" s="164"/>
      <c r="T335" s="164"/>
      <c r="U335" s="164"/>
      <c r="V335" s="164"/>
      <c r="W335" s="164"/>
      <c r="X335" s="164"/>
      <c r="Y335" s="164"/>
      <c r="Z335" s="164"/>
      <c r="AA335" s="164"/>
      <c r="AB335" s="396"/>
      <c r="AC335" s="164"/>
      <c r="AD335" s="164"/>
      <c r="AE335" s="164"/>
      <c r="AF335" s="164"/>
      <c r="AG335" s="164"/>
      <c r="AH335" s="164"/>
      <c r="AI335" s="164"/>
      <c r="AJ335" s="164"/>
    </row>
    <row r="336" spans="7:36" ht="15" customHeight="1" x14ac:dyDescent="0.2">
      <c r="G336" s="164"/>
      <c r="H336" s="164"/>
      <c r="I336" s="164"/>
      <c r="J336" s="164"/>
      <c r="K336" s="165"/>
      <c r="L336" s="165"/>
      <c r="M336" s="165"/>
      <c r="N336" s="165"/>
      <c r="O336" s="165"/>
      <c r="P336" s="165"/>
      <c r="Q336" s="165"/>
      <c r="R336" s="165"/>
      <c r="S336" s="165"/>
      <c r="T336" s="165"/>
      <c r="U336" s="165"/>
      <c r="V336" s="165"/>
      <c r="W336" s="165"/>
      <c r="X336" s="165"/>
      <c r="Y336" s="165"/>
      <c r="Z336" s="165"/>
      <c r="AA336" s="165"/>
      <c r="AB336" s="165"/>
      <c r="AC336" s="165"/>
      <c r="AD336" s="165"/>
      <c r="AE336" s="165"/>
      <c r="AF336" s="165"/>
      <c r="AG336" s="165"/>
      <c r="AH336" s="165"/>
      <c r="AI336" s="165"/>
      <c r="AJ336" s="165"/>
    </row>
    <row r="337" spans="7:36" ht="15" customHeight="1" x14ac:dyDescent="0.2">
      <c r="G337" s="164"/>
      <c r="H337" s="164"/>
      <c r="I337" s="164"/>
      <c r="J337" s="164"/>
      <c r="K337" s="165"/>
      <c r="L337" s="165"/>
      <c r="M337" s="165"/>
      <c r="N337" s="165"/>
      <c r="O337" s="165"/>
      <c r="P337" s="165"/>
      <c r="Q337" s="165"/>
      <c r="R337" s="165"/>
      <c r="S337" s="165"/>
      <c r="T337" s="165"/>
      <c r="U337" s="165"/>
      <c r="V337" s="165"/>
      <c r="W337" s="165"/>
      <c r="X337" s="165"/>
      <c r="Y337" s="165"/>
      <c r="Z337" s="165"/>
      <c r="AA337" s="165"/>
      <c r="AB337" s="165"/>
      <c r="AC337" s="165"/>
      <c r="AD337" s="165"/>
      <c r="AE337" s="165"/>
      <c r="AF337" s="165"/>
      <c r="AG337" s="165"/>
      <c r="AH337" s="165"/>
      <c r="AI337" s="165"/>
      <c r="AJ337" s="165"/>
    </row>
    <row r="338" spans="7:36" ht="15" customHeight="1" x14ac:dyDescent="0.2">
      <c r="G338" s="164"/>
      <c r="H338" s="164"/>
      <c r="I338" s="164"/>
      <c r="J338" s="164"/>
      <c r="K338" s="165"/>
      <c r="L338" s="165"/>
      <c r="M338" s="165"/>
      <c r="N338" s="165"/>
      <c r="O338" s="165"/>
      <c r="P338" s="165"/>
      <c r="Q338" s="165"/>
      <c r="R338" s="165"/>
      <c r="S338" s="165"/>
      <c r="T338" s="165"/>
      <c r="U338" s="165"/>
      <c r="V338" s="165"/>
      <c r="W338" s="165"/>
      <c r="X338" s="165"/>
      <c r="Y338" s="165"/>
      <c r="Z338" s="165"/>
      <c r="AA338" s="165"/>
      <c r="AB338" s="165"/>
      <c r="AC338" s="165"/>
      <c r="AD338" s="165"/>
      <c r="AE338" s="165"/>
      <c r="AF338" s="165"/>
      <c r="AG338" s="165"/>
      <c r="AH338" s="165"/>
      <c r="AI338" s="165"/>
      <c r="AJ338" s="165"/>
    </row>
  </sheetData>
  <mergeCells count="3">
    <mergeCell ref="A1:E3"/>
    <mergeCell ref="G5:H7"/>
    <mergeCell ref="B31:D31"/>
  </mergeCells>
  <conditionalFormatting sqref="G10">
    <cfRule type="expression" dxfId="222" priority="54">
      <formula>#REF!="No"</formula>
    </cfRule>
  </conditionalFormatting>
  <conditionalFormatting sqref="G20">
    <cfRule type="expression" dxfId="221" priority="57">
      <formula>#REF!="No"</formula>
    </cfRule>
  </conditionalFormatting>
  <conditionalFormatting sqref="G42">
    <cfRule type="expression" dxfId="220" priority="31">
      <formula>#REF!="No"</formula>
    </cfRule>
  </conditionalFormatting>
  <conditionalFormatting sqref="G45">
    <cfRule type="expression" dxfId="219" priority="15">
      <formula>#REF!="No"</formula>
    </cfRule>
  </conditionalFormatting>
  <conditionalFormatting sqref="G47">
    <cfRule type="expression" dxfId="218" priority="12">
      <formula>#REF!="No"</formula>
    </cfRule>
  </conditionalFormatting>
  <conditionalFormatting sqref="G90">
    <cfRule type="expression" dxfId="217" priority="39">
      <formula>#REF!="No"</formula>
    </cfRule>
  </conditionalFormatting>
  <conditionalFormatting sqref="G114">
    <cfRule type="expression" dxfId="216" priority="5">
      <formula>#REF!="No"</formula>
    </cfRule>
  </conditionalFormatting>
  <conditionalFormatting sqref="G138">
    <cfRule type="expression" dxfId="215" priority="6">
      <formula>#REF!="No"</formula>
    </cfRule>
  </conditionalFormatting>
  <conditionalFormatting sqref="G163">
    <cfRule type="expression" dxfId="214" priority="53">
      <formula>#REF!="No"</formula>
    </cfRule>
  </conditionalFormatting>
  <conditionalFormatting sqref="G187">
    <cfRule type="expression" dxfId="213" priority="52">
      <formula>#REF!="No"</formula>
    </cfRule>
  </conditionalFormatting>
  <conditionalFormatting sqref="G211">
    <cfRule type="expression" dxfId="212" priority="51">
      <formula>#REF!="No"</formula>
    </cfRule>
  </conditionalFormatting>
  <conditionalFormatting sqref="G236">
    <cfRule type="expression" dxfId="211" priority="50">
      <formula>#REF!="No"</formula>
    </cfRule>
  </conditionalFormatting>
  <conditionalFormatting sqref="G260">
    <cfRule type="expression" dxfId="210" priority="49">
      <formula>#REF!="No"</formula>
    </cfRule>
  </conditionalFormatting>
  <conditionalFormatting sqref="G284">
    <cfRule type="expression" dxfId="209" priority="48">
      <formula>#REF!="No"</formula>
    </cfRule>
  </conditionalFormatting>
  <conditionalFormatting sqref="G309">
    <cfRule type="expression" dxfId="208" priority="47">
      <formula>#REF!="No"</formula>
    </cfRule>
  </conditionalFormatting>
  <conditionalFormatting sqref="G314">
    <cfRule type="expression" dxfId="207" priority="46">
      <formula>#REF!="No"</formula>
    </cfRule>
  </conditionalFormatting>
  <conditionalFormatting sqref="G319">
    <cfRule type="expression" dxfId="206" priority="45">
      <formula>#REF!="No"</formula>
    </cfRule>
  </conditionalFormatting>
  <conditionalFormatting sqref="G325">
    <cfRule type="expression" dxfId="205" priority="44">
      <formula>#REF!="No"</formula>
    </cfRule>
  </conditionalFormatting>
  <conditionalFormatting sqref="G330">
    <cfRule type="expression" dxfId="204" priority="43">
      <formula>#REF!="No"</formula>
    </cfRule>
  </conditionalFormatting>
  <conditionalFormatting sqref="G335">
    <cfRule type="expression" dxfId="203" priority="42">
      <formula>#REF!="No"</formula>
    </cfRule>
  </conditionalFormatting>
  <conditionalFormatting sqref="S10">
    <cfRule type="expression" dxfId="202" priority="17">
      <formula>#REF!="No"</formula>
    </cfRule>
  </conditionalFormatting>
  <conditionalFormatting sqref="S41:S43">
    <cfRule type="expression" dxfId="201" priority="3">
      <formula>#REF!="No"</formula>
    </cfRule>
  </conditionalFormatting>
  <conditionalFormatting sqref="T41">
    <cfRule type="expression" dxfId="200" priority="38">
      <formula>#REF!="No"</formula>
    </cfRule>
  </conditionalFormatting>
  <conditionalFormatting sqref="V14">
    <cfRule type="expression" dxfId="199" priority="55">
      <formula>#REF!="No"</formula>
    </cfRule>
  </conditionalFormatting>
  <conditionalFormatting sqref="V42:W43">
    <cfRule type="expression" dxfId="198" priority="1">
      <formula>#REF!="No"</formula>
    </cfRule>
  </conditionalFormatting>
  <conditionalFormatting sqref="Y10">
    <cfRule type="expression" dxfId="197" priority="4">
      <formula>#REF!="No"</formula>
    </cfRule>
  </conditionalFormatting>
  <conditionalFormatting sqref="Y18 Y20 Y22:Y23">
    <cfRule type="expression" dxfId="196" priority="67">
      <formula>#REF!="No"</formula>
    </cfRule>
  </conditionalFormatting>
  <conditionalFormatting sqref="Y19">
    <cfRule type="expression" dxfId="195" priority="35">
      <formula>#REF!="No"</formula>
    </cfRule>
  </conditionalFormatting>
  <conditionalFormatting sqref="Y24">
    <cfRule type="expression" dxfId="194" priority="34">
      <formula>#REF!="No"</formula>
    </cfRule>
  </conditionalFormatting>
  <conditionalFormatting sqref="Y32">
    <cfRule type="expression" dxfId="193" priority="64">
      <formula>#REF!="No"</formula>
    </cfRule>
  </conditionalFormatting>
  <conditionalFormatting sqref="Y33">
    <cfRule type="expression" dxfId="192" priority="61">
      <formula>#REF!="No"</formula>
    </cfRule>
    <cfRule type="expression" dxfId="191" priority="63">
      <formula>#REF!="No"</formula>
    </cfRule>
  </conditionalFormatting>
  <conditionalFormatting sqref="Y35">
    <cfRule type="expression" dxfId="190" priority="58">
      <formula>#REF!="No"</formula>
    </cfRule>
  </conditionalFormatting>
  <conditionalFormatting sqref="Y42">
    <cfRule type="expression" dxfId="189" priority="40">
      <formula>#REF!="No"</formula>
    </cfRule>
  </conditionalFormatting>
  <conditionalFormatting sqref="Y45">
    <cfRule type="expression" dxfId="188" priority="14">
      <formula>#REF!="No"</formula>
    </cfRule>
  </conditionalFormatting>
  <conditionalFormatting sqref="Y47:Y48">
    <cfRule type="expression" dxfId="187" priority="9">
      <formula>#REF!="No"</formula>
    </cfRule>
  </conditionalFormatting>
  <conditionalFormatting sqref="Y25:AC31">
    <cfRule type="expression" dxfId="186" priority="18">
      <formula>OR($AA$18="Grid electricity",$AA$18="District heating")</formula>
    </cfRule>
  </conditionalFormatting>
  <conditionalFormatting sqref="AA18">
    <cfRule type="expression" dxfId="185" priority="25">
      <formula>$AA$20="Yes"</formula>
    </cfRule>
  </conditionalFormatting>
  <conditionalFormatting sqref="AB14:AB15">
    <cfRule type="expression" dxfId="184" priority="32">
      <formula>#REF!="No"</formula>
    </cfRule>
  </conditionalFormatting>
  <conditionalFormatting sqref="AB21">
    <cfRule type="expression" dxfId="183" priority="27">
      <formula>$AA$20="Yes"</formula>
    </cfRule>
  </conditionalFormatting>
  <conditionalFormatting sqref="AB23">
    <cfRule type="expression" dxfId="182" priority="28">
      <formula>$AA$20="Yes"</formula>
    </cfRule>
  </conditionalFormatting>
  <conditionalFormatting sqref="AB37:AB39">
    <cfRule type="expression" dxfId="181" priority="26">
      <formula>$AA$20="Yes"</formula>
    </cfRule>
  </conditionalFormatting>
  <dataValidations count="2">
    <dataValidation type="list" allowBlank="1" showInputMessage="1" showErrorMessage="1" sqref="O18 AA18" xr:uid="{00000000-0002-0000-0900-000000000000}">
      <formula1>"Natural gas, District heating, Grid electricity"</formula1>
    </dataValidation>
    <dataValidation type="list" allowBlank="1" showInputMessage="1" showErrorMessage="1" sqref="AB26:AB29 P26:P29 J26:J29" xr:uid="{00000000-0002-0000-0900-000001000000}">
      <formula1>"Yes, No"</formula1>
    </dataValidation>
  </dataValidations>
  <hyperlinks>
    <hyperlink ref="G5:H7" location="SimpleStep2!A1" display="Done" xr:uid="{00000000-0004-0000-0900-000000000000}"/>
  </hyperlinks>
  <pageMargins left="0.25" right="0.25" top="0.75" bottom="0.75" header="0.3" footer="0.3"/>
  <pageSetup paperSize="9" scale="1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2000000}">
          <x14:formula1>
            <xm:f>Data!$G$90:$G$94</xm:f>
          </x14:formula1>
          <xm:sqref>I35 O35 AA35</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AL338"/>
  <sheetViews>
    <sheetView showGridLines="0" zoomScale="55" zoomScaleNormal="55" zoomScaleSheetLayoutView="55" zoomScalePageLayoutView="55" workbookViewId="0">
      <selection sqref="A1:E3"/>
    </sheetView>
  </sheetViews>
  <sheetFormatPr defaultColWidth="8.7109375" defaultRowHeight="15" customHeight="1" x14ac:dyDescent="0.2"/>
  <cols>
    <col min="1" max="1" width="3.7109375" style="144" customWidth="1"/>
    <col min="2" max="2" width="8.85546875" style="151" customWidth="1"/>
    <col min="3" max="3" width="8.7109375" style="546" customWidth="1"/>
    <col min="4" max="4" width="8.7109375" style="147" customWidth="1"/>
    <col min="5" max="5" width="3.7109375" style="146" customWidth="1"/>
    <col min="6" max="7" width="8.7109375" style="1"/>
    <col min="8" max="8" width="8.7109375" style="1" customWidth="1"/>
    <col min="9" max="9" width="25.7109375" style="1" customWidth="1"/>
    <col min="10" max="11" width="12.7109375" style="1" customWidth="1"/>
    <col min="12" max="13" width="8.7109375" style="1"/>
    <col min="14" max="14" width="8.7109375" style="1" customWidth="1"/>
    <col min="15" max="15" width="25.7109375" style="1" customWidth="1"/>
    <col min="16" max="17" width="12.7109375" style="1" customWidth="1"/>
    <col min="18" max="18" width="8.7109375" style="5"/>
    <col min="19" max="26" width="8.7109375" style="1"/>
    <col min="27" max="27" width="25.7109375" style="1" customWidth="1"/>
    <col min="28" max="29" width="12.7109375" style="1" customWidth="1"/>
    <col min="30" max="33" width="8.7109375" style="1"/>
    <col min="34" max="36" width="8.7109375" style="1" customWidth="1"/>
    <col min="37" max="37" width="8.7109375" style="1"/>
    <col min="38" max="38" width="8.7109375" style="986"/>
    <col min="39" max="16384" width="8.7109375" style="1"/>
  </cols>
  <sheetData>
    <row r="1" spans="1:37" ht="15" customHeight="1" x14ac:dyDescent="0.2">
      <c r="A1" s="1069"/>
      <c r="B1" s="1069"/>
      <c r="C1" s="1069"/>
      <c r="D1" s="1069"/>
      <c r="E1" s="1069"/>
    </row>
    <row r="2" spans="1:37" ht="15" customHeight="1" x14ac:dyDescent="0.2">
      <c r="A2" s="1069"/>
      <c r="B2" s="1069"/>
      <c r="C2" s="1069"/>
      <c r="D2" s="1069"/>
      <c r="E2" s="1069"/>
      <c r="H2" s="2"/>
      <c r="I2" s="2"/>
      <c r="J2" s="2"/>
      <c r="K2" s="3"/>
      <c r="L2" s="70"/>
      <c r="M2" s="3"/>
      <c r="N2" s="2"/>
      <c r="O2" s="2"/>
      <c r="P2" s="2"/>
      <c r="Q2" s="4"/>
    </row>
    <row r="3" spans="1:37" ht="15" customHeight="1" x14ac:dyDescent="0.2">
      <c r="A3" s="1069"/>
      <c r="B3" s="1069"/>
      <c r="C3" s="1069"/>
      <c r="D3" s="1069"/>
      <c r="E3" s="1069"/>
    </row>
    <row r="4" spans="1:37" ht="15" customHeight="1" x14ac:dyDescent="0.2">
      <c r="A4" s="622"/>
      <c r="B4" s="622"/>
      <c r="C4" s="622"/>
      <c r="D4" s="622"/>
      <c r="E4" s="622"/>
    </row>
    <row r="5" spans="1:37" ht="15" customHeight="1" x14ac:dyDescent="0.2">
      <c r="A5" s="671"/>
      <c r="B5" s="151" t="s">
        <v>251</v>
      </c>
      <c r="C5" s="671"/>
      <c r="D5" s="671"/>
      <c r="E5" s="671"/>
      <c r="G5" s="1020" t="s">
        <v>201</v>
      </c>
      <c r="H5" s="1020"/>
    </row>
    <row r="6" spans="1:37" ht="15" customHeight="1" x14ac:dyDescent="0.2">
      <c r="A6" s="671"/>
      <c r="C6" s="146"/>
      <c r="E6" s="671"/>
      <c r="G6" s="1020"/>
      <c r="H6" s="1020"/>
      <c r="I6" s="8"/>
      <c r="J6" s="8"/>
      <c r="K6" s="8"/>
      <c r="L6" s="8"/>
      <c r="M6" s="8"/>
      <c r="N6" s="8"/>
      <c r="O6" s="8"/>
      <c r="P6" s="8"/>
      <c r="Q6" s="9"/>
      <c r="U6" s="8"/>
      <c r="V6" s="8"/>
      <c r="W6" s="627"/>
      <c r="X6" s="627"/>
      <c r="Y6" s="8"/>
      <c r="Z6" s="8"/>
      <c r="AA6" s="8"/>
      <c r="AB6" s="8"/>
      <c r="AC6" s="8"/>
      <c r="AD6" s="8"/>
      <c r="AE6" s="8"/>
      <c r="AF6" s="8"/>
      <c r="AG6" s="8"/>
      <c r="AH6" s="8"/>
      <c r="AI6" s="8"/>
      <c r="AJ6" s="8"/>
    </row>
    <row r="7" spans="1:37" ht="15" customHeight="1" x14ac:dyDescent="0.2">
      <c r="A7" s="671"/>
      <c r="B7" s="1071" t="str">
        <f>IF(Step1!K12="New building",Step1!Q12,Step1!K15)</f>
        <v>1-19 Torrington Place</v>
      </c>
      <c r="C7" s="1071"/>
      <c r="D7" s="1071"/>
      <c r="E7" s="671"/>
      <c r="G7" s="1020"/>
      <c r="H7" s="1020"/>
      <c r="I7" s="22"/>
      <c r="J7" s="22"/>
      <c r="K7" s="8"/>
      <c r="L7" s="8"/>
      <c r="M7" s="8"/>
      <c r="N7" s="8"/>
      <c r="O7" s="8"/>
      <c r="P7" s="8"/>
      <c r="Q7" s="9"/>
      <c r="U7" s="8"/>
      <c r="V7" s="8"/>
      <c r="W7" s="627"/>
      <c r="X7" s="627"/>
      <c r="Y7" s="8"/>
      <c r="Z7" s="8"/>
      <c r="AA7" s="8"/>
      <c r="AB7" s="8"/>
      <c r="AC7" s="8"/>
      <c r="AD7" s="8"/>
      <c r="AE7" s="8"/>
      <c r="AF7" s="8"/>
      <c r="AG7" s="8"/>
      <c r="AH7" s="8"/>
      <c r="AI7" s="8"/>
      <c r="AJ7" s="8"/>
    </row>
    <row r="8" spans="1:37" ht="15" customHeight="1" x14ac:dyDescent="0.2">
      <c r="B8" s="145"/>
      <c r="C8" s="146"/>
      <c r="I8" s="22"/>
      <c r="J8" s="22"/>
      <c r="K8" s="8"/>
      <c r="L8" s="8"/>
      <c r="M8" s="8"/>
      <c r="N8" s="8"/>
      <c r="O8" s="8"/>
      <c r="P8" s="8"/>
      <c r="Q8" s="8"/>
      <c r="R8" s="9"/>
      <c r="S8" s="498"/>
      <c r="T8" s="498"/>
      <c r="U8" s="8"/>
      <c r="V8" s="8"/>
      <c r="W8" s="8"/>
      <c r="X8" s="8"/>
      <c r="Y8" s="8"/>
      <c r="Z8" s="8"/>
      <c r="AA8" s="8"/>
      <c r="AB8" s="8"/>
      <c r="AC8" s="8"/>
      <c r="AD8" s="8"/>
      <c r="AE8" s="8"/>
      <c r="AF8" s="8"/>
      <c r="AG8" s="8"/>
      <c r="AH8" s="8"/>
      <c r="AI8" s="8"/>
      <c r="AJ8" s="8"/>
    </row>
    <row r="9" spans="1:37" ht="15" customHeight="1" thickBot="1" x14ac:dyDescent="0.25">
      <c r="B9" s="145"/>
      <c r="C9" s="146"/>
      <c r="I9" s="22"/>
      <c r="J9" s="22"/>
      <c r="K9" s="8"/>
      <c r="L9" s="8"/>
      <c r="M9" s="8"/>
      <c r="N9" s="8"/>
      <c r="O9" s="8"/>
      <c r="P9" s="8"/>
      <c r="Q9" s="8"/>
      <c r="R9" s="9"/>
      <c r="S9" s="498"/>
      <c r="T9" s="498"/>
      <c r="U9" s="8"/>
      <c r="V9" s="8"/>
      <c r="W9" s="8"/>
      <c r="X9" s="8"/>
      <c r="Y9" s="8"/>
      <c r="Z9" s="8"/>
      <c r="AA9" s="8"/>
      <c r="AB9" s="8"/>
      <c r="AC9" s="8"/>
      <c r="AD9" s="8"/>
      <c r="AE9" s="8"/>
      <c r="AF9" s="8"/>
      <c r="AG9" s="8"/>
      <c r="AH9" s="8"/>
      <c r="AI9" s="8"/>
      <c r="AJ9" s="8"/>
    </row>
    <row r="10" spans="1:37" ht="15" customHeight="1" thickBot="1" x14ac:dyDescent="0.25">
      <c r="B10" s="544"/>
      <c r="C10" s="146"/>
      <c r="G10" s="817" t="s">
        <v>573</v>
      </c>
      <c r="H10" s="297"/>
      <c r="I10" s="297"/>
      <c r="J10" s="297"/>
      <c r="K10" s="298"/>
      <c r="M10" s="339" t="s">
        <v>525</v>
      </c>
      <c r="N10" s="299"/>
      <c r="O10" s="299"/>
      <c r="P10" s="299"/>
      <c r="Q10" s="300"/>
      <c r="R10" s="9"/>
      <c r="S10" s="1019" t="s">
        <v>496</v>
      </c>
      <c r="T10" s="1019"/>
      <c r="U10" s="1019"/>
      <c r="V10" s="1019"/>
      <c r="W10" s="1019"/>
      <c r="X10" s="8"/>
      <c r="Y10" s="873" t="s">
        <v>530</v>
      </c>
      <c r="Z10" s="297"/>
      <c r="AA10" s="308"/>
      <c r="AB10" s="306"/>
      <c r="AC10" s="300"/>
      <c r="AD10" s="8"/>
      <c r="AE10" s="8"/>
    </row>
    <row r="11" spans="1:37" ht="15" customHeight="1" thickBot="1" x14ac:dyDescent="0.25">
      <c r="B11" s="148"/>
      <c r="C11" s="146"/>
      <c r="G11" s="818" t="s">
        <v>418</v>
      </c>
      <c r="H11" s="220"/>
      <c r="I11" s="220"/>
      <c r="J11" s="998">
        <f>Step1!$K$76</f>
        <v>98005.027499999997</v>
      </c>
      <c r="K11" s="244">
        <f>K17</f>
        <v>0</v>
      </c>
      <c r="M11" s="232" t="s">
        <v>418</v>
      </c>
      <c r="N11" s="60"/>
      <c r="O11" s="60"/>
      <c r="P11" s="276" t="e">
        <f>Q12+Q13</f>
        <v>#DIV/0!</v>
      </c>
      <c r="Q11" s="60"/>
      <c r="Y11" s="830" t="s">
        <v>418</v>
      </c>
      <c r="Z11" s="508"/>
      <c r="AA11" s="508"/>
      <c r="AB11" s="1000" t="e">
        <f>AC12+AC13</f>
        <v>#VALUE!</v>
      </c>
      <c r="AC11" s="60"/>
    </row>
    <row r="12" spans="1:37" ht="15" customHeight="1" thickBot="1" x14ac:dyDescent="0.25">
      <c r="B12" s="545"/>
      <c r="G12" s="872"/>
      <c r="H12" s="60"/>
      <c r="I12" s="60"/>
      <c r="J12" s="60"/>
      <c r="K12" s="60"/>
      <c r="L12" s="426"/>
      <c r="M12" s="170" t="s">
        <v>446</v>
      </c>
      <c r="N12" s="171"/>
      <c r="O12" s="171"/>
      <c r="P12" s="166"/>
      <c r="Q12" s="247">
        <f>J11-K18</f>
        <v>0</v>
      </c>
      <c r="R12" s="86"/>
      <c r="S12" s="426"/>
      <c r="T12" s="426"/>
      <c r="U12" s="86"/>
      <c r="V12" s="86"/>
      <c r="W12" s="86"/>
      <c r="X12" s="90"/>
      <c r="Y12" s="837" t="s">
        <v>446</v>
      </c>
      <c r="Z12" s="181"/>
      <c r="AA12" s="181"/>
      <c r="AB12" s="1012"/>
      <c r="AC12" s="247">
        <f>J11-K18</f>
        <v>0</v>
      </c>
      <c r="AD12" s="426"/>
      <c r="AE12" s="86"/>
    </row>
    <row r="13" spans="1:37" ht="15" customHeight="1" thickBot="1" x14ac:dyDescent="0.25">
      <c r="B13" s="148"/>
      <c r="C13" s="149"/>
      <c r="G13" s="819" t="s">
        <v>447</v>
      </c>
      <c r="H13" s="209"/>
      <c r="I13" s="210"/>
      <c r="J13" s="210"/>
      <c r="K13" s="247">
        <f>K18</f>
        <v>98005.027499999997</v>
      </c>
      <c r="L13" s="91"/>
      <c r="M13" s="170" t="s">
        <v>447</v>
      </c>
      <c r="N13" s="209"/>
      <c r="O13" s="209"/>
      <c r="P13" s="166"/>
      <c r="Q13" s="247" t="e">
        <f>(((K18*K22)/K19)/Q22)*Q19</f>
        <v>#DIV/0!</v>
      </c>
      <c r="R13" s="427"/>
      <c r="S13" s="426"/>
      <c r="T13" s="426"/>
      <c r="U13" s="426"/>
      <c r="V13" s="426"/>
      <c r="W13" s="426"/>
      <c r="X13" s="426"/>
      <c r="Y13" s="837" t="s">
        <v>447</v>
      </c>
      <c r="Z13" s="181"/>
      <c r="AA13" s="181"/>
      <c r="AB13" s="1012"/>
      <c r="AC13" s="247" t="e">
        <f>(((K18*K22)/K19)/AC22)*AC19</f>
        <v>#VALUE!</v>
      </c>
      <c r="AD13" s="426"/>
      <c r="AE13" s="426"/>
    </row>
    <row r="14" spans="1:37" ht="15" customHeight="1" thickBot="1" x14ac:dyDescent="0.25">
      <c r="B14" s="544"/>
      <c r="C14" s="146"/>
      <c r="G14" s="872"/>
      <c r="H14" s="60"/>
      <c r="I14" s="60"/>
      <c r="J14" s="60"/>
      <c r="K14" s="60"/>
      <c r="M14" s="60"/>
      <c r="N14" s="60"/>
      <c r="O14" s="60"/>
      <c r="P14" s="60"/>
      <c r="Q14" s="60"/>
      <c r="Y14" s="864"/>
      <c r="Z14" s="508"/>
      <c r="AA14" s="508"/>
      <c r="AB14" s="864"/>
      <c r="AC14" s="60"/>
    </row>
    <row r="15" spans="1:37" ht="15" customHeight="1" thickBot="1" x14ac:dyDescent="0.25">
      <c r="B15" s="150"/>
      <c r="C15" s="146"/>
      <c r="G15" s="889"/>
      <c r="H15" s="188"/>
      <c r="I15" s="188"/>
      <c r="J15" s="188"/>
      <c r="K15" s="522"/>
      <c r="M15" s="167" t="s">
        <v>0</v>
      </c>
      <c r="N15" s="188"/>
      <c r="O15" s="188"/>
      <c r="P15" s="265" t="e">
        <f>1-((Q13)/K13)</f>
        <v>#DIV/0!</v>
      </c>
      <c r="Q15" s="251"/>
      <c r="R15" s="92"/>
      <c r="S15" s="92"/>
      <c r="T15" s="92"/>
      <c r="U15" s="92"/>
      <c r="V15" s="92"/>
      <c r="W15" s="92"/>
      <c r="X15" s="92"/>
      <c r="Y15" s="832" t="s">
        <v>0</v>
      </c>
      <c r="Z15" s="547"/>
      <c r="AA15" s="548"/>
      <c r="AB15" s="1013" t="e">
        <f>1-(AC13/K13)</f>
        <v>#VALUE!</v>
      </c>
      <c r="AC15" s="251"/>
      <c r="AD15" s="92"/>
      <c r="AE15" s="92"/>
    </row>
    <row r="16" spans="1:37" ht="15" customHeight="1" x14ac:dyDescent="0.2">
      <c r="B16" s="150"/>
      <c r="C16" s="146"/>
      <c r="G16" s="820"/>
      <c r="H16" s="342"/>
      <c r="I16" s="342"/>
      <c r="J16" s="342"/>
      <c r="K16" s="346"/>
      <c r="M16" s="350"/>
      <c r="N16" s="367"/>
      <c r="O16" s="342"/>
      <c r="P16" s="358"/>
      <c r="Q16" s="352"/>
      <c r="U16" s="10"/>
      <c r="V16" s="8"/>
      <c r="Y16" s="885"/>
      <c r="Z16" s="548"/>
      <c r="AA16" s="548"/>
      <c r="AB16" s="548"/>
      <c r="AC16" s="524"/>
      <c r="AK16" s="549"/>
    </row>
    <row r="17" spans="2:31" ht="15" customHeight="1" thickBot="1" x14ac:dyDescent="0.25">
      <c r="B17" s="150"/>
      <c r="C17" s="146"/>
      <c r="G17" s="818" t="s">
        <v>391</v>
      </c>
      <c r="H17" s="220"/>
      <c r="I17" s="220"/>
      <c r="J17" s="220"/>
      <c r="K17" s="244"/>
      <c r="M17" s="232" t="s">
        <v>391</v>
      </c>
      <c r="N17" s="233"/>
      <c r="O17" s="220"/>
      <c r="P17" s="234"/>
      <c r="Q17" s="245"/>
      <c r="U17" s="10"/>
      <c r="V17" s="8"/>
      <c r="Y17" s="830" t="s">
        <v>391</v>
      </c>
      <c r="Z17" s="550"/>
      <c r="AA17" s="551"/>
      <c r="AB17" s="550"/>
      <c r="AC17" s="528"/>
    </row>
    <row r="18" spans="2:31" ht="15" customHeight="1" thickBot="1" x14ac:dyDescent="0.25">
      <c r="B18" s="150"/>
      <c r="C18" s="146"/>
      <c r="G18" s="819" t="s">
        <v>518</v>
      </c>
      <c r="H18" s="171"/>
      <c r="I18" s="188"/>
      <c r="J18" s="182">
        <v>100</v>
      </c>
      <c r="K18" s="247">
        <f>(J18/100)*J11</f>
        <v>98005.027499999997</v>
      </c>
      <c r="M18" s="170"/>
      <c r="N18" s="171"/>
      <c r="O18" s="188"/>
      <c r="P18" s="171"/>
      <c r="Q18" s="243"/>
      <c r="R18" s="92"/>
      <c r="S18" s="92"/>
      <c r="T18" s="92"/>
      <c r="U18" s="92"/>
      <c r="V18" s="92"/>
      <c r="W18" s="92"/>
      <c r="X18" s="92"/>
      <c r="Y18" s="837"/>
      <c r="Z18" s="181"/>
      <c r="AA18" s="547"/>
      <c r="AB18" s="181"/>
      <c r="AC18" s="243"/>
      <c r="AD18" s="92"/>
      <c r="AE18" s="92"/>
    </row>
    <row r="19" spans="2:31" ht="15" customHeight="1" thickBot="1" x14ac:dyDescent="0.25">
      <c r="B19" s="150"/>
      <c r="C19" s="146"/>
      <c r="G19" s="819" t="s">
        <v>298</v>
      </c>
      <c r="H19" s="171"/>
      <c r="I19" s="171"/>
      <c r="J19" s="182">
        <v>100</v>
      </c>
      <c r="K19" s="247">
        <f>(J19/100)*Step1!$K$24</f>
        <v>17317</v>
      </c>
      <c r="L19" s="91"/>
      <c r="M19" s="170" t="s">
        <v>428</v>
      </c>
      <c r="N19" s="171"/>
      <c r="O19" s="171"/>
      <c r="P19" s="174">
        <v>0</v>
      </c>
      <c r="Q19" s="247">
        <f>K19+P19</f>
        <v>17317</v>
      </c>
      <c r="Y19" s="837" t="s">
        <v>428</v>
      </c>
      <c r="Z19" s="181"/>
      <c r="AA19" s="181"/>
      <c r="AB19" s="174">
        <v>0</v>
      </c>
      <c r="AC19" s="247">
        <f>Q19</f>
        <v>17317</v>
      </c>
    </row>
    <row r="20" spans="2:31" ht="15" customHeight="1" x14ac:dyDescent="0.2">
      <c r="B20" s="150"/>
      <c r="C20" s="146"/>
      <c r="G20" s="820"/>
      <c r="H20" s="342"/>
      <c r="I20" s="342"/>
      <c r="J20" s="342"/>
      <c r="K20" s="346"/>
      <c r="L20" s="91"/>
      <c r="M20" s="350"/>
      <c r="N20" s="342"/>
      <c r="O20" s="342"/>
      <c r="P20" s="342"/>
      <c r="Q20" s="346"/>
      <c r="Y20" s="862"/>
      <c r="Z20" s="353"/>
      <c r="AA20" s="353"/>
      <c r="AB20" s="353"/>
      <c r="AC20" s="346"/>
    </row>
    <row r="21" spans="2:31" ht="15" customHeight="1" thickBot="1" x14ac:dyDescent="0.25">
      <c r="B21" s="150"/>
      <c r="C21" s="146"/>
      <c r="G21" s="818" t="s">
        <v>389</v>
      </c>
      <c r="H21" s="310"/>
      <c r="I21" s="310"/>
      <c r="J21" s="310"/>
      <c r="K21" s="528"/>
      <c r="M21" s="232" t="s">
        <v>390</v>
      </c>
      <c r="N21" s="310"/>
      <c r="O21" s="310"/>
      <c r="P21" s="310"/>
      <c r="Q21" s="528"/>
      <c r="U21" s="8"/>
      <c r="V21" s="8"/>
      <c r="Y21" s="830" t="s">
        <v>390</v>
      </c>
      <c r="Z21" s="550"/>
      <c r="AA21" s="550"/>
      <c r="AB21" s="550"/>
      <c r="AC21" s="528"/>
    </row>
    <row r="22" spans="2:31" ht="15" customHeight="1" thickBot="1" x14ac:dyDescent="0.25">
      <c r="G22" s="819" t="s">
        <v>335</v>
      </c>
      <c r="H22" s="60"/>
      <c r="I22" s="218" t="s">
        <v>309</v>
      </c>
      <c r="J22" s="650"/>
      <c r="K22" s="254">
        <f>IF(I22="User defined",J22,VLOOKUP(I22,Data!$G$99:$P$103,10,FALSE))</f>
        <v>0</v>
      </c>
      <c r="M22" s="819" t="s">
        <v>335</v>
      </c>
      <c r="N22" s="60"/>
      <c r="O22" s="218" t="s">
        <v>309</v>
      </c>
      <c r="P22" s="650"/>
      <c r="Q22" s="254">
        <f>IF(O22="User defined",P22,VLOOKUP(O22,Data!$G$99:$P$103,10,FALSE))</f>
        <v>0</v>
      </c>
      <c r="U22" s="8"/>
      <c r="V22" s="8"/>
      <c r="Y22" s="819" t="s">
        <v>335</v>
      </c>
      <c r="Z22" s="60"/>
      <c r="AA22" s="218" t="s">
        <v>309</v>
      </c>
      <c r="AB22" s="650" t="s">
        <v>197</v>
      </c>
      <c r="AC22" s="254" t="str">
        <f>IF(AA22="User defined",AB22,VLOOKUP(AA22,Data!$G$99:$P$103,10,FALSE))</f>
        <v>NA</v>
      </c>
    </row>
    <row r="23" spans="2:31" ht="15" customHeight="1" x14ac:dyDescent="0.2">
      <c r="G23" s="866"/>
      <c r="H23" s="523"/>
      <c r="I23" s="523"/>
      <c r="J23" s="523"/>
      <c r="K23" s="524"/>
      <c r="M23" s="523"/>
      <c r="N23" s="523"/>
      <c r="O23" s="523"/>
      <c r="P23" s="523"/>
      <c r="Q23" s="524"/>
      <c r="U23" s="8"/>
      <c r="V23" s="8"/>
      <c r="Y23" s="885"/>
      <c r="Z23" s="548"/>
      <c r="AA23" s="548"/>
      <c r="AB23" s="548"/>
      <c r="AC23" s="524"/>
    </row>
    <row r="24" spans="2:31" ht="15" customHeight="1" thickBot="1" x14ac:dyDescent="0.25">
      <c r="B24" s="148"/>
      <c r="C24" s="149"/>
      <c r="G24" s="890" t="s">
        <v>647</v>
      </c>
      <c r="H24" s="60"/>
      <c r="I24" s="60"/>
      <c r="J24" s="60"/>
      <c r="K24" s="60"/>
      <c r="M24" s="511" t="s">
        <v>647</v>
      </c>
      <c r="N24" s="60"/>
      <c r="O24" s="60"/>
      <c r="P24" s="60"/>
      <c r="Q24" s="60"/>
      <c r="Y24" s="886" t="s">
        <v>647</v>
      </c>
      <c r="Z24" s="60"/>
      <c r="AA24" s="60"/>
      <c r="AB24" s="60"/>
      <c r="AC24" s="60"/>
    </row>
    <row r="25" spans="2:31" ht="15" customHeight="1" thickBot="1" x14ac:dyDescent="0.25">
      <c r="C25" s="146"/>
      <c r="G25" s="819" t="s">
        <v>217</v>
      </c>
      <c r="H25" s="171"/>
      <c r="I25" s="171"/>
      <c r="J25" s="172">
        <v>8</v>
      </c>
      <c r="K25" s="243">
        <f>J25</f>
        <v>8</v>
      </c>
      <c r="M25" s="170" t="s">
        <v>217</v>
      </c>
      <c r="N25" s="171"/>
      <c r="O25" s="171"/>
      <c r="P25" s="172">
        <v>8</v>
      </c>
      <c r="Q25" s="243">
        <f>P25</f>
        <v>8</v>
      </c>
      <c r="U25" s="8"/>
      <c r="V25" s="8"/>
      <c r="Y25" s="837" t="s">
        <v>217</v>
      </c>
      <c r="Z25" s="181"/>
      <c r="AA25" s="181"/>
      <c r="AB25" s="172">
        <v>8</v>
      </c>
      <c r="AC25" s="243">
        <f>AB25</f>
        <v>8</v>
      </c>
    </row>
    <row r="26" spans="2:31" ht="15" customHeight="1" thickBot="1" x14ac:dyDescent="0.25">
      <c r="B26" s="1070"/>
      <c r="C26" s="1070"/>
      <c r="D26" s="1070"/>
      <c r="G26" s="819" t="s">
        <v>222</v>
      </c>
      <c r="H26" s="171"/>
      <c r="I26" s="171"/>
      <c r="J26" s="172">
        <v>5</v>
      </c>
      <c r="K26" s="243">
        <f>J26</f>
        <v>5</v>
      </c>
      <c r="M26" s="170" t="s">
        <v>222</v>
      </c>
      <c r="N26" s="171"/>
      <c r="O26" s="171"/>
      <c r="P26" s="172">
        <v>5</v>
      </c>
      <c r="Q26" s="243">
        <f>P26</f>
        <v>5</v>
      </c>
      <c r="U26" s="8"/>
      <c r="V26" s="8"/>
      <c r="Y26" s="837" t="s">
        <v>222</v>
      </c>
      <c r="Z26" s="181"/>
      <c r="AA26" s="181"/>
      <c r="AB26" s="279">
        <v>5</v>
      </c>
      <c r="AC26" s="243">
        <f>AB26</f>
        <v>5</v>
      </c>
    </row>
    <row r="27" spans="2:31" ht="15" customHeight="1" thickBot="1" x14ac:dyDescent="0.25">
      <c r="C27" s="146"/>
      <c r="E27" s="152"/>
      <c r="G27" s="819" t="s">
        <v>206</v>
      </c>
      <c r="H27" s="171"/>
      <c r="I27" s="171"/>
      <c r="J27" s="174">
        <v>40</v>
      </c>
      <c r="K27" s="243">
        <f>J27</f>
        <v>40</v>
      </c>
      <c r="M27" s="170" t="s">
        <v>206</v>
      </c>
      <c r="N27" s="171"/>
      <c r="O27" s="171"/>
      <c r="P27" s="174">
        <v>40</v>
      </c>
      <c r="Q27" s="243">
        <f>P27</f>
        <v>40</v>
      </c>
      <c r="R27" s="9"/>
      <c r="S27" s="8"/>
      <c r="T27" s="8"/>
      <c r="U27" s="8"/>
      <c r="V27" s="8"/>
      <c r="W27" s="8"/>
      <c r="X27" s="8"/>
      <c r="Y27" s="837" t="s">
        <v>206</v>
      </c>
      <c r="Z27" s="181"/>
      <c r="AA27" s="181"/>
      <c r="AB27" s="279">
        <v>40</v>
      </c>
      <c r="AC27" s="243">
        <f>AB27</f>
        <v>40</v>
      </c>
      <c r="AD27" s="8"/>
      <c r="AE27" s="8"/>
    </row>
    <row r="28" spans="2:31" ht="15" customHeight="1" thickBot="1" x14ac:dyDescent="0.25">
      <c r="B28" s="544"/>
      <c r="C28" s="149"/>
      <c r="G28" s="872"/>
      <c r="H28" s="60"/>
      <c r="I28" s="60"/>
      <c r="J28" s="60"/>
      <c r="K28" s="60"/>
      <c r="M28" s="60"/>
      <c r="N28" s="60"/>
      <c r="O28" s="60"/>
      <c r="P28" s="60"/>
      <c r="Q28" s="60"/>
      <c r="R28" s="1"/>
      <c r="Y28" s="864"/>
      <c r="Z28" s="60"/>
      <c r="AA28" s="60"/>
      <c r="AB28" s="60"/>
      <c r="AC28" s="60"/>
    </row>
    <row r="29" spans="2:31" ht="15" customHeight="1" thickBot="1" x14ac:dyDescent="0.25">
      <c r="B29" s="145"/>
      <c r="C29" s="146"/>
      <c r="G29" s="883" t="s">
        <v>797</v>
      </c>
      <c r="H29" s="13"/>
      <c r="I29" s="13"/>
      <c r="J29" s="999">
        <f>IF(I22="VRF",0,((K31*K19)*(K25*K26*K27))/1000)</f>
        <v>0</v>
      </c>
      <c r="K29" s="997" t="str">
        <f>IF(J29&gt;(Step1!$K$24*Step1!$K$43),"Warning!","")</f>
        <v/>
      </c>
      <c r="M29" s="15" t="s">
        <v>797</v>
      </c>
      <c r="N29" s="13"/>
      <c r="O29" s="13"/>
      <c r="P29" s="35">
        <f>IF(O22="VRF",0,((Q31*Q19)*(Q25*Q26*Q27))/1000)</f>
        <v>0</v>
      </c>
      <c r="Q29" s="997" t="str">
        <f>IF(P29&gt;(Step1!$K$24*Step1!$K$43),"Warning!","")</f>
        <v/>
      </c>
      <c r="U29" s="8"/>
      <c r="V29" s="8"/>
      <c r="Y29" s="859" t="s">
        <v>797</v>
      </c>
      <c r="Z29" s="18"/>
      <c r="AA29" s="401"/>
      <c r="AB29" s="918">
        <f>IF(AA22="VRF",0,((AC31*AC19)*(AC25*AC26*AC27))/1000)</f>
        <v>0</v>
      </c>
      <c r="AC29" s="997" t="str">
        <f>IF(AB29&gt;(Step1!$K$24*Step1!$K$43),"Warning!","")</f>
        <v/>
      </c>
      <c r="AE29" s="8"/>
    </row>
    <row r="30" spans="2:31" ht="15" customHeight="1" thickBot="1" x14ac:dyDescent="0.25">
      <c r="B30" s="145"/>
      <c r="C30" s="146"/>
      <c r="G30" s="826"/>
      <c r="H30" s="13"/>
      <c r="I30" s="13"/>
      <c r="J30" s="13"/>
      <c r="K30" s="971" t="s">
        <v>214</v>
      </c>
      <c r="M30" s="15" t="s">
        <v>387</v>
      </c>
      <c r="N30" s="13"/>
      <c r="O30" s="13"/>
      <c r="P30" s="970" t="str">
        <f>IF(J29&gt;0,1-(P29/J29),"NA")</f>
        <v>NA</v>
      </c>
      <c r="Q30" s="971" t="s">
        <v>214</v>
      </c>
      <c r="U30" s="8"/>
      <c r="V30" s="8"/>
      <c r="Y30" s="832" t="s">
        <v>387</v>
      </c>
      <c r="Z30" s="18"/>
      <c r="AA30" s="401"/>
      <c r="AB30" s="1014" t="str">
        <f>IF(J29&gt;0,1-(AB29/J29),"NA")</f>
        <v>NA</v>
      </c>
      <c r="AC30" s="971" t="s">
        <v>214</v>
      </c>
    </row>
    <row r="31" spans="2:31" ht="15" customHeight="1" thickBot="1" x14ac:dyDescent="0.25">
      <c r="B31" s="145"/>
      <c r="C31" s="146"/>
      <c r="G31" s="819" t="s">
        <v>646</v>
      </c>
      <c r="H31" s="60"/>
      <c r="I31" s="218" t="s">
        <v>309</v>
      </c>
      <c r="J31" s="650"/>
      <c r="K31" s="254">
        <f>IF(I31="User defined",J31,VLOOKUP(I31,Data!$G$106:$P$110,10,FALSE))</f>
        <v>0</v>
      </c>
      <c r="M31" s="170" t="s">
        <v>646</v>
      </c>
      <c r="N31" s="60"/>
      <c r="O31" s="218" t="s">
        <v>309</v>
      </c>
      <c r="P31" s="650"/>
      <c r="Q31" s="254">
        <f>IF(O31="User defined",P31,VLOOKUP(O31,Data!$G$106:$P$110,10,FALSE))</f>
        <v>0</v>
      </c>
      <c r="U31" s="8"/>
      <c r="V31" s="8"/>
      <c r="Y31" s="837" t="s">
        <v>646</v>
      </c>
      <c r="Z31" s="60"/>
      <c r="AA31" s="218" t="s">
        <v>309</v>
      </c>
      <c r="AB31" s="650"/>
      <c r="AC31" s="254">
        <f>IF(AA31="User defined",AB31,VLOOKUP(AA31,Data!$G$106:$P$110,10,FALSE))</f>
        <v>0</v>
      </c>
    </row>
    <row r="32" spans="2:31" ht="15" customHeight="1" thickBot="1" x14ac:dyDescent="0.25">
      <c r="B32" s="145"/>
      <c r="C32" s="146"/>
      <c r="G32" s="889"/>
      <c r="H32" s="188"/>
      <c r="I32" s="188"/>
      <c r="J32" s="188"/>
      <c r="K32" s="522"/>
      <c r="M32" s="188"/>
      <c r="N32" s="188"/>
      <c r="O32" s="188"/>
      <c r="P32" s="188"/>
      <c r="Q32" s="522"/>
      <c r="U32" s="8"/>
      <c r="V32" s="8"/>
      <c r="Y32" s="887"/>
      <c r="Z32" s="188"/>
      <c r="AA32" s="188"/>
      <c r="AB32" s="188"/>
      <c r="AC32" s="522"/>
    </row>
    <row r="33" spans="2:31" ht="15" customHeight="1" thickBot="1" x14ac:dyDescent="0.25">
      <c r="C33" s="146"/>
      <c r="G33" s="883" t="s">
        <v>798</v>
      </c>
      <c r="H33" s="13"/>
      <c r="I33" s="13"/>
      <c r="J33" s="999">
        <f>IF(OR(I22="VRF",I22="User defined"),((K35*K36*K37)*(K25*K26*K27))/1000,0)</f>
        <v>0</v>
      </c>
      <c r="K33" s="997" t="str">
        <f>IF(J33&gt;(Step1!$K$24*Step1!$K$43),"Warning!","")</f>
        <v/>
      </c>
      <c r="M33" s="15" t="s">
        <v>798</v>
      </c>
      <c r="N33" s="13"/>
      <c r="O33" s="35"/>
      <c r="P33" s="35">
        <f>IF(OR(O22="VRF",O22="User defined"),((Q35*Q36*Q37)*(Q25*Q26*Q27))/1000,0)</f>
        <v>0</v>
      </c>
      <c r="Q33" s="997" t="str">
        <f>IF(P33&gt;(Step1!$K$24*Step1!$K$43),"Warning!","")</f>
        <v/>
      </c>
      <c r="U33" s="8"/>
      <c r="V33" s="8"/>
      <c r="Y33" s="859" t="s">
        <v>798</v>
      </c>
      <c r="Z33" s="18"/>
      <c r="AA33" s="18"/>
      <c r="AB33" s="917">
        <f>IF(OR(AA22="VRF",AA22="User defined"),((AC35*AC36*AC37)*(AC25*AC26*AC27))/1000,0)</f>
        <v>0</v>
      </c>
      <c r="AC33" s="997" t="str">
        <f>IF(AB33&gt;(Step1!$K$24*Step1!$K$43),"Warning!","")</f>
        <v/>
      </c>
      <c r="AE33" s="8"/>
    </row>
    <row r="34" spans="2:31" ht="15" customHeight="1" thickBot="1" x14ac:dyDescent="0.25">
      <c r="C34" s="146"/>
      <c r="G34" s="826"/>
      <c r="H34" s="13"/>
      <c r="I34" s="13"/>
      <c r="J34" s="13"/>
      <c r="K34" s="243"/>
      <c r="M34" s="15" t="s">
        <v>387</v>
      </c>
      <c r="N34" s="13"/>
      <c r="O34" s="278"/>
      <c r="P34" s="278" t="str">
        <f>IF(J33&gt;0,1-(P33/J33),"NA")</f>
        <v>NA</v>
      </c>
      <c r="Q34" s="243"/>
      <c r="U34" s="8"/>
      <c r="V34" s="8"/>
      <c r="Y34" s="832" t="s">
        <v>799</v>
      </c>
      <c r="Z34" s="18"/>
      <c r="AA34" s="18"/>
      <c r="AB34" s="1014" t="str">
        <f>IF(J33&gt;0,1-(AB33/J33),"NA")</f>
        <v>NA</v>
      </c>
      <c r="AC34" s="243"/>
    </row>
    <row r="35" spans="2:31" ht="15" customHeight="1" thickBot="1" x14ac:dyDescent="0.25">
      <c r="C35" s="553"/>
      <c r="D35" s="553"/>
      <c r="G35" s="819" t="s">
        <v>449</v>
      </c>
      <c r="H35" s="60"/>
      <c r="I35" s="60"/>
      <c r="J35" s="174">
        <v>0</v>
      </c>
      <c r="K35" s="243">
        <f>J35</f>
        <v>0</v>
      </c>
      <c r="M35" s="170" t="s">
        <v>449</v>
      </c>
      <c r="N35" s="60"/>
      <c r="O35" s="60"/>
      <c r="P35" s="279">
        <v>12</v>
      </c>
      <c r="Q35" s="243">
        <f>P35</f>
        <v>12</v>
      </c>
      <c r="Y35" s="837" t="s">
        <v>449</v>
      </c>
      <c r="Z35" s="60"/>
      <c r="AA35" s="60"/>
      <c r="AB35" s="279">
        <v>12</v>
      </c>
      <c r="AC35" s="243">
        <f>AB35</f>
        <v>12</v>
      </c>
    </row>
    <row r="36" spans="2:31" ht="15" customHeight="1" thickBot="1" x14ac:dyDescent="0.25">
      <c r="C36" s="554"/>
      <c r="E36" s="152"/>
      <c r="G36" s="819" t="s">
        <v>450</v>
      </c>
      <c r="H36" s="60"/>
      <c r="I36" s="60"/>
      <c r="J36" s="174">
        <v>0</v>
      </c>
      <c r="K36" s="243">
        <f>J36</f>
        <v>0</v>
      </c>
      <c r="M36" s="170" t="s">
        <v>450</v>
      </c>
      <c r="N36" s="60"/>
      <c r="O36" s="60"/>
      <c r="P36" s="279">
        <v>0</v>
      </c>
      <c r="Q36" s="243">
        <f>P36</f>
        <v>0</v>
      </c>
      <c r="Y36" s="837" t="s">
        <v>450</v>
      </c>
      <c r="Z36" s="60"/>
      <c r="AA36" s="60"/>
      <c r="AB36" s="279">
        <v>0</v>
      </c>
      <c r="AC36" s="243">
        <f>AB36</f>
        <v>0</v>
      </c>
    </row>
    <row r="37" spans="2:31" ht="15" customHeight="1" thickBot="1" x14ac:dyDescent="0.25">
      <c r="C37" s="152"/>
      <c r="G37" s="819" t="s">
        <v>444</v>
      </c>
      <c r="H37" s="60"/>
      <c r="I37" s="60"/>
      <c r="J37" s="174">
        <v>0</v>
      </c>
      <c r="K37" s="243">
        <f>J37</f>
        <v>0</v>
      </c>
      <c r="M37" s="170" t="s">
        <v>444</v>
      </c>
      <c r="N37" s="60"/>
      <c r="O37" s="60"/>
      <c r="P37" s="174">
        <v>0</v>
      </c>
      <c r="Q37" s="243">
        <f>P37</f>
        <v>0</v>
      </c>
      <c r="Y37" s="837" t="s">
        <v>444</v>
      </c>
      <c r="Z37" s="60"/>
      <c r="AA37" s="60"/>
      <c r="AB37" s="174">
        <v>0</v>
      </c>
      <c r="AC37" s="243">
        <f>AB37</f>
        <v>0</v>
      </c>
    </row>
    <row r="38" spans="2:31" ht="15" customHeight="1" x14ac:dyDescent="0.2">
      <c r="C38" s="146"/>
      <c r="G38" s="866"/>
      <c r="H38" s="523"/>
      <c r="I38" s="523"/>
      <c r="J38" s="523"/>
      <c r="K38" s="524"/>
      <c r="M38" s="523"/>
      <c r="N38" s="523"/>
      <c r="O38" s="523"/>
      <c r="P38" s="523"/>
      <c r="Q38" s="524"/>
      <c r="Y38" s="888"/>
      <c r="Z38" s="526"/>
      <c r="AA38" s="526"/>
      <c r="AB38" s="526"/>
      <c r="AC38" s="526"/>
    </row>
    <row r="39" spans="2:31" ht="15" customHeight="1" thickBot="1" x14ac:dyDescent="0.25">
      <c r="C39" s="553"/>
      <c r="D39" s="553"/>
      <c r="G39" s="823" t="s">
        <v>386</v>
      </c>
      <c r="H39" s="223"/>
      <c r="I39" s="220"/>
      <c r="J39" s="224"/>
      <c r="K39" s="245"/>
      <c r="L39" s="8"/>
      <c r="M39" s="225" t="s">
        <v>386</v>
      </c>
      <c r="N39" s="223"/>
      <c r="O39" s="220"/>
      <c r="P39" s="224"/>
      <c r="Q39" s="245"/>
      <c r="U39" s="8"/>
      <c r="V39" s="8"/>
      <c r="Y39" s="838" t="s">
        <v>386</v>
      </c>
      <c r="Z39" s="229"/>
      <c r="AA39" s="229"/>
      <c r="AB39" s="229"/>
      <c r="AC39" s="264"/>
    </row>
    <row r="40" spans="2:31" ht="15" customHeight="1" thickBot="1" x14ac:dyDescent="0.25">
      <c r="B40" s="145"/>
      <c r="C40" s="146"/>
      <c r="G40" s="819" t="s">
        <v>205</v>
      </c>
      <c r="H40" s="171"/>
      <c r="I40" s="175"/>
      <c r="J40" s="184">
        <v>0</v>
      </c>
      <c r="K40" s="247">
        <f>J40</f>
        <v>0</v>
      </c>
      <c r="M40" s="170" t="s">
        <v>205</v>
      </c>
      <c r="N40" s="171"/>
      <c r="O40" s="171"/>
      <c r="P40" s="184">
        <v>0</v>
      </c>
      <c r="Q40" s="247">
        <f>P40</f>
        <v>0</v>
      </c>
      <c r="U40" s="8"/>
      <c r="V40" s="8"/>
      <c r="Y40" s="837" t="s">
        <v>205</v>
      </c>
      <c r="Z40" s="181"/>
      <c r="AA40" s="181"/>
      <c r="AB40" s="184">
        <v>0</v>
      </c>
      <c r="AC40" s="247">
        <f>AB40</f>
        <v>0</v>
      </c>
    </row>
    <row r="41" spans="2:31" ht="15" customHeight="1" thickBot="1" x14ac:dyDescent="0.25">
      <c r="C41" s="146"/>
      <c r="G41" s="819" t="s">
        <v>531</v>
      </c>
      <c r="H41" s="171"/>
      <c r="I41" s="175"/>
      <c r="J41" s="184">
        <v>0</v>
      </c>
      <c r="K41" s="247">
        <f t="shared" ref="K41:K46" si="0">J41</f>
        <v>0</v>
      </c>
      <c r="M41" s="170" t="s">
        <v>531</v>
      </c>
      <c r="N41" s="171"/>
      <c r="O41" s="171"/>
      <c r="P41" s="184">
        <v>0</v>
      </c>
      <c r="Q41" s="247">
        <f t="shared" ref="Q41:Q46" si="1">P41</f>
        <v>0</v>
      </c>
      <c r="S41" s="899" t="s">
        <v>316</v>
      </c>
      <c r="T41" s="664"/>
      <c r="U41" s="665"/>
      <c r="V41" s="659"/>
      <c r="W41" s="659"/>
      <c r="Y41" s="837" t="s">
        <v>531</v>
      </c>
      <c r="Z41" s="181"/>
      <c r="AA41" s="181"/>
      <c r="AB41" s="184">
        <v>0</v>
      </c>
      <c r="AC41" s="247">
        <f t="shared" ref="AC41:AC46" si="2">AB41</f>
        <v>0</v>
      </c>
    </row>
    <row r="42" spans="2:31" ht="15" customHeight="1" thickBot="1" x14ac:dyDescent="0.25">
      <c r="C42" s="146"/>
      <c r="G42" s="872"/>
      <c r="H42" s="60"/>
      <c r="I42" s="60"/>
      <c r="J42" s="60"/>
      <c r="K42" s="247"/>
      <c r="M42" s="60"/>
      <c r="N42" s="60"/>
      <c r="O42" s="60"/>
      <c r="P42" s="60"/>
      <c r="Q42" s="247"/>
      <c r="S42" s="532" t="s">
        <v>541</v>
      </c>
      <c r="T42" s="60"/>
      <c r="U42" s="60"/>
      <c r="V42" s="661" t="e">
        <f>J72</f>
        <v>#N/A</v>
      </c>
      <c r="W42" s="662" t="s">
        <v>542</v>
      </c>
      <c r="Y42" s="864"/>
      <c r="Z42" s="60"/>
      <c r="AA42" s="60"/>
      <c r="AB42" s="60"/>
      <c r="AC42" s="247"/>
    </row>
    <row r="43" spans="2:31" ht="15" customHeight="1" thickBot="1" x14ac:dyDescent="0.25">
      <c r="C43" s="553"/>
      <c r="D43" s="553"/>
      <c r="G43" s="819" t="s">
        <v>200</v>
      </c>
      <c r="H43" s="171"/>
      <c r="I43" s="177"/>
      <c r="J43" s="184">
        <v>0</v>
      </c>
      <c r="K43" s="247">
        <f t="shared" si="0"/>
        <v>0</v>
      </c>
      <c r="M43" s="170" t="s">
        <v>200</v>
      </c>
      <c r="N43" s="171"/>
      <c r="O43" s="171"/>
      <c r="P43" s="184">
        <v>0</v>
      </c>
      <c r="Q43" s="247">
        <f t="shared" si="1"/>
        <v>0</v>
      </c>
      <c r="S43" s="906" t="s">
        <v>594</v>
      </c>
      <c r="T43" s="864"/>
      <c r="U43" s="864"/>
      <c r="V43" s="911" t="e">
        <f>J73</f>
        <v>#N/A</v>
      </c>
      <c r="W43" s="908" t="s">
        <v>542</v>
      </c>
      <c r="Y43" s="837" t="s">
        <v>200</v>
      </c>
      <c r="Z43" s="181"/>
      <c r="AA43" s="181"/>
      <c r="AB43" s="184">
        <v>0</v>
      </c>
      <c r="AC43" s="247">
        <f t="shared" si="2"/>
        <v>0</v>
      </c>
    </row>
    <row r="44" spans="2:31" ht="15" customHeight="1" thickBot="1" x14ac:dyDescent="0.25">
      <c r="B44" s="145"/>
      <c r="C44" s="146"/>
      <c r="G44" s="872"/>
      <c r="H44" s="60"/>
      <c r="I44" s="60"/>
      <c r="J44" s="60"/>
      <c r="K44" s="247"/>
      <c r="M44" s="60"/>
      <c r="N44" s="60"/>
      <c r="O44" s="60"/>
      <c r="P44" s="60"/>
      <c r="Q44" s="247"/>
      <c r="Y44" s="864"/>
      <c r="Z44" s="60"/>
      <c r="AA44" s="60"/>
      <c r="AB44" s="60"/>
      <c r="AC44" s="247"/>
    </row>
    <row r="45" spans="2:31" ht="15" customHeight="1" thickBot="1" x14ac:dyDescent="0.25">
      <c r="B45" s="145"/>
      <c r="C45" s="146"/>
      <c r="G45" s="819" t="s">
        <v>385</v>
      </c>
      <c r="H45" s="188"/>
      <c r="I45" s="188"/>
      <c r="J45" s="184">
        <v>0</v>
      </c>
      <c r="K45" s="247">
        <f t="shared" si="0"/>
        <v>0</v>
      </c>
      <c r="M45" s="170" t="s">
        <v>385</v>
      </c>
      <c r="N45" s="523"/>
      <c r="O45" s="523"/>
      <c r="P45" s="184">
        <v>0</v>
      </c>
      <c r="Q45" s="247">
        <f t="shared" si="1"/>
        <v>0</v>
      </c>
      <c r="Y45" s="837" t="s">
        <v>385</v>
      </c>
      <c r="Z45" s="523"/>
      <c r="AA45" s="523"/>
      <c r="AB45" s="184">
        <v>0</v>
      </c>
      <c r="AC45" s="247">
        <f t="shared" si="2"/>
        <v>0</v>
      </c>
    </row>
    <row r="46" spans="2:31" ht="15" customHeight="1" thickBot="1" x14ac:dyDescent="0.25">
      <c r="B46" s="145"/>
      <c r="C46" s="146"/>
      <c r="G46" s="819" t="s">
        <v>532</v>
      </c>
      <c r="H46" s="223"/>
      <c r="I46" s="356"/>
      <c r="J46" s="184">
        <v>0</v>
      </c>
      <c r="K46" s="247">
        <f t="shared" si="0"/>
        <v>0</v>
      </c>
      <c r="M46" s="170" t="s">
        <v>532</v>
      </c>
      <c r="N46" s="171"/>
      <c r="O46" s="171"/>
      <c r="P46" s="184">
        <v>0</v>
      </c>
      <c r="Q46" s="247">
        <f t="shared" si="1"/>
        <v>0</v>
      </c>
      <c r="Y46" s="837" t="s">
        <v>532</v>
      </c>
      <c r="Z46" s="181"/>
      <c r="AA46" s="181"/>
      <c r="AB46" s="184">
        <v>0</v>
      </c>
      <c r="AC46" s="247">
        <f t="shared" si="2"/>
        <v>0</v>
      </c>
    </row>
    <row r="47" spans="2:31" ht="15" customHeight="1" thickBot="1" x14ac:dyDescent="0.25">
      <c r="G47" s="891"/>
      <c r="H47" s="176"/>
      <c r="I47" s="340"/>
      <c r="J47" s="171"/>
      <c r="K47" s="341"/>
      <c r="M47" s="243"/>
      <c r="N47" s="176"/>
      <c r="O47" s="340"/>
      <c r="P47" s="171"/>
      <c r="Q47" s="341"/>
      <c r="Y47" s="243"/>
      <c r="Z47" s="176"/>
      <c r="AA47" s="340"/>
      <c r="AB47" s="171"/>
      <c r="AC47" s="341"/>
    </row>
    <row r="48" spans="2:31" ht="15" customHeight="1" x14ac:dyDescent="0.2">
      <c r="U48" s="8"/>
      <c r="V48" s="8"/>
      <c r="AC48" s="21"/>
    </row>
    <row r="49" spans="21:29" ht="15" customHeight="1" x14ac:dyDescent="0.2">
      <c r="U49" s="8"/>
      <c r="V49" s="8"/>
      <c r="AC49" s="21"/>
    </row>
    <row r="50" spans="21:29" ht="15" customHeight="1" x14ac:dyDescent="0.2">
      <c r="U50" s="8"/>
      <c r="V50" s="8"/>
      <c r="AC50" s="21"/>
    </row>
    <row r="51" spans="21:29" ht="15" customHeight="1" x14ac:dyDescent="0.2">
      <c r="U51" s="8"/>
      <c r="V51" s="8"/>
      <c r="AC51" s="21"/>
    </row>
    <row r="52" spans="21:29" ht="15" customHeight="1" x14ac:dyDescent="0.2">
      <c r="U52" s="8"/>
      <c r="V52" s="8"/>
      <c r="AC52" s="21"/>
    </row>
    <row r="53" spans="21:29" ht="15" customHeight="1" x14ac:dyDescent="0.2">
      <c r="U53" s="8"/>
      <c r="V53" s="8"/>
      <c r="AC53" s="21"/>
    </row>
    <row r="54" spans="21:29" ht="15" customHeight="1" x14ac:dyDescent="0.2">
      <c r="U54" s="8"/>
      <c r="V54" s="8"/>
      <c r="AC54" s="21"/>
    </row>
    <row r="55" spans="21:29" ht="15" customHeight="1" x14ac:dyDescent="0.2">
      <c r="U55" s="8"/>
      <c r="V55" s="8"/>
      <c r="AC55" s="21"/>
    </row>
    <row r="56" spans="21:29" ht="15" customHeight="1" x14ac:dyDescent="0.2">
      <c r="U56" s="8"/>
      <c r="V56" s="8"/>
      <c r="AC56" s="21"/>
    </row>
    <row r="57" spans="21:29" ht="15" customHeight="1" x14ac:dyDescent="0.2">
      <c r="U57" s="8"/>
      <c r="V57" s="8"/>
      <c r="AC57" s="21"/>
    </row>
    <row r="58" spans="21:29" ht="15" customHeight="1" x14ac:dyDescent="0.2">
      <c r="U58" s="8"/>
      <c r="V58" s="8"/>
      <c r="AC58" s="21"/>
    </row>
    <row r="59" spans="21:29" ht="15" customHeight="1" x14ac:dyDescent="0.2">
      <c r="U59" s="8"/>
      <c r="V59" s="8"/>
      <c r="AC59" s="21"/>
    </row>
    <row r="60" spans="21:29" ht="15" customHeight="1" x14ac:dyDescent="0.2">
      <c r="U60" s="8"/>
      <c r="V60" s="8"/>
      <c r="AC60" s="21"/>
    </row>
    <row r="61" spans="21:29" ht="15" customHeight="1" x14ac:dyDescent="0.2">
      <c r="U61" s="8"/>
      <c r="V61" s="8"/>
      <c r="AC61" s="21"/>
    </row>
    <row r="62" spans="21:29" ht="15" customHeight="1" x14ac:dyDescent="0.2">
      <c r="U62" s="8"/>
      <c r="V62" s="8"/>
      <c r="AC62" s="21"/>
    </row>
    <row r="63" spans="21:29" ht="15" customHeight="1" x14ac:dyDescent="0.2">
      <c r="U63" s="8"/>
      <c r="V63" s="8"/>
      <c r="AC63" s="21"/>
    </row>
    <row r="64" spans="21:29" ht="15" customHeight="1" x14ac:dyDescent="0.2">
      <c r="U64" s="8"/>
      <c r="V64" s="8"/>
      <c r="AC64" s="21"/>
    </row>
    <row r="65" spans="7:36" ht="15" customHeight="1" x14ac:dyDescent="0.2">
      <c r="U65" s="8"/>
      <c r="V65" s="8"/>
      <c r="AC65" s="21"/>
    </row>
    <row r="66" spans="7:36" ht="15" customHeight="1" x14ac:dyDescent="0.2">
      <c r="U66" s="8"/>
      <c r="V66" s="8"/>
      <c r="AC66" s="21"/>
    </row>
    <row r="67" spans="7:36" ht="15" customHeight="1" x14ac:dyDescent="0.2">
      <c r="U67" s="8"/>
      <c r="V67" s="8"/>
      <c r="AC67" s="21"/>
    </row>
    <row r="68" spans="7:36" ht="15" customHeight="1" x14ac:dyDescent="0.2">
      <c r="U68" s="8"/>
      <c r="V68" s="8"/>
      <c r="AC68" s="21"/>
    </row>
    <row r="69" spans="7:36" ht="15" customHeight="1" x14ac:dyDescent="0.2">
      <c r="G69" s="8"/>
      <c r="H69" s="8"/>
      <c r="I69" s="8"/>
      <c r="J69" s="8"/>
      <c r="K69" s="8"/>
      <c r="L69" s="8"/>
      <c r="M69" s="8"/>
      <c r="N69" s="8"/>
      <c r="O69" s="8"/>
      <c r="P69" s="8"/>
      <c r="Q69" s="8"/>
      <c r="R69" s="9"/>
      <c r="S69" s="8"/>
      <c r="T69" s="8"/>
      <c r="U69" s="8"/>
      <c r="V69" s="8"/>
      <c r="W69" s="8"/>
      <c r="X69" s="8"/>
      <c r="Y69" s="10"/>
      <c r="Z69" s="10"/>
      <c r="AA69" s="27"/>
      <c r="AB69" s="8"/>
      <c r="AC69" s="21"/>
      <c r="AD69" s="8"/>
      <c r="AE69" s="8"/>
      <c r="AF69" s="8"/>
      <c r="AG69" s="8"/>
      <c r="AH69" s="8"/>
      <c r="AI69" s="8"/>
      <c r="AJ69" s="8"/>
    </row>
    <row r="70" spans="7:36" ht="15" hidden="1" customHeight="1" x14ac:dyDescent="0.2">
      <c r="G70" s="14"/>
      <c r="H70" s="14"/>
      <c r="I70" s="13"/>
      <c r="J70" s="13"/>
      <c r="K70" s="40">
        <v>0</v>
      </c>
      <c r="L70" s="40">
        <v>1</v>
      </c>
      <c r="M70" s="40">
        <v>2</v>
      </c>
      <c r="N70" s="40">
        <v>3</v>
      </c>
      <c r="O70" s="40">
        <v>4</v>
      </c>
      <c r="P70" s="40">
        <v>5</v>
      </c>
      <c r="Q70" s="40">
        <v>6</v>
      </c>
      <c r="R70" s="40">
        <v>7</v>
      </c>
      <c r="S70" s="40">
        <v>8</v>
      </c>
      <c r="T70" s="40">
        <v>9</v>
      </c>
      <c r="U70" s="40">
        <v>10</v>
      </c>
      <c r="V70" s="40">
        <v>11</v>
      </c>
      <c r="W70" s="40">
        <v>12</v>
      </c>
      <c r="X70" s="40">
        <v>13</v>
      </c>
      <c r="Y70" s="40">
        <v>14</v>
      </c>
      <c r="Z70" s="40">
        <v>15</v>
      </c>
      <c r="AA70" s="40">
        <v>16</v>
      </c>
      <c r="AB70" s="40">
        <v>17</v>
      </c>
      <c r="AC70" s="40">
        <v>18</v>
      </c>
      <c r="AD70" s="40">
        <v>19</v>
      </c>
      <c r="AE70" s="40">
        <v>20</v>
      </c>
      <c r="AF70" s="40">
        <v>21</v>
      </c>
      <c r="AG70" s="40">
        <v>22</v>
      </c>
      <c r="AH70" s="40">
        <v>23</v>
      </c>
      <c r="AI70" s="40">
        <v>24</v>
      </c>
      <c r="AJ70" s="40">
        <v>25</v>
      </c>
    </row>
    <row r="71" spans="7:36" ht="15" hidden="1" customHeight="1" x14ac:dyDescent="0.2">
      <c r="G71" s="14" t="s">
        <v>183</v>
      </c>
      <c r="H71" s="14"/>
      <c r="I71" s="13"/>
      <c r="J71" s="13"/>
      <c r="K71" s="41">
        <v>1</v>
      </c>
      <c r="L71" s="41">
        <f t="shared" ref="L71:AJ71" si="3">K71+1</f>
        <v>2</v>
      </c>
      <c r="M71" s="41">
        <f t="shared" si="3"/>
        <v>3</v>
      </c>
      <c r="N71" s="41">
        <f t="shared" si="3"/>
        <v>4</v>
      </c>
      <c r="O71" s="41">
        <f t="shared" si="3"/>
        <v>5</v>
      </c>
      <c r="P71" s="41">
        <f t="shared" si="3"/>
        <v>6</v>
      </c>
      <c r="Q71" s="41">
        <f t="shared" si="3"/>
        <v>7</v>
      </c>
      <c r="R71" s="41">
        <f t="shared" si="3"/>
        <v>8</v>
      </c>
      <c r="S71" s="41">
        <f t="shared" si="3"/>
        <v>9</v>
      </c>
      <c r="T71" s="41">
        <f t="shared" si="3"/>
        <v>10</v>
      </c>
      <c r="U71" s="41">
        <f t="shared" si="3"/>
        <v>11</v>
      </c>
      <c r="V71" s="41">
        <f t="shared" si="3"/>
        <v>12</v>
      </c>
      <c r="W71" s="41">
        <f t="shared" si="3"/>
        <v>13</v>
      </c>
      <c r="X71" s="41">
        <f t="shared" si="3"/>
        <v>14</v>
      </c>
      <c r="Y71" s="41">
        <f t="shared" si="3"/>
        <v>15</v>
      </c>
      <c r="Z71" s="41">
        <f t="shared" si="3"/>
        <v>16</v>
      </c>
      <c r="AA71" s="41">
        <f t="shared" si="3"/>
        <v>17</v>
      </c>
      <c r="AB71" s="41">
        <f t="shared" si="3"/>
        <v>18</v>
      </c>
      <c r="AC71" s="41">
        <f t="shared" si="3"/>
        <v>19</v>
      </c>
      <c r="AD71" s="41">
        <f t="shared" si="3"/>
        <v>20</v>
      </c>
      <c r="AE71" s="41">
        <f t="shared" si="3"/>
        <v>21</v>
      </c>
      <c r="AF71" s="41">
        <f t="shared" si="3"/>
        <v>22</v>
      </c>
      <c r="AG71" s="41">
        <f t="shared" si="3"/>
        <v>23</v>
      </c>
      <c r="AH71" s="41">
        <f t="shared" si="3"/>
        <v>24</v>
      </c>
      <c r="AI71" s="41">
        <f t="shared" si="3"/>
        <v>25</v>
      </c>
      <c r="AJ71" s="41">
        <f t="shared" si="3"/>
        <v>26</v>
      </c>
    </row>
    <row r="72" spans="7:36" ht="15" hidden="1" customHeight="1" x14ac:dyDescent="0.2">
      <c r="G72" s="14" t="s">
        <v>548</v>
      </c>
      <c r="H72" s="69"/>
      <c r="I72" s="69"/>
      <c r="J72" s="196" t="e">
        <f>INDEX(K$70:AJ$70,MATCH(TRUE,INDEX(K72:AJ72&lt;&gt;0,),0))</f>
        <v>#N/A</v>
      </c>
      <c r="K72" s="69" t="e">
        <f>IF(K70&lt;$Q$41,0,IF(K136&lt;K112,1,0))</f>
        <v>#DIV/0!</v>
      </c>
      <c r="L72" s="69" t="e">
        <f t="shared" ref="L72:AI72" si="4">IF(L70&lt;$Q$41,0,IF(L136&lt;L112,1,0))</f>
        <v>#DIV/0!</v>
      </c>
      <c r="M72" s="69" t="e">
        <f t="shared" si="4"/>
        <v>#DIV/0!</v>
      </c>
      <c r="N72" s="69" t="e">
        <f t="shared" si="4"/>
        <v>#DIV/0!</v>
      </c>
      <c r="O72" s="69" t="e">
        <f t="shared" si="4"/>
        <v>#DIV/0!</v>
      </c>
      <c r="P72" s="69" t="e">
        <f t="shared" si="4"/>
        <v>#DIV/0!</v>
      </c>
      <c r="Q72" s="69" t="e">
        <f t="shared" si="4"/>
        <v>#DIV/0!</v>
      </c>
      <c r="R72" s="69" t="e">
        <f t="shared" si="4"/>
        <v>#DIV/0!</v>
      </c>
      <c r="S72" s="69" t="e">
        <f t="shared" si="4"/>
        <v>#DIV/0!</v>
      </c>
      <c r="T72" s="69" t="e">
        <f t="shared" si="4"/>
        <v>#DIV/0!</v>
      </c>
      <c r="U72" s="69" t="e">
        <f t="shared" si="4"/>
        <v>#DIV/0!</v>
      </c>
      <c r="V72" s="69" t="e">
        <f t="shared" si="4"/>
        <v>#DIV/0!</v>
      </c>
      <c r="W72" s="69" t="e">
        <f t="shared" si="4"/>
        <v>#DIV/0!</v>
      </c>
      <c r="X72" s="69" t="e">
        <f t="shared" si="4"/>
        <v>#DIV/0!</v>
      </c>
      <c r="Y72" s="69" t="e">
        <f t="shared" si="4"/>
        <v>#DIV/0!</v>
      </c>
      <c r="Z72" s="69" t="e">
        <f t="shared" si="4"/>
        <v>#DIV/0!</v>
      </c>
      <c r="AA72" s="69" t="e">
        <f t="shared" si="4"/>
        <v>#DIV/0!</v>
      </c>
      <c r="AB72" s="69" t="e">
        <f t="shared" si="4"/>
        <v>#DIV/0!</v>
      </c>
      <c r="AC72" s="69" t="e">
        <f t="shared" si="4"/>
        <v>#DIV/0!</v>
      </c>
      <c r="AD72" s="69" t="e">
        <f t="shared" si="4"/>
        <v>#DIV/0!</v>
      </c>
      <c r="AE72" s="69" t="e">
        <f t="shared" si="4"/>
        <v>#DIV/0!</v>
      </c>
      <c r="AF72" s="69" t="e">
        <f t="shared" si="4"/>
        <v>#DIV/0!</v>
      </c>
      <c r="AG72" s="69" t="e">
        <f t="shared" si="4"/>
        <v>#DIV/0!</v>
      </c>
      <c r="AH72" s="69" t="e">
        <f t="shared" si="4"/>
        <v>#DIV/0!</v>
      </c>
      <c r="AI72" s="69" t="e">
        <f t="shared" si="4"/>
        <v>#DIV/0!</v>
      </c>
      <c r="AJ72" s="69" t="e">
        <f>IF(AJ70&lt;$Q$41,0,IF(AJ136&lt;AJ112,1,0))</f>
        <v>#DIV/0!</v>
      </c>
    </row>
    <row r="73" spans="7:36" ht="15" hidden="1" customHeight="1" x14ac:dyDescent="0.2">
      <c r="G73" s="445" t="s">
        <v>592</v>
      </c>
      <c r="H73" s="741"/>
      <c r="I73" s="741"/>
      <c r="J73" s="742" t="e">
        <f>INDEX(K$70:AJ$70,MATCH(TRUE,INDEX(K73:AJ73&lt;&gt;0,),0))</f>
        <v>#N/A</v>
      </c>
      <c r="K73" s="741" t="e">
        <f>IF(K71&lt;$AC$41,0,IF(K160&lt;K112,1,0))</f>
        <v>#VALUE!</v>
      </c>
      <c r="L73" s="741" t="e">
        <f t="shared" ref="L73:AI73" si="5">IF(L71&lt;$AC$41,0,IF(L160&lt;L112,1,0))</f>
        <v>#VALUE!</v>
      </c>
      <c r="M73" s="741" t="e">
        <f t="shared" si="5"/>
        <v>#VALUE!</v>
      </c>
      <c r="N73" s="741" t="e">
        <f t="shared" si="5"/>
        <v>#VALUE!</v>
      </c>
      <c r="O73" s="741" t="e">
        <f t="shared" si="5"/>
        <v>#VALUE!</v>
      </c>
      <c r="P73" s="741" t="e">
        <f t="shared" si="5"/>
        <v>#VALUE!</v>
      </c>
      <c r="Q73" s="741" t="e">
        <f t="shared" si="5"/>
        <v>#VALUE!</v>
      </c>
      <c r="R73" s="741" t="e">
        <f t="shared" si="5"/>
        <v>#VALUE!</v>
      </c>
      <c r="S73" s="741" t="e">
        <f t="shared" si="5"/>
        <v>#VALUE!</v>
      </c>
      <c r="T73" s="741" t="e">
        <f t="shared" si="5"/>
        <v>#VALUE!</v>
      </c>
      <c r="U73" s="741" t="e">
        <f t="shared" si="5"/>
        <v>#VALUE!</v>
      </c>
      <c r="V73" s="741" t="e">
        <f t="shared" si="5"/>
        <v>#VALUE!</v>
      </c>
      <c r="W73" s="741" t="e">
        <f t="shared" si="5"/>
        <v>#VALUE!</v>
      </c>
      <c r="X73" s="741" t="e">
        <f t="shared" si="5"/>
        <v>#VALUE!</v>
      </c>
      <c r="Y73" s="741" t="e">
        <f t="shared" si="5"/>
        <v>#VALUE!</v>
      </c>
      <c r="Z73" s="741" t="e">
        <f t="shared" si="5"/>
        <v>#VALUE!</v>
      </c>
      <c r="AA73" s="741" t="e">
        <f t="shared" si="5"/>
        <v>#VALUE!</v>
      </c>
      <c r="AB73" s="741" t="e">
        <f t="shared" si="5"/>
        <v>#VALUE!</v>
      </c>
      <c r="AC73" s="741" t="e">
        <f t="shared" si="5"/>
        <v>#VALUE!</v>
      </c>
      <c r="AD73" s="741" t="e">
        <f t="shared" si="5"/>
        <v>#VALUE!</v>
      </c>
      <c r="AE73" s="741" t="e">
        <f t="shared" si="5"/>
        <v>#VALUE!</v>
      </c>
      <c r="AF73" s="741" t="e">
        <f t="shared" si="5"/>
        <v>#VALUE!</v>
      </c>
      <c r="AG73" s="741" t="e">
        <f t="shared" si="5"/>
        <v>#VALUE!</v>
      </c>
      <c r="AH73" s="741" t="e">
        <f t="shared" si="5"/>
        <v>#VALUE!</v>
      </c>
      <c r="AI73" s="741" t="e">
        <f t="shared" si="5"/>
        <v>#VALUE!</v>
      </c>
      <c r="AJ73" s="741" t="e">
        <f>IF(AJ71&lt;$AC$41,0,IF(AJ160&lt;AJ112,1,0))</f>
        <v>#VALUE!</v>
      </c>
    </row>
    <row r="74" spans="7:36" ht="15" hidden="1" customHeight="1" x14ac:dyDescent="0.2">
      <c r="G74" s="14"/>
      <c r="H74" s="69"/>
      <c r="I74" s="69"/>
      <c r="J74" s="196"/>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row>
    <row r="75" spans="7:36" ht="15" hidden="1" customHeight="1" x14ac:dyDescent="0.2">
      <c r="G75" s="14" t="s">
        <v>309</v>
      </c>
      <c r="H75" s="69"/>
      <c r="I75" s="69"/>
      <c r="J75" s="196"/>
      <c r="K75" s="394">
        <f>Data!$P$170</f>
        <v>0</v>
      </c>
      <c r="L75" s="103">
        <f>K75*(1+(Data!$P$196/100))</f>
        <v>0</v>
      </c>
      <c r="M75" s="103">
        <f>L75*(1+(Data!$P$196/100))</f>
        <v>0</v>
      </c>
      <c r="N75" s="103">
        <f>M75*(1+(Data!$P$196/100))</f>
        <v>0</v>
      </c>
      <c r="O75" s="103">
        <f>N75*(1+(Data!$P$196/100))</f>
        <v>0</v>
      </c>
      <c r="P75" s="103">
        <f>O75*(1+(Data!$P$196/100))</f>
        <v>0</v>
      </c>
      <c r="Q75" s="103">
        <f>P75*(1+(Data!$P$196/100))</f>
        <v>0</v>
      </c>
      <c r="R75" s="103">
        <f>Q75*(1+(Data!$P$196/100))</f>
        <v>0</v>
      </c>
      <c r="S75" s="103">
        <f>R75*(1+(Data!$P$196/100))</f>
        <v>0</v>
      </c>
      <c r="T75" s="103">
        <f>S75*(1+(Data!$P$196/100))</f>
        <v>0</v>
      </c>
      <c r="U75" s="103">
        <f>T75*(1+(Data!$P$196/100))</f>
        <v>0</v>
      </c>
      <c r="V75" s="103">
        <f>U75*(1+(Data!$P$196/100))</f>
        <v>0</v>
      </c>
      <c r="W75" s="103">
        <f>V75*(1+(Data!$P$196/100))</f>
        <v>0</v>
      </c>
      <c r="X75" s="103">
        <f>W75*(1+(Data!$P$196/100))</f>
        <v>0</v>
      </c>
      <c r="Y75" s="103">
        <f>X75*(1+(Data!$P$196/100))</f>
        <v>0</v>
      </c>
      <c r="Z75" s="103">
        <f>Y75*(1+(Data!$P$196/100))</f>
        <v>0</v>
      </c>
      <c r="AA75" s="103">
        <f>Z75*(1+(Data!$P$196/100))</f>
        <v>0</v>
      </c>
      <c r="AB75" s="103">
        <f>AA75*(1+(Data!$P$196/100))</f>
        <v>0</v>
      </c>
      <c r="AC75" s="103">
        <f>AB75*(1+(Data!$P$196/100))</f>
        <v>0</v>
      </c>
      <c r="AD75" s="103">
        <f>AC75*(1+(Data!$P$196/100))</f>
        <v>0</v>
      </c>
      <c r="AE75" s="103">
        <f>AD75*(1+(Data!$P$196/100))</f>
        <v>0</v>
      </c>
      <c r="AF75" s="103">
        <f>AE75*(1+(Data!$P$196/100))</f>
        <v>0</v>
      </c>
      <c r="AG75" s="103">
        <f>AF75*(1+(Data!$P$196/100))</f>
        <v>0</v>
      </c>
      <c r="AH75" s="103">
        <f>AG75*(1+(Data!$P$196/100))</f>
        <v>0</v>
      </c>
      <c r="AI75" s="103">
        <f>AH75*(1+(Data!$P$196/100))</f>
        <v>0</v>
      </c>
      <c r="AJ75" s="103">
        <f>AI75*(1+(Data!$P$196/100))</f>
        <v>0</v>
      </c>
    </row>
    <row r="76" spans="7:36" ht="15" hidden="1" customHeight="1" x14ac:dyDescent="0.2">
      <c r="G76" s="14" t="s">
        <v>284</v>
      </c>
      <c r="H76" s="14"/>
      <c r="I76" s="14"/>
      <c r="J76" s="14"/>
      <c r="K76" s="103">
        <f>Data!$P$171</f>
        <v>0.184</v>
      </c>
      <c r="L76" s="103">
        <f>K76*(1+(Data!$P$197/100))</f>
        <v>0.184</v>
      </c>
      <c r="M76" s="103">
        <f>L76*(1+(Data!$P$197/100))</f>
        <v>0.184</v>
      </c>
      <c r="N76" s="103">
        <f>M76*(1+(Data!$P$197/100))</f>
        <v>0.184</v>
      </c>
      <c r="O76" s="103">
        <f>N76*(1+(Data!$P$197/100))</f>
        <v>0.184</v>
      </c>
      <c r="P76" s="103">
        <f>O76*(1+(Data!$P$197/100))</f>
        <v>0.184</v>
      </c>
      <c r="Q76" s="103">
        <f>P76*(1+(Data!$P$197/100))</f>
        <v>0.184</v>
      </c>
      <c r="R76" s="103">
        <f>Q76*(1+(Data!$P$197/100))</f>
        <v>0.184</v>
      </c>
      <c r="S76" s="103">
        <f>R76*(1+(Data!$P$197/100))</f>
        <v>0.184</v>
      </c>
      <c r="T76" s="103">
        <f>S76*(1+(Data!$P$197/100))</f>
        <v>0.184</v>
      </c>
      <c r="U76" s="103">
        <f>T76*(1+(Data!$P$197/100))</f>
        <v>0.184</v>
      </c>
      <c r="V76" s="103">
        <f>U76*(1+(Data!$P$197/100))</f>
        <v>0.184</v>
      </c>
      <c r="W76" s="103">
        <f>V76*(1+(Data!$P$197/100))</f>
        <v>0.184</v>
      </c>
      <c r="X76" s="103">
        <f>W76*(1+(Data!$P$197/100))</f>
        <v>0.184</v>
      </c>
      <c r="Y76" s="103">
        <f>X76*(1+(Data!$P$197/100))</f>
        <v>0.184</v>
      </c>
      <c r="Z76" s="103">
        <f>Y76*(1+(Data!$P$197/100))</f>
        <v>0.184</v>
      </c>
      <c r="AA76" s="103">
        <f>Z76*(1+(Data!$P$197/100))</f>
        <v>0.184</v>
      </c>
      <c r="AB76" s="103">
        <f>AA76*(1+(Data!$P$197/100))</f>
        <v>0.184</v>
      </c>
      <c r="AC76" s="103">
        <f>AB76*(1+(Data!$P$197/100))</f>
        <v>0.184</v>
      </c>
      <c r="AD76" s="103">
        <f>AC76*(1+(Data!$P$197/100))</f>
        <v>0.184</v>
      </c>
      <c r="AE76" s="103">
        <f>AD76*(1+(Data!$P$197/100))</f>
        <v>0.184</v>
      </c>
      <c r="AF76" s="103">
        <f>AE76*(1+(Data!$P$197/100))</f>
        <v>0.184</v>
      </c>
      <c r="AG76" s="103">
        <f>AF76*(1+(Data!$P$197/100))</f>
        <v>0.184</v>
      </c>
      <c r="AH76" s="103">
        <f>AG76*(1+(Data!$P$197/100))</f>
        <v>0.184</v>
      </c>
      <c r="AI76" s="103">
        <f>AH76*(1+(Data!$P$197/100))</f>
        <v>0.184</v>
      </c>
      <c r="AJ76" s="103">
        <f>AI76*(1+(Data!$P$197/100))</f>
        <v>0.184</v>
      </c>
    </row>
    <row r="77" spans="7:36" ht="15" hidden="1" customHeight="1" x14ac:dyDescent="0.2">
      <c r="G77" s="14" t="s">
        <v>259</v>
      </c>
      <c r="H77" s="14"/>
      <c r="I77" s="14"/>
      <c r="J77" s="14"/>
      <c r="K77" s="103">
        <f>Data!$P$172</f>
        <v>0.17072999999999999</v>
      </c>
      <c r="L77" s="103">
        <f>K77*(1+(Data!$P$198/100))</f>
        <v>0.17072999999999999</v>
      </c>
      <c r="M77" s="103">
        <f>L77*(1+(Data!$P$198/100))</f>
        <v>0.17072999999999999</v>
      </c>
      <c r="N77" s="103">
        <f>M77*(1+(Data!$P$198/100))</f>
        <v>0.17072999999999999</v>
      </c>
      <c r="O77" s="103">
        <f>N77*(1+(Data!$P$198/100))</f>
        <v>0.17072999999999999</v>
      </c>
      <c r="P77" s="103">
        <f>O77*(1+(Data!$P$198/100))</f>
        <v>0.17072999999999999</v>
      </c>
      <c r="Q77" s="103">
        <f>P77*(1+(Data!$P$198/100))</f>
        <v>0.17072999999999999</v>
      </c>
      <c r="R77" s="103">
        <f>Q77*(1+(Data!$P$198/100))</f>
        <v>0.17072999999999999</v>
      </c>
      <c r="S77" s="103">
        <f>R77*(1+(Data!$P$198/100))</f>
        <v>0.17072999999999999</v>
      </c>
      <c r="T77" s="103">
        <f>S77*(1+(Data!$P$198/100))</f>
        <v>0.17072999999999999</v>
      </c>
      <c r="U77" s="103">
        <f>T77*(1+(Data!$P$198/100))</f>
        <v>0.17072999999999999</v>
      </c>
      <c r="V77" s="103">
        <f>U77*(1+(Data!$P$198/100))</f>
        <v>0.17072999999999999</v>
      </c>
      <c r="W77" s="103">
        <f>V77*(1+(Data!$P$198/100))</f>
        <v>0.17072999999999999</v>
      </c>
      <c r="X77" s="103">
        <f>W77*(1+(Data!$P$198/100))</f>
        <v>0.17072999999999999</v>
      </c>
      <c r="Y77" s="103">
        <f>X77*(1+(Data!$P$198/100))</f>
        <v>0.17072999999999999</v>
      </c>
      <c r="Z77" s="103">
        <f>Y77*(1+(Data!$P$198/100))</f>
        <v>0.17072999999999999</v>
      </c>
      <c r="AA77" s="103">
        <f>Z77*(1+(Data!$P$198/100))</f>
        <v>0.17072999999999999</v>
      </c>
      <c r="AB77" s="103">
        <f>AA77*(1+(Data!$P$198/100))</f>
        <v>0.17072999999999999</v>
      </c>
      <c r="AC77" s="103">
        <f>AB77*(1+(Data!$P$198/100))</f>
        <v>0.17072999999999999</v>
      </c>
      <c r="AD77" s="103">
        <f>AC77*(1+(Data!$P$198/100))</f>
        <v>0.17072999999999999</v>
      </c>
      <c r="AE77" s="103">
        <f>AD77*(1+(Data!$P$198/100))</f>
        <v>0.17072999999999999</v>
      </c>
      <c r="AF77" s="103">
        <f>AE77*(1+(Data!$P$198/100))</f>
        <v>0.17072999999999999</v>
      </c>
      <c r="AG77" s="103">
        <f>AF77*(1+(Data!$P$198/100))</f>
        <v>0.17072999999999999</v>
      </c>
      <c r="AH77" s="103">
        <f>AG77*(1+(Data!$P$198/100))</f>
        <v>0.17072999999999999</v>
      </c>
      <c r="AI77" s="103">
        <f>AH77*(1+(Data!$P$198/100))</f>
        <v>0.17072999999999999</v>
      </c>
      <c r="AJ77" s="103">
        <f>AI77*(1+(Data!$P$198/100))</f>
        <v>0.17072999999999999</v>
      </c>
    </row>
    <row r="78" spans="7:36" ht="15" hidden="1" customHeight="1" x14ac:dyDescent="0.2">
      <c r="G78" s="14" t="s">
        <v>320</v>
      </c>
      <c r="H78" s="14"/>
      <c r="I78" s="14"/>
      <c r="J78" s="14"/>
      <c r="K78" s="103">
        <f>Data!$P$173</f>
        <v>0.17072999999999999</v>
      </c>
      <c r="L78" s="103">
        <f>K78*(1+(Data!$P$199/100))</f>
        <v>0.17072999999999999</v>
      </c>
      <c r="M78" s="103">
        <f>L78*(1+(Data!$P$199/100))</f>
        <v>0.17072999999999999</v>
      </c>
      <c r="N78" s="103">
        <f>M78*(1+(Data!$P$199/100))</f>
        <v>0.17072999999999999</v>
      </c>
      <c r="O78" s="103">
        <f>N78*(1+(Data!$P$199/100))</f>
        <v>0.17072999999999999</v>
      </c>
      <c r="P78" s="103">
        <f>O78*(1+(Data!$P$199/100))</f>
        <v>0.17072999999999999</v>
      </c>
      <c r="Q78" s="103">
        <f>P78*(1+(Data!$P$199/100))</f>
        <v>0.17072999999999999</v>
      </c>
      <c r="R78" s="103">
        <f>Q78*(1+(Data!$P$199/100))</f>
        <v>0.17072999999999999</v>
      </c>
      <c r="S78" s="103">
        <f>R78*(1+(Data!$P$199/100))</f>
        <v>0.17072999999999999</v>
      </c>
      <c r="T78" s="103">
        <f>S78*(1+(Data!$P$199/100))</f>
        <v>0.17072999999999999</v>
      </c>
      <c r="U78" s="103">
        <f>T78*(1+(Data!$P$199/100))</f>
        <v>0.17072999999999999</v>
      </c>
      <c r="V78" s="103">
        <f>U78*(1+(Data!$P$199/100))</f>
        <v>0.17072999999999999</v>
      </c>
      <c r="W78" s="103">
        <f>V78*(1+(Data!$P$199/100))</f>
        <v>0.17072999999999999</v>
      </c>
      <c r="X78" s="103">
        <f>W78*(1+(Data!$P$199/100))</f>
        <v>0.17072999999999999</v>
      </c>
      <c r="Y78" s="103">
        <f>X78*(1+(Data!$P$199/100))</f>
        <v>0.17072999999999999</v>
      </c>
      <c r="Z78" s="103">
        <f>Y78*(1+(Data!$P$199/100))</f>
        <v>0.17072999999999999</v>
      </c>
      <c r="AA78" s="103">
        <f>Z78*(1+(Data!$P$199/100))</f>
        <v>0.17072999999999999</v>
      </c>
      <c r="AB78" s="103">
        <f>AA78*(1+(Data!$P$199/100))</f>
        <v>0.17072999999999999</v>
      </c>
      <c r="AC78" s="103">
        <f>AB78*(1+(Data!$P$199/100))</f>
        <v>0.17072999999999999</v>
      </c>
      <c r="AD78" s="103">
        <f>AC78*(1+(Data!$P$199/100))</f>
        <v>0.17072999999999999</v>
      </c>
      <c r="AE78" s="103">
        <f>AD78*(1+(Data!$P$199/100))</f>
        <v>0.17072999999999999</v>
      </c>
      <c r="AF78" s="103">
        <f>AE78*(1+(Data!$P$199/100))</f>
        <v>0.17072999999999999</v>
      </c>
      <c r="AG78" s="103">
        <f>AF78*(1+(Data!$P$199/100))</f>
        <v>0.17072999999999999</v>
      </c>
      <c r="AH78" s="103">
        <f>AG78*(1+(Data!$P$199/100))</f>
        <v>0.17072999999999999</v>
      </c>
      <c r="AI78" s="103">
        <f>AH78*(1+(Data!$P$199/100))</f>
        <v>0.17072999999999999</v>
      </c>
      <c r="AJ78" s="103">
        <f>AI78*(1+(Data!$P$199/100))</f>
        <v>0.17072999999999999</v>
      </c>
    </row>
    <row r="79" spans="7:36" ht="15" hidden="1" customHeight="1" x14ac:dyDescent="0.2">
      <c r="G79" s="14" t="s">
        <v>252</v>
      </c>
      <c r="H79" s="14"/>
      <c r="I79" s="14"/>
      <c r="J79" s="14"/>
      <c r="K79" s="103">
        <f>Data!$P$174</f>
        <v>0.19338</v>
      </c>
      <c r="L79" s="103">
        <f>K79*(1+(Data!$P$200/100))</f>
        <v>0.18757859999999998</v>
      </c>
      <c r="M79" s="103">
        <f>L79*(1+(Data!$P$200/100))</f>
        <v>0.18195124199999999</v>
      </c>
      <c r="N79" s="103">
        <f>M79*(1+(Data!$P$200/100))</f>
        <v>0.17649270473999998</v>
      </c>
      <c r="O79" s="103">
        <f>N79*(1+(Data!$P$200/100))</f>
        <v>0.17119792359779998</v>
      </c>
      <c r="P79" s="103">
        <f>O79*(1+(Data!$P$200/100))</f>
        <v>0.16606198588986598</v>
      </c>
      <c r="Q79" s="103">
        <f>P79*(1+(Data!$P$200/100))</f>
        <v>0.16108012631317001</v>
      </c>
      <c r="R79" s="103">
        <f>Q79*(1+(Data!$P$200/100))</f>
        <v>0.15624772252377489</v>
      </c>
      <c r="S79" s="103">
        <f>R79*(1+(Data!$P$200/100))</f>
        <v>0.15156029084806164</v>
      </c>
      <c r="T79" s="103">
        <f>S79*(1+(Data!$P$200/100))</f>
        <v>0.14701348212261978</v>
      </c>
      <c r="U79" s="103">
        <f>T79*(1+(Data!$P$200/100))</f>
        <v>0.14260307765894117</v>
      </c>
      <c r="V79" s="103">
        <f>U79*(1+(Data!$P$200/100))</f>
        <v>0.13832498532917292</v>
      </c>
      <c r="W79" s="103">
        <f>V79*(1+(Data!$P$200/100))</f>
        <v>0.13417523576929774</v>
      </c>
      <c r="X79" s="103">
        <f>W79*(1+(Data!$P$200/100))</f>
        <v>0.1301499786962188</v>
      </c>
      <c r="Y79" s="103">
        <f>X79*(1+(Data!$P$200/100))</f>
        <v>0.12624547933533223</v>
      </c>
      <c r="Z79" s="103">
        <f>Y79*(1+(Data!$P$200/100))</f>
        <v>0.12245811495527226</v>
      </c>
      <c r="AA79" s="103">
        <f>Z79*(1+(Data!$P$200/100))</f>
        <v>0.11878437150661408</v>
      </c>
      <c r="AB79" s="103">
        <f>AA79*(1+(Data!$P$200/100))</f>
        <v>0.11522084036141565</v>
      </c>
      <c r="AC79" s="103">
        <f>AB79*(1+(Data!$P$200/100))</f>
        <v>0.11176421515057318</v>
      </c>
      <c r="AD79" s="103">
        <f>AC79*(1+(Data!$P$200/100))</f>
        <v>0.10841128869605599</v>
      </c>
      <c r="AE79" s="103">
        <f>AD79*(1+(Data!$P$200/100))</f>
        <v>0.10515895003517431</v>
      </c>
      <c r="AF79" s="103">
        <f>AE79*(1+(Data!$P$200/100))</f>
        <v>0.10200418153411908</v>
      </c>
      <c r="AG79" s="103">
        <f>AF79*(1+(Data!$P$200/100))</f>
        <v>9.8944056088095506E-2</v>
      </c>
      <c r="AH79" s="103">
        <f>AG79*(1+(Data!$P$200/100))</f>
        <v>9.5975734405452637E-2</v>
      </c>
      <c r="AI79" s="103">
        <f>AH79*(1+(Data!$P$200/100))</f>
        <v>9.3096462373289057E-2</v>
      </c>
      <c r="AJ79" s="103">
        <f>AI79*(1+(Data!$P$200/100))</f>
        <v>9.0303568502090384E-2</v>
      </c>
    </row>
    <row r="80" spans="7:36" ht="15" hidden="1" customHeight="1" x14ac:dyDescent="0.2">
      <c r="G80" s="14"/>
      <c r="H80" s="69"/>
      <c r="I80" s="69"/>
      <c r="J80" s="196"/>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row>
    <row r="81" spans="7:36" ht="15" hidden="1" customHeight="1" x14ac:dyDescent="0.2">
      <c r="G81" s="14" t="s">
        <v>309</v>
      </c>
      <c r="H81" s="69"/>
      <c r="I81" s="69"/>
      <c r="J81" s="196"/>
      <c r="K81" s="394">
        <f>Data!$P$177</f>
        <v>0</v>
      </c>
      <c r="L81" s="103">
        <f>K81*(1+(Data!$P$188/100))</f>
        <v>0</v>
      </c>
      <c r="M81" s="103">
        <f>L81*(1+(Data!$P$188/100))</f>
        <v>0</v>
      </c>
      <c r="N81" s="103">
        <f>M81*(1+(Data!$P$188/100))</f>
        <v>0</v>
      </c>
      <c r="O81" s="103">
        <f>N81*(1+(Data!$P$188/100))</f>
        <v>0</v>
      </c>
      <c r="P81" s="103">
        <f>O81*(1+(Data!$P$188/100))</f>
        <v>0</v>
      </c>
      <c r="Q81" s="103">
        <f>P81*(1+(Data!$P$188/100))</f>
        <v>0</v>
      </c>
      <c r="R81" s="103">
        <f>Q81*(1+(Data!$P$188/100))</f>
        <v>0</v>
      </c>
      <c r="S81" s="103">
        <f>R81*(1+(Data!$P$188/100))</f>
        <v>0</v>
      </c>
      <c r="T81" s="103">
        <f>S81*(1+(Data!$P$188/100))</f>
        <v>0</v>
      </c>
      <c r="U81" s="103">
        <f>T81*(1+(Data!$P$188/100))</f>
        <v>0</v>
      </c>
      <c r="V81" s="103">
        <f>U81*(1+(Data!$P$188/100))</f>
        <v>0</v>
      </c>
      <c r="W81" s="103">
        <f>V81*(1+(Data!$P$188/100))</f>
        <v>0</v>
      </c>
      <c r="X81" s="103">
        <f>W81*(1+(Data!$P$188/100))</f>
        <v>0</v>
      </c>
      <c r="Y81" s="103">
        <f>X81*(1+(Data!$P$188/100))</f>
        <v>0</v>
      </c>
      <c r="Z81" s="103">
        <f>Y81*(1+(Data!$P$188/100))</f>
        <v>0</v>
      </c>
      <c r="AA81" s="103">
        <f>Z81*(1+(Data!$P$188/100))</f>
        <v>0</v>
      </c>
      <c r="AB81" s="103">
        <f>AA81*(1+(Data!$P$188/100))</f>
        <v>0</v>
      </c>
      <c r="AC81" s="103">
        <f>AB81*(1+(Data!$P$188/100))</f>
        <v>0</v>
      </c>
      <c r="AD81" s="103">
        <f>AC81*(1+(Data!$P$188/100))</f>
        <v>0</v>
      </c>
      <c r="AE81" s="103">
        <f>AD81*(1+(Data!$P$188/100))</f>
        <v>0</v>
      </c>
      <c r="AF81" s="103">
        <f>AE81*(1+(Data!$P$188/100))</f>
        <v>0</v>
      </c>
      <c r="AG81" s="103">
        <f>AF81*(1+(Data!$P$188/100))</f>
        <v>0</v>
      </c>
      <c r="AH81" s="103">
        <f>AG81*(1+(Data!$P$188/100))</f>
        <v>0</v>
      </c>
      <c r="AI81" s="103">
        <f>AH81*(1+(Data!$P$188/100))</f>
        <v>0</v>
      </c>
      <c r="AJ81" s="103">
        <f>AI81*(1+(Data!$P$188/100))</f>
        <v>0</v>
      </c>
    </row>
    <row r="82" spans="7:36" ht="15" hidden="1" customHeight="1" x14ac:dyDescent="0.2">
      <c r="G82" s="14" t="s">
        <v>284</v>
      </c>
      <c r="H82" s="69"/>
      <c r="I82" s="69"/>
      <c r="J82" s="196"/>
      <c r="K82" s="392">
        <f>Data!$P$178</f>
        <v>0.09</v>
      </c>
      <c r="L82" s="103">
        <f>K82*(1+(Data!$P$189/100))</f>
        <v>9.5399999999999999E-2</v>
      </c>
      <c r="M82" s="103">
        <f>L82*(1+(Data!$P$189/100))</f>
        <v>0.10112400000000001</v>
      </c>
      <c r="N82" s="103">
        <f>M82*(1+(Data!$P$189/100))</f>
        <v>0.10719144000000001</v>
      </c>
      <c r="O82" s="103">
        <f>N82*(1+(Data!$P$189/100))</f>
        <v>0.11362292640000002</v>
      </c>
      <c r="P82" s="103">
        <f>O82*(1+(Data!$P$189/100))</f>
        <v>0.12044030198400002</v>
      </c>
      <c r="Q82" s="103">
        <f>P82*(1+(Data!$P$189/100))</f>
        <v>0.12766672010304003</v>
      </c>
      <c r="R82" s="103">
        <f>Q82*(1+(Data!$P$189/100))</f>
        <v>0.13532672330922244</v>
      </c>
      <c r="S82" s="103">
        <f>R82*(1+(Data!$P$189/100))</f>
        <v>0.1434463267077758</v>
      </c>
      <c r="T82" s="103">
        <f>S82*(1+(Data!$P$189/100))</f>
        <v>0.15205310631024235</v>
      </c>
      <c r="U82" s="103">
        <f>T82*(1+(Data!$P$189/100))</f>
        <v>0.16117629268885691</v>
      </c>
      <c r="V82" s="103">
        <f>U82*(1+(Data!$P$189/100))</f>
        <v>0.17084687025018833</v>
      </c>
      <c r="W82" s="103">
        <f>V82*(1+(Data!$P$189/100))</f>
        <v>0.18109768246519964</v>
      </c>
      <c r="X82" s="103">
        <f>W82*(1+(Data!$P$189/100))</f>
        <v>0.19196354341311161</v>
      </c>
      <c r="Y82" s="103">
        <f>X82*(1+(Data!$P$189/100))</f>
        <v>0.20348135601789832</v>
      </c>
      <c r="Z82" s="103">
        <f>Y82*(1+(Data!$P$189/100))</f>
        <v>0.21569023737897222</v>
      </c>
      <c r="AA82" s="103">
        <f>Z82*(1+(Data!$P$189/100))</f>
        <v>0.22863165162171056</v>
      </c>
      <c r="AB82" s="103">
        <f>AA82*(1+(Data!$P$189/100))</f>
        <v>0.24234955071901321</v>
      </c>
      <c r="AC82" s="103">
        <f>AB82*(1+(Data!$P$189/100))</f>
        <v>0.25689052376215399</v>
      </c>
      <c r="AD82" s="103">
        <f>AC82*(1+(Data!$P$189/100))</f>
        <v>0.27230395518788325</v>
      </c>
      <c r="AE82" s="103">
        <f>AD82*(1+(Data!$P$189/100))</f>
        <v>0.28864219249915624</v>
      </c>
      <c r="AF82" s="103">
        <f>AE82*(1+(Data!$P$189/100))</f>
        <v>0.30596072404910563</v>
      </c>
      <c r="AG82" s="103">
        <f>AF82*(1+(Data!$P$189/100))</f>
        <v>0.32431836749205201</v>
      </c>
      <c r="AH82" s="103">
        <f>AG82*(1+(Data!$P$189/100))</f>
        <v>0.34377746954157512</v>
      </c>
      <c r="AI82" s="103">
        <f>AH82*(1+(Data!$P$189/100))</f>
        <v>0.36440411771406966</v>
      </c>
      <c r="AJ82" s="103">
        <f>AI82*(1+(Data!$P$189/100))</f>
        <v>0.38626836477691384</v>
      </c>
    </row>
    <row r="83" spans="7:36" ht="15" hidden="1" customHeight="1" x14ac:dyDescent="0.2">
      <c r="G83" s="14" t="s">
        <v>259</v>
      </c>
      <c r="H83" s="69"/>
      <c r="I83" s="69"/>
      <c r="J83" s="196"/>
      <c r="K83" s="392">
        <f>Data!$P$179</f>
        <v>0.09</v>
      </c>
      <c r="L83" s="103">
        <f>K83*(1+(Data!$P$190/100))</f>
        <v>9.5399999999999999E-2</v>
      </c>
      <c r="M83" s="103">
        <f>L83*(1+(Data!$P$190/100))</f>
        <v>0.10112400000000001</v>
      </c>
      <c r="N83" s="103">
        <f>M83*(1+(Data!$P$190/100))</f>
        <v>0.10719144000000001</v>
      </c>
      <c r="O83" s="103">
        <f>N83*(1+(Data!$P$190/100))</f>
        <v>0.11362292640000002</v>
      </c>
      <c r="P83" s="103">
        <f>O83*(1+(Data!$P$190/100))</f>
        <v>0.12044030198400002</v>
      </c>
      <c r="Q83" s="103">
        <f>P83*(1+(Data!$P$190/100))</f>
        <v>0.12766672010304003</v>
      </c>
      <c r="R83" s="103">
        <f>Q83*(1+(Data!$P$190/100))</f>
        <v>0.13532672330922244</v>
      </c>
      <c r="S83" s="103">
        <f>R83*(1+(Data!$P$190/100))</f>
        <v>0.1434463267077758</v>
      </c>
      <c r="T83" s="103">
        <f>S83*(1+(Data!$P$190/100))</f>
        <v>0.15205310631024235</v>
      </c>
      <c r="U83" s="103">
        <f>T83*(1+(Data!$P$190/100))</f>
        <v>0.16117629268885691</v>
      </c>
      <c r="V83" s="103">
        <f>U83*(1+(Data!$P$190/100))</f>
        <v>0.17084687025018833</v>
      </c>
      <c r="W83" s="103">
        <f>V83*(1+(Data!$P$190/100))</f>
        <v>0.18109768246519964</v>
      </c>
      <c r="X83" s="103">
        <f>W83*(1+(Data!$P$190/100))</f>
        <v>0.19196354341311161</v>
      </c>
      <c r="Y83" s="103">
        <f>X83*(1+(Data!$P$190/100))</f>
        <v>0.20348135601789832</v>
      </c>
      <c r="Z83" s="103">
        <f>Y83*(1+(Data!$P$190/100))</f>
        <v>0.21569023737897222</v>
      </c>
      <c r="AA83" s="103">
        <f>Z83*(1+(Data!$P$190/100))</f>
        <v>0.22863165162171056</v>
      </c>
      <c r="AB83" s="103">
        <f>AA83*(1+(Data!$P$190/100))</f>
        <v>0.24234955071901321</v>
      </c>
      <c r="AC83" s="103">
        <f>AB83*(1+(Data!$P$190/100))</f>
        <v>0.25689052376215399</v>
      </c>
      <c r="AD83" s="103">
        <f>AC83*(1+(Data!$P$190/100))</f>
        <v>0.27230395518788325</v>
      </c>
      <c r="AE83" s="103">
        <f>AD83*(1+(Data!$P$190/100))</f>
        <v>0.28864219249915624</v>
      </c>
      <c r="AF83" s="103">
        <f>AE83*(1+(Data!$P$190/100))</f>
        <v>0.30596072404910563</v>
      </c>
      <c r="AG83" s="103">
        <f>AF83*(1+(Data!$P$190/100))</f>
        <v>0.32431836749205201</v>
      </c>
      <c r="AH83" s="103">
        <f>AG83*(1+(Data!$P$190/100))</f>
        <v>0.34377746954157512</v>
      </c>
      <c r="AI83" s="103">
        <f>AH83*(1+(Data!$P$190/100))</f>
        <v>0.36440411771406966</v>
      </c>
      <c r="AJ83" s="103">
        <f>AI83*(1+(Data!$P$190/100))</f>
        <v>0.38626836477691384</v>
      </c>
    </row>
    <row r="84" spans="7:36" ht="15" hidden="1" customHeight="1" x14ac:dyDescent="0.2">
      <c r="G84" s="14" t="s">
        <v>320</v>
      </c>
      <c r="H84" s="69"/>
      <c r="I84" s="69"/>
      <c r="J84" s="196"/>
      <c r="K84" s="392">
        <f>Data!$P$180</f>
        <v>0.16463429999999998</v>
      </c>
      <c r="L84" s="103">
        <f>K84*(1+(Data!$P$191/100))</f>
        <v>0.17451235799999998</v>
      </c>
      <c r="M84" s="103">
        <f>L84*(1+(Data!$P$191/100))</f>
        <v>0.18498309948</v>
      </c>
      <c r="N84" s="103">
        <f>M84*(1+(Data!$P$191/100))</f>
        <v>0.19608208544880001</v>
      </c>
      <c r="O84" s="103">
        <f>N84*(1+(Data!$P$191/100))</f>
        <v>0.20784701057572802</v>
      </c>
      <c r="P84" s="103">
        <f>O84*(1+(Data!$P$191/100))</f>
        <v>0.22031783121027171</v>
      </c>
      <c r="Q84" s="103">
        <f>P84*(1+(Data!$P$191/100))</f>
        <v>0.23353690108288802</v>
      </c>
      <c r="R84" s="103">
        <f>Q84*(1+(Data!$P$191/100))</f>
        <v>0.24754911514786132</v>
      </c>
      <c r="S84" s="103">
        <f>R84*(1+(Data!$P$191/100))</f>
        <v>0.262402062056733</v>
      </c>
      <c r="T84" s="103">
        <f>S84*(1+(Data!$P$191/100))</f>
        <v>0.278146185780137</v>
      </c>
      <c r="U84" s="103">
        <f>T84*(1+(Data!$P$191/100))</f>
        <v>0.29483495692694522</v>
      </c>
      <c r="V84" s="103">
        <f>U84*(1+(Data!$P$191/100))</f>
        <v>0.31252505434256195</v>
      </c>
      <c r="W84" s="103">
        <f>V84*(1+(Data!$P$191/100))</f>
        <v>0.3312765576031157</v>
      </c>
      <c r="X84" s="103">
        <f>W84*(1+(Data!$P$191/100))</f>
        <v>0.35115315105930267</v>
      </c>
      <c r="Y84" s="103">
        <f>X84*(1+(Data!$P$191/100))</f>
        <v>0.37222234012286087</v>
      </c>
      <c r="Z84" s="103">
        <f>Y84*(1+(Data!$P$191/100))</f>
        <v>0.39455568053023254</v>
      </c>
      <c r="AA84" s="103">
        <f>Z84*(1+(Data!$P$191/100))</f>
        <v>0.41822902136204654</v>
      </c>
      <c r="AB84" s="103">
        <f>AA84*(1+(Data!$P$191/100))</f>
        <v>0.44332276264376935</v>
      </c>
      <c r="AC84" s="103">
        <f>AB84*(1+(Data!$P$191/100))</f>
        <v>0.46992212840239556</v>
      </c>
      <c r="AD84" s="103">
        <f>AC84*(1+(Data!$P$191/100))</f>
        <v>0.49811745610653929</v>
      </c>
      <c r="AE84" s="103">
        <f>AD84*(1+(Data!$P$191/100))</f>
        <v>0.52800450347293171</v>
      </c>
      <c r="AF84" s="103">
        <f>AE84*(1+(Data!$P$191/100))</f>
        <v>0.55968477368130765</v>
      </c>
      <c r="AG84" s="103">
        <f>AF84*(1+(Data!$P$191/100))</f>
        <v>0.59326586010218618</v>
      </c>
      <c r="AH84" s="103">
        <f>AG84*(1+(Data!$P$191/100))</f>
        <v>0.62886181170831734</v>
      </c>
      <c r="AI84" s="103">
        <f>AH84*(1+(Data!$P$191/100))</f>
        <v>0.66659352041081643</v>
      </c>
      <c r="AJ84" s="103">
        <f>AI84*(1+(Data!$P$191/100))</f>
        <v>0.70658913163546544</v>
      </c>
    </row>
    <row r="85" spans="7:36" ht="15" hidden="1" customHeight="1" x14ac:dyDescent="0.2">
      <c r="G85" s="14" t="s">
        <v>252</v>
      </c>
      <c r="H85" s="69"/>
      <c r="I85" s="69"/>
      <c r="J85" s="196"/>
      <c r="K85" s="392">
        <f>Data!$P$181</f>
        <v>0.31</v>
      </c>
      <c r="L85" s="103">
        <f>K85*(1+(Data!$P$192/100))</f>
        <v>0.34100000000000003</v>
      </c>
      <c r="M85" s="103">
        <f>L85*(1+(Data!$P$192/100))</f>
        <v>0.37510000000000004</v>
      </c>
      <c r="N85" s="103">
        <f>M85*(1+(Data!$P$192/100))</f>
        <v>0.41261000000000009</v>
      </c>
      <c r="O85" s="103">
        <f>N85*(1+(Data!$P$192/100))</f>
        <v>0.45387100000000014</v>
      </c>
      <c r="P85" s="103">
        <f>O85*(1+(Data!$P$192/100))</f>
        <v>0.4992581000000002</v>
      </c>
      <c r="Q85" s="103">
        <f>P85*(1+(Data!$P$192/100))</f>
        <v>0.54918391000000022</v>
      </c>
      <c r="R85" s="103">
        <f>Q85*(1+(Data!$P$192/100))</f>
        <v>0.60410230100000029</v>
      </c>
      <c r="S85" s="103">
        <f>R85*(1+(Data!$P$192/100))</f>
        <v>0.66451253110000041</v>
      </c>
      <c r="T85" s="103">
        <f>S85*(1+(Data!$P$192/100))</f>
        <v>0.73096378421000052</v>
      </c>
      <c r="U85" s="103">
        <f>T85*(1+(Data!$P$192/100))</f>
        <v>0.80406016263100066</v>
      </c>
      <c r="V85" s="103">
        <f>U85*(1+(Data!$P$192/100))</f>
        <v>0.88446617889410084</v>
      </c>
      <c r="W85" s="103">
        <f>V85*(1+(Data!$P$192/100))</f>
        <v>0.97291279678351106</v>
      </c>
      <c r="X85" s="103">
        <f>W85*(1+(Data!$P$192/100))</f>
        <v>1.0702040764618623</v>
      </c>
      <c r="Y85" s="103">
        <f>X85*(1+(Data!$P$192/100))</f>
        <v>1.1772244841080486</v>
      </c>
      <c r="Z85" s="103">
        <f>Y85*(1+(Data!$P$192/100))</f>
        <v>1.2949469325188536</v>
      </c>
      <c r="AA85" s="103">
        <f>Z85*(1+(Data!$P$192/100))</f>
        <v>1.4244416257707391</v>
      </c>
      <c r="AB85" s="103">
        <f>AA85*(1+(Data!$P$192/100))</f>
        <v>1.5668857883478131</v>
      </c>
      <c r="AC85" s="103">
        <f>AB85*(1+(Data!$P$192/100))</f>
        <v>1.7235743671825945</v>
      </c>
      <c r="AD85" s="103">
        <f>AC85*(1+(Data!$P$192/100))</f>
        <v>1.8959318039008541</v>
      </c>
      <c r="AE85" s="103">
        <f>AD85*(1+(Data!$P$192/100))</f>
        <v>2.0855249842909398</v>
      </c>
      <c r="AF85" s="103">
        <f>AE85*(1+(Data!$P$192/100))</f>
        <v>2.2940774827200339</v>
      </c>
      <c r="AG85" s="103">
        <f>AF85*(1+(Data!$P$192/100))</f>
        <v>2.5234852309920375</v>
      </c>
      <c r="AH85" s="103">
        <f>AG85*(1+(Data!$P$192/100))</f>
        <v>2.7758337540912414</v>
      </c>
      <c r="AI85" s="103">
        <f>AH85*(1+(Data!$P$192/100))</f>
        <v>3.053417129500366</v>
      </c>
      <c r="AJ85" s="103">
        <f>AI85*(1+(Data!$P$192/100))</f>
        <v>3.3587588424504031</v>
      </c>
    </row>
    <row r="86" spans="7:36" ht="15" hidden="1" customHeight="1" x14ac:dyDescent="0.2">
      <c r="G86" s="14"/>
      <c r="H86" s="69"/>
      <c r="I86" s="69"/>
      <c r="J86" s="196"/>
      <c r="K86" s="392"/>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row>
    <row r="87" spans="7:36" ht="15" hidden="1" customHeight="1" x14ac:dyDescent="0.2">
      <c r="G87" s="14" t="s">
        <v>307</v>
      </c>
      <c r="H87" s="14"/>
      <c r="I87" s="14"/>
      <c r="J87" s="14"/>
      <c r="K87" s="103">
        <v>1</v>
      </c>
      <c r="L87" s="103">
        <f>K87*(1+(Data!$P$194)/100)</f>
        <v>1.02</v>
      </c>
      <c r="M87" s="103">
        <f>L87*(1+(Data!$P$194)/100)</f>
        <v>1.0404</v>
      </c>
      <c r="N87" s="103">
        <f>M87*(1+(Data!$P$194)/100)</f>
        <v>1.0612079999999999</v>
      </c>
      <c r="O87" s="103">
        <f>N87*(1+(Data!$P$194)/100)</f>
        <v>1.08243216</v>
      </c>
      <c r="P87" s="103">
        <f>O87*(1+(Data!$P$194)/100)</f>
        <v>1.1040808032</v>
      </c>
      <c r="Q87" s="103">
        <f>P87*(1+(Data!$P$194)/100)</f>
        <v>1.1261624192640001</v>
      </c>
      <c r="R87" s="103">
        <f>Q87*(1+(Data!$P$194)/100)</f>
        <v>1.14868566764928</v>
      </c>
      <c r="S87" s="103">
        <f>R87*(1+(Data!$P$194)/100)</f>
        <v>1.1716593810022657</v>
      </c>
      <c r="T87" s="103">
        <f>S87*(1+(Data!$P$194)/100)</f>
        <v>1.1950925686223111</v>
      </c>
      <c r="U87" s="103">
        <f>T87*(1+(Data!$P$194)/100)</f>
        <v>1.2189944199947573</v>
      </c>
      <c r="V87" s="103">
        <f>U87*(1+(Data!$P$194)/100)</f>
        <v>1.2433743083946525</v>
      </c>
      <c r="W87" s="103">
        <f>V87*(1+(Data!$P$194)/100)</f>
        <v>1.2682417945625455</v>
      </c>
      <c r="X87" s="103">
        <f>W87*(1+(Data!$P$194)/100)</f>
        <v>1.2936066304537963</v>
      </c>
      <c r="Y87" s="103">
        <f>X87*(1+(Data!$P$194)/100)</f>
        <v>1.3194787630628724</v>
      </c>
      <c r="Z87" s="103">
        <f>Y87*(1+(Data!$P$194)/100)</f>
        <v>1.3458683383241299</v>
      </c>
      <c r="AA87" s="103">
        <f>Z87*(1+(Data!$P$194)/100)</f>
        <v>1.3727857050906125</v>
      </c>
      <c r="AB87" s="103">
        <f>AA87*(1+(Data!$P$194)/100)</f>
        <v>1.4002414191924248</v>
      </c>
      <c r="AC87" s="103">
        <f>AB87*(1+(Data!$P$194)/100)</f>
        <v>1.4282462475762734</v>
      </c>
      <c r="AD87" s="103">
        <f>AC87*(1+(Data!$P$194)/100)</f>
        <v>1.4568111725277988</v>
      </c>
      <c r="AE87" s="103">
        <f>AD87*(1+(Data!$P$194)/100)</f>
        <v>1.4859473959783549</v>
      </c>
      <c r="AF87" s="103">
        <f>AE87*(1+(Data!$P$194)/100)</f>
        <v>1.5156663438979221</v>
      </c>
      <c r="AG87" s="103">
        <f>AF87*(1+(Data!$P$194)/100)</f>
        <v>1.5459796707758806</v>
      </c>
      <c r="AH87" s="103">
        <f>AG87*(1+(Data!$P$194)/100)</f>
        <v>1.5768992641913981</v>
      </c>
      <c r="AI87" s="103">
        <f>AH87*(1+(Data!$P$194)/100)</f>
        <v>1.6084372494752261</v>
      </c>
      <c r="AJ87" s="103">
        <f>AI87*(1+(Data!$P$194)/100)</f>
        <v>1.6406059944647307</v>
      </c>
    </row>
    <row r="88" spans="7:36" ht="15" hidden="1" customHeight="1" x14ac:dyDescent="0.2">
      <c r="G88" s="14" t="s">
        <v>3</v>
      </c>
      <c r="H88" s="14"/>
      <c r="I88" s="14"/>
      <c r="J88" s="14"/>
      <c r="K88" s="103">
        <f>Data!$P$183</f>
        <v>0.1</v>
      </c>
      <c r="L88" s="103">
        <f>K88*((100+Data!$P$202)/100)</f>
        <v>0.10200000000000001</v>
      </c>
      <c r="M88" s="103">
        <f>L88*((100+Data!$P$202)/100)</f>
        <v>0.10404000000000001</v>
      </c>
      <c r="N88" s="103">
        <f>M88*((100+Data!$P$202)/100)</f>
        <v>0.10612080000000002</v>
      </c>
      <c r="O88" s="103">
        <f>N88*((100+Data!$P$202)/100)</f>
        <v>0.10824321600000002</v>
      </c>
      <c r="P88" s="103">
        <f>O88*((100+Data!$P$202)/100)</f>
        <v>0.11040808032000002</v>
      </c>
      <c r="Q88" s="103">
        <f>P88*((100+Data!$P$202)/100)</f>
        <v>0.11261624192640002</v>
      </c>
      <c r="R88" s="103">
        <f>Q88*((100+Data!$P$202)/100)</f>
        <v>0.11486856676492802</v>
      </c>
      <c r="S88" s="103">
        <f>R88*((100+Data!$P$202)/100)</f>
        <v>0.11716593810022657</v>
      </c>
      <c r="T88" s="103">
        <f>S88*((100+Data!$P$202)/100)</f>
        <v>0.11950925686223111</v>
      </c>
      <c r="U88" s="103">
        <f>T88*((100+Data!$P$202)/100)</f>
        <v>0.12189944199947574</v>
      </c>
      <c r="V88" s="103">
        <f>U88*((100+Data!$P$202)/100)</f>
        <v>0.12433743083946525</v>
      </c>
      <c r="W88" s="103">
        <f>V88*((100+Data!$P$202)/100)</f>
        <v>0.12682417945625454</v>
      </c>
      <c r="X88" s="103">
        <f>W88*((100+Data!$P$202)/100)</f>
        <v>0.12936066304537963</v>
      </c>
      <c r="Y88" s="103">
        <f>X88*((100+Data!$P$202)/100)</f>
        <v>0.13194787630628724</v>
      </c>
      <c r="Z88" s="103">
        <f>Y88*((100+Data!$P$202)/100)</f>
        <v>0.13458683383241299</v>
      </c>
      <c r="AA88" s="103">
        <f>Z88*((100+Data!$P$202)/100)</f>
        <v>0.13727857050906125</v>
      </c>
      <c r="AB88" s="103">
        <f>AA88*((100+Data!$P$202)/100)</f>
        <v>0.14002414191924248</v>
      </c>
      <c r="AC88" s="103">
        <f>AB88*((100+Data!$P$202)/100)</f>
        <v>0.14282462475762733</v>
      </c>
      <c r="AD88" s="103">
        <f>AC88*((100+Data!$P$202)/100)</f>
        <v>0.14568111725277988</v>
      </c>
      <c r="AE88" s="103">
        <f>AD88*((100+Data!$P$202)/100)</f>
        <v>0.14859473959783548</v>
      </c>
      <c r="AF88" s="103">
        <f>AE88*((100+Data!$P$202)/100)</f>
        <v>0.1515666343897922</v>
      </c>
      <c r="AG88" s="103">
        <f>AF88*((100+Data!$P$202)/100)</f>
        <v>0.15459796707758805</v>
      </c>
      <c r="AH88" s="103">
        <f>AG88*((100+Data!$P$202)/100)</f>
        <v>0.15768992641913981</v>
      </c>
      <c r="AI88" s="103">
        <f>AH88*((100+Data!$P$202)/100)</f>
        <v>0.16084372494752261</v>
      </c>
      <c r="AJ88" s="103">
        <f>AI88*((100+Data!$P$202)/100)</f>
        <v>0.16406059944647305</v>
      </c>
    </row>
    <row r="89" spans="7:36" ht="15" hidden="1" customHeight="1" x14ac:dyDescent="0.2">
      <c r="G89" s="10"/>
      <c r="H89" s="10"/>
      <c r="I89" s="8"/>
      <c r="J89" s="8"/>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row>
    <row r="90" spans="7:36" ht="15" hidden="1" customHeight="1" x14ac:dyDescent="0.2">
      <c r="G90" s="489" t="s">
        <v>290</v>
      </c>
      <c r="H90" s="14"/>
      <c r="I90" s="13"/>
      <c r="J90" s="13"/>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row>
    <row r="91" spans="7:36" ht="15" hidden="1" customHeight="1" x14ac:dyDescent="0.2">
      <c r="G91" s="14"/>
      <c r="H91" s="14"/>
      <c r="I91" s="13"/>
      <c r="J91" s="13"/>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row>
    <row r="92" spans="7:36" ht="15" hidden="1" customHeight="1" x14ac:dyDescent="0.2">
      <c r="G92" s="14" t="s">
        <v>2</v>
      </c>
      <c r="H92" s="60"/>
      <c r="I92" s="60"/>
      <c r="J92" s="60"/>
      <c r="K92" s="39">
        <f>K$79</f>
        <v>0.19338</v>
      </c>
      <c r="L92" s="39">
        <f t="shared" ref="L92:AJ92" si="6">L$79</f>
        <v>0.18757859999999998</v>
      </c>
      <c r="M92" s="39">
        <f t="shared" si="6"/>
        <v>0.18195124199999999</v>
      </c>
      <c r="N92" s="39">
        <f t="shared" si="6"/>
        <v>0.17649270473999998</v>
      </c>
      <c r="O92" s="39">
        <f t="shared" si="6"/>
        <v>0.17119792359779998</v>
      </c>
      <c r="P92" s="39">
        <f t="shared" si="6"/>
        <v>0.16606198588986598</v>
      </c>
      <c r="Q92" s="39">
        <f t="shared" si="6"/>
        <v>0.16108012631317001</v>
      </c>
      <c r="R92" s="39">
        <f t="shared" si="6"/>
        <v>0.15624772252377489</v>
      </c>
      <c r="S92" s="39">
        <f t="shared" si="6"/>
        <v>0.15156029084806164</v>
      </c>
      <c r="T92" s="39">
        <f t="shared" si="6"/>
        <v>0.14701348212261978</v>
      </c>
      <c r="U92" s="39">
        <f t="shared" si="6"/>
        <v>0.14260307765894117</v>
      </c>
      <c r="V92" s="39">
        <f t="shared" si="6"/>
        <v>0.13832498532917292</v>
      </c>
      <c r="W92" s="39">
        <f t="shared" si="6"/>
        <v>0.13417523576929774</v>
      </c>
      <c r="X92" s="39">
        <f t="shared" si="6"/>
        <v>0.1301499786962188</v>
      </c>
      <c r="Y92" s="39">
        <f t="shared" si="6"/>
        <v>0.12624547933533223</v>
      </c>
      <c r="Z92" s="39">
        <f t="shared" si="6"/>
        <v>0.12245811495527226</v>
      </c>
      <c r="AA92" s="39">
        <f t="shared" si="6"/>
        <v>0.11878437150661408</v>
      </c>
      <c r="AB92" s="39">
        <f t="shared" si="6"/>
        <v>0.11522084036141565</v>
      </c>
      <c r="AC92" s="39">
        <f t="shared" si="6"/>
        <v>0.11176421515057318</v>
      </c>
      <c r="AD92" s="39">
        <f t="shared" si="6"/>
        <v>0.10841128869605599</v>
      </c>
      <c r="AE92" s="39">
        <f t="shared" si="6"/>
        <v>0.10515895003517431</v>
      </c>
      <c r="AF92" s="39">
        <f t="shared" si="6"/>
        <v>0.10200418153411908</v>
      </c>
      <c r="AG92" s="39">
        <f t="shared" si="6"/>
        <v>9.8944056088095506E-2</v>
      </c>
      <c r="AH92" s="39">
        <f t="shared" si="6"/>
        <v>9.5975734405452637E-2</v>
      </c>
      <c r="AI92" s="39">
        <f t="shared" si="6"/>
        <v>9.3096462373289057E-2</v>
      </c>
      <c r="AJ92" s="39">
        <f t="shared" si="6"/>
        <v>9.0303568502090384E-2</v>
      </c>
    </row>
    <row r="93" spans="7:36" ht="15" hidden="1" customHeight="1" x14ac:dyDescent="0.2">
      <c r="G93" s="14" t="s">
        <v>1</v>
      </c>
      <c r="H93" s="60"/>
      <c r="I93" s="60"/>
      <c r="J93" s="60"/>
      <c r="K93" s="39">
        <f>K$85</f>
        <v>0.31</v>
      </c>
      <c r="L93" s="39">
        <f t="shared" ref="L93:AJ93" si="7">L$85</f>
        <v>0.34100000000000003</v>
      </c>
      <c r="M93" s="39">
        <f t="shared" si="7"/>
        <v>0.37510000000000004</v>
      </c>
      <c r="N93" s="39">
        <f t="shared" si="7"/>
        <v>0.41261000000000009</v>
      </c>
      <c r="O93" s="39">
        <f t="shared" si="7"/>
        <v>0.45387100000000014</v>
      </c>
      <c r="P93" s="39">
        <f t="shared" si="7"/>
        <v>0.4992581000000002</v>
      </c>
      <c r="Q93" s="39">
        <f t="shared" si="7"/>
        <v>0.54918391000000022</v>
      </c>
      <c r="R93" s="39">
        <f t="shared" si="7"/>
        <v>0.60410230100000029</v>
      </c>
      <c r="S93" s="39">
        <f t="shared" si="7"/>
        <v>0.66451253110000041</v>
      </c>
      <c r="T93" s="39">
        <f t="shared" si="7"/>
        <v>0.73096378421000052</v>
      </c>
      <c r="U93" s="39">
        <f t="shared" si="7"/>
        <v>0.80406016263100066</v>
      </c>
      <c r="V93" s="39">
        <f t="shared" si="7"/>
        <v>0.88446617889410084</v>
      </c>
      <c r="W93" s="39">
        <f t="shared" si="7"/>
        <v>0.97291279678351106</v>
      </c>
      <c r="X93" s="39">
        <f t="shared" si="7"/>
        <v>1.0702040764618623</v>
      </c>
      <c r="Y93" s="39">
        <f t="shared" si="7"/>
        <v>1.1772244841080486</v>
      </c>
      <c r="Z93" s="39">
        <f t="shared" si="7"/>
        <v>1.2949469325188536</v>
      </c>
      <c r="AA93" s="39">
        <f t="shared" si="7"/>
        <v>1.4244416257707391</v>
      </c>
      <c r="AB93" s="39">
        <f t="shared" si="7"/>
        <v>1.5668857883478131</v>
      </c>
      <c r="AC93" s="39">
        <f t="shared" si="7"/>
        <v>1.7235743671825945</v>
      </c>
      <c r="AD93" s="39">
        <f t="shared" si="7"/>
        <v>1.8959318039008541</v>
      </c>
      <c r="AE93" s="39">
        <f t="shared" si="7"/>
        <v>2.0855249842909398</v>
      </c>
      <c r="AF93" s="39">
        <f t="shared" si="7"/>
        <v>2.2940774827200339</v>
      </c>
      <c r="AG93" s="39">
        <f t="shared" si="7"/>
        <v>2.5234852309920375</v>
      </c>
      <c r="AH93" s="39">
        <f t="shared" si="7"/>
        <v>2.7758337540912414</v>
      </c>
      <c r="AI93" s="39">
        <f t="shared" si="7"/>
        <v>3.053417129500366</v>
      </c>
      <c r="AJ93" s="39">
        <f t="shared" si="7"/>
        <v>3.3587588424504031</v>
      </c>
    </row>
    <row r="94" spans="7:36" ht="15" hidden="1" customHeight="1" x14ac:dyDescent="0.2">
      <c r="G94" s="60"/>
      <c r="H94" s="60"/>
      <c r="I94" s="60"/>
      <c r="J94" s="60"/>
      <c r="K94" s="60"/>
      <c r="L94" s="60"/>
      <c r="M94" s="60"/>
      <c r="N94" s="60"/>
      <c r="O94" s="60"/>
      <c r="P94" s="60"/>
      <c r="Q94" s="60"/>
      <c r="R94" s="61"/>
      <c r="S94" s="60"/>
      <c r="T94" s="60"/>
      <c r="U94" s="60"/>
      <c r="V94" s="60"/>
      <c r="W94" s="60"/>
      <c r="X94" s="60"/>
      <c r="Y94" s="60"/>
      <c r="Z94" s="60"/>
      <c r="AA94" s="60"/>
      <c r="AB94" s="60"/>
      <c r="AC94" s="60"/>
      <c r="AD94" s="60"/>
      <c r="AE94" s="60"/>
      <c r="AF94" s="60"/>
      <c r="AG94" s="60"/>
      <c r="AH94" s="60"/>
      <c r="AI94" s="60"/>
      <c r="AJ94" s="60"/>
    </row>
    <row r="95" spans="7:36" ht="15" hidden="1" customHeight="1" x14ac:dyDescent="0.2">
      <c r="G95" s="14" t="s">
        <v>4</v>
      </c>
      <c r="H95" s="14"/>
      <c r="I95" s="13"/>
      <c r="J95" s="13"/>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row>
    <row r="96" spans="7:36" ht="15" hidden="1" customHeight="1" x14ac:dyDescent="0.2">
      <c r="G96" s="14" t="s">
        <v>5</v>
      </c>
      <c r="H96" s="14"/>
      <c r="I96" s="13"/>
      <c r="J96" s="13"/>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row>
    <row r="97" spans="7:36" ht="15" hidden="1" customHeight="1" x14ac:dyDescent="0.2">
      <c r="G97" s="14" t="s">
        <v>6</v>
      </c>
      <c r="H97" s="14"/>
      <c r="I97" s="13"/>
      <c r="J97" s="13"/>
      <c r="K97" s="75">
        <f>K170+K243</f>
        <v>98005.027499999997</v>
      </c>
      <c r="L97" s="75">
        <f t="shared" ref="L97:AI97" si="8">L170+L243</f>
        <v>98005.027499999997</v>
      </c>
      <c r="M97" s="75">
        <f t="shared" si="8"/>
        <v>98005.027499999997</v>
      </c>
      <c r="N97" s="75">
        <f t="shared" si="8"/>
        <v>98005.027499999997</v>
      </c>
      <c r="O97" s="75">
        <f t="shared" si="8"/>
        <v>98005.027499999997</v>
      </c>
      <c r="P97" s="75">
        <f t="shared" si="8"/>
        <v>98005.027499999997</v>
      </c>
      <c r="Q97" s="75">
        <f t="shared" si="8"/>
        <v>98005.027499999997</v>
      </c>
      <c r="R97" s="75">
        <f t="shared" si="8"/>
        <v>98005.027499999997</v>
      </c>
      <c r="S97" s="75">
        <f t="shared" si="8"/>
        <v>98005.027499999997</v>
      </c>
      <c r="T97" s="75">
        <f t="shared" si="8"/>
        <v>98005.027499999997</v>
      </c>
      <c r="U97" s="75">
        <f t="shared" si="8"/>
        <v>98005.027499999997</v>
      </c>
      <c r="V97" s="75">
        <f t="shared" si="8"/>
        <v>98005.027499999997</v>
      </c>
      <c r="W97" s="75">
        <f t="shared" si="8"/>
        <v>98005.027499999997</v>
      </c>
      <c r="X97" s="75">
        <f t="shared" si="8"/>
        <v>98005.027499999997</v>
      </c>
      <c r="Y97" s="75">
        <f t="shared" si="8"/>
        <v>98005.027499999997</v>
      </c>
      <c r="Z97" s="75">
        <f t="shared" si="8"/>
        <v>98005.027499999997</v>
      </c>
      <c r="AA97" s="75">
        <f t="shared" si="8"/>
        <v>98005.027499999997</v>
      </c>
      <c r="AB97" s="75">
        <f t="shared" si="8"/>
        <v>98005.027499999997</v>
      </c>
      <c r="AC97" s="75">
        <f t="shared" si="8"/>
        <v>98005.027499999997</v>
      </c>
      <c r="AD97" s="75">
        <f t="shared" si="8"/>
        <v>98005.027499999997</v>
      </c>
      <c r="AE97" s="75">
        <f t="shared" si="8"/>
        <v>98005.027499999997</v>
      </c>
      <c r="AF97" s="75">
        <f t="shared" si="8"/>
        <v>98005.027499999997</v>
      </c>
      <c r="AG97" s="75">
        <f t="shared" si="8"/>
        <v>98005.027499999997</v>
      </c>
      <c r="AH97" s="75">
        <f t="shared" si="8"/>
        <v>98005.027499999997</v>
      </c>
      <c r="AI97" s="75">
        <f t="shared" si="8"/>
        <v>98005.027499999997</v>
      </c>
      <c r="AJ97" s="75">
        <f>AJ170+AJ243</f>
        <v>98005.027499999997</v>
      </c>
    </row>
    <row r="98" spans="7:36" ht="15" hidden="1" customHeight="1" x14ac:dyDescent="0.2">
      <c r="G98" s="14"/>
      <c r="H98" s="14"/>
      <c r="I98" s="13"/>
      <c r="J98" s="13"/>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row>
    <row r="99" spans="7:36" ht="15" hidden="1" customHeight="1" x14ac:dyDescent="0.2">
      <c r="G99" s="14" t="s">
        <v>7</v>
      </c>
      <c r="H99" s="14"/>
      <c r="I99" s="13"/>
      <c r="J99" s="13"/>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row>
    <row r="100" spans="7:36" ht="15" hidden="1" customHeight="1" x14ac:dyDescent="0.2">
      <c r="G100" s="14" t="s">
        <v>8</v>
      </c>
      <c r="H100" s="14"/>
      <c r="I100" s="13"/>
      <c r="J100" s="13"/>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row>
    <row r="101" spans="7:36" ht="15" hidden="1" customHeight="1" x14ac:dyDescent="0.2">
      <c r="G101" s="14" t="s">
        <v>9</v>
      </c>
      <c r="H101" s="14"/>
      <c r="I101" s="13"/>
      <c r="J101" s="13"/>
      <c r="K101" s="75">
        <f>K174+K247</f>
        <v>18952.21221795</v>
      </c>
      <c r="L101" s="75">
        <f t="shared" ref="L101:AI101" si="9">L174+L247</f>
        <v>18383.645851411497</v>
      </c>
      <c r="M101" s="75">
        <f t="shared" si="9"/>
        <v>17832.136475869152</v>
      </c>
      <c r="N101" s="75">
        <f t="shared" si="9"/>
        <v>17297.172381593078</v>
      </c>
      <c r="O101" s="75">
        <f t="shared" si="9"/>
        <v>16778.257210145286</v>
      </c>
      <c r="P101" s="75">
        <f t="shared" si="9"/>
        <v>16274.909493840927</v>
      </c>
      <c r="Q101" s="75">
        <f t="shared" si="9"/>
        <v>15786.662209025701</v>
      </c>
      <c r="R101" s="75">
        <f t="shared" si="9"/>
        <v>15313.062342754927</v>
      </c>
      <c r="S101" s="75">
        <f t="shared" si="9"/>
        <v>14853.670472472279</v>
      </c>
      <c r="T101" s="75">
        <f t="shared" si="9"/>
        <v>14408.060358298109</v>
      </c>
      <c r="U101" s="75">
        <f t="shared" si="9"/>
        <v>13975.818547549165</v>
      </c>
      <c r="V101" s="75">
        <f t="shared" si="9"/>
        <v>13556.543991122688</v>
      </c>
      <c r="W101" s="75">
        <f t="shared" si="9"/>
        <v>13149.847671389009</v>
      </c>
      <c r="X101" s="75">
        <f t="shared" si="9"/>
        <v>12755.352241247338</v>
      </c>
      <c r="Y101" s="75">
        <f t="shared" si="9"/>
        <v>12372.691674009917</v>
      </c>
      <c r="Z101" s="75">
        <f t="shared" si="9"/>
        <v>12001.510923789618</v>
      </c>
      <c r="AA101" s="75">
        <f t="shared" si="9"/>
        <v>11641.46559607593</v>
      </c>
      <c r="AB101" s="75">
        <f t="shared" si="9"/>
        <v>11292.221628193651</v>
      </c>
      <c r="AC101" s="75">
        <f t="shared" si="9"/>
        <v>10953.45497934784</v>
      </c>
      <c r="AD101" s="75">
        <f t="shared" si="9"/>
        <v>10624.851329967405</v>
      </c>
      <c r="AE101" s="75">
        <f t="shared" si="9"/>
        <v>10306.105790068385</v>
      </c>
      <c r="AF101" s="75">
        <f t="shared" si="9"/>
        <v>9996.9226163663316</v>
      </c>
      <c r="AG101" s="75">
        <f t="shared" si="9"/>
        <v>9697.0149378753413</v>
      </c>
      <c r="AH101" s="75">
        <f t="shared" si="9"/>
        <v>9406.1044897390821</v>
      </c>
      <c r="AI101" s="75">
        <f t="shared" si="9"/>
        <v>9123.9213550469085</v>
      </c>
      <c r="AJ101" s="75">
        <f>AJ174+AJ247</f>
        <v>8850.2037143955022</v>
      </c>
    </row>
    <row r="102" spans="7:36" ht="15" hidden="1" customHeight="1" x14ac:dyDescent="0.2">
      <c r="G102" s="14"/>
      <c r="H102" s="14"/>
      <c r="I102" s="13"/>
      <c r="J102" s="13"/>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row>
    <row r="103" spans="7:36" ht="15" hidden="1" customHeight="1" x14ac:dyDescent="0.2">
      <c r="G103" s="14" t="s">
        <v>10</v>
      </c>
      <c r="H103" s="14"/>
      <c r="I103" s="13"/>
      <c r="J103" s="13"/>
      <c r="K103" s="75">
        <f>IF($K$46=0,IF(K70=$K$41,$K$40,0),IF(K$70=$K$41,$K$40*K$87,IF(OR(AND($K$41=0,K$70=$K$41),AND(K$70&gt;=$K$41+$K$46,INT((K$70-$K$41)/($K$46))=(K$70-$K$41)/($K$46))),$K$45*K$87,0)))</f>
        <v>0</v>
      </c>
      <c r="L103" s="75">
        <f t="shared" ref="L103:AI103" si="10">IF($K$46=0,IF(L70=$K$41,$K$40,0),IF(L$70=$K$41,$K$40*L$87,IF(OR(AND($K$41=0,L$70=$K$41),AND(L$70&gt;=$K$41+$K$46,INT((L$70-$K$41)/($K$46))=(L$70-$K$41)/($K$46))),$K$45*L$87,0)))</f>
        <v>0</v>
      </c>
      <c r="M103" s="75">
        <f t="shared" si="10"/>
        <v>0</v>
      </c>
      <c r="N103" s="75">
        <f t="shared" si="10"/>
        <v>0</v>
      </c>
      <c r="O103" s="75">
        <f t="shared" si="10"/>
        <v>0</v>
      </c>
      <c r="P103" s="75">
        <f t="shared" si="10"/>
        <v>0</v>
      </c>
      <c r="Q103" s="75">
        <f t="shared" si="10"/>
        <v>0</v>
      </c>
      <c r="R103" s="75">
        <f t="shared" si="10"/>
        <v>0</v>
      </c>
      <c r="S103" s="75">
        <f t="shared" si="10"/>
        <v>0</v>
      </c>
      <c r="T103" s="75">
        <f t="shared" si="10"/>
        <v>0</v>
      </c>
      <c r="U103" s="75">
        <f t="shared" si="10"/>
        <v>0</v>
      </c>
      <c r="V103" s="75">
        <f t="shared" si="10"/>
        <v>0</v>
      </c>
      <c r="W103" s="75">
        <f t="shared" si="10"/>
        <v>0</v>
      </c>
      <c r="X103" s="75">
        <f t="shared" si="10"/>
        <v>0</v>
      </c>
      <c r="Y103" s="75">
        <f t="shared" si="10"/>
        <v>0</v>
      </c>
      <c r="Z103" s="75">
        <f t="shared" si="10"/>
        <v>0</v>
      </c>
      <c r="AA103" s="75">
        <f t="shared" si="10"/>
        <v>0</v>
      </c>
      <c r="AB103" s="75">
        <f t="shared" si="10"/>
        <v>0</v>
      </c>
      <c r="AC103" s="75">
        <f t="shared" si="10"/>
        <v>0</v>
      </c>
      <c r="AD103" s="75">
        <f t="shared" si="10"/>
        <v>0</v>
      </c>
      <c r="AE103" s="75">
        <f t="shared" si="10"/>
        <v>0</v>
      </c>
      <c r="AF103" s="75">
        <f t="shared" si="10"/>
        <v>0</v>
      </c>
      <c r="AG103" s="75">
        <f t="shared" si="10"/>
        <v>0</v>
      </c>
      <c r="AH103" s="75">
        <f t="shared" si="10"/>
        <v>0</v>
      </c>
      <c r="AI103" s="75">
        <f t="shared" si="10"/>
        <v>0</v>
      </c>
      <c r="AJ103" s="75">
        <f>IF($K$46=0,IF(AJ70=$K$41,$K$40,0),IF(AJ$70=$K$41,$K$40*AJ$87,IF(OR(AND($K$41=0,AJ$70=$K$41),AND(AJ$70&gt;=$K$41+$K$46,INT((AJ$70-$K$41)/($K$46))=(AJ$70-$K$41)/($K$46))),$K$45*AJ$87,0)))</f>
        <v>0</v>
      </c>
    </row>
    <row r="104" spans="7:36" ht="15" hidden="1" customHeight="1" x14ac:dyDescent="0.2">
      <c r="G104" s="14" t="s">
        <v>11</v>
      </c>
      <c r="H104" s="14"/>
      <c r="I104" s="13"/>
      <c r="J104" s="13"/>
      <c r="K104" s="31">
        <f>($K$43*K$87)-($K$44*K$87)</f>
        <v>0</v>
      </c>
      <c r="L104" s="31">
        <f t="shared" ref="L104:AJ104" si="11">($K$43*L$87)-($K$44*L$87)</f>
        <v>0</v>
      </c>
      <c r="M104" s="31">
        <f t="shared" si="11"/>
        <v>0</v>
      </c>
      <c r="N104" s="31">
        <f t="shared" si="11"/>
        <v>0</v>
      </c>
      <c r="O104" s="31">
        <f t="shared" si="11"/>
        <v>0</v>
      </c>
      <c r="P104" s="31">
        <f t="shared" si="11"/>
        <v>0</v>
      </c>
      <c r="Q104" s="31">
        <f t="shared" si="11"/>
        <v>0</v>
      </c>
      <c r="R104" s="31">
        <f t="shared" si="11"/>
        <v>0</v>
      </c>
      <c r="S104" s="31">
        <f t="shared" si="11"/>
        <v>0</v>
      </c>
      <c r="T104" s="31">
        <f t="shared" si="11"/>
        <v>0</v>
      </c>
      <c r="U104" s="31">
        <f t="shared" si="11"/>
        <v>0</v>
      </c>
      <c r="V104" s="31">
        <f t="shared" si="11"/>
        <v>0</v>
      </c>
      <c r="W104" s="31">
        <f t="shared" si="11"/>
        <v>0</v>
      </c>
      <c r="X104" s="31">
        <f t="shared" si="11"/>
        <v>0</v>
      </c>
      <c r="Y104" s="31">
        <f t="shared" si="11"/>
        <v>0</v>
      </c>
      <c r="Z104" s="31">
        <f t="shared" si="11"/>
        <v>0</v>
      </c>
      <c r="AA104" s="31">
        <f t="shared" si="11"/>
        <v>0</v>
      </c>
      <c r="AB104" s="31">
        <f t="shared" si="11"/>
        <v>0</v>
      </c>
      <c r="AC104" s="31">
        <f t="shared" si="11"/>
        <v>0</v>
      </c>
      <c r="AD104" s="31">
        <f t="shared" si="11"/>
        <v>0</v>
      </c>
      <c r="AE104" s="31">
        <f t="shared" si="11"/>
        <v>0</v>
      </c>
      <c r="AF104" s="31">
        <f t="shared" si="11"/>
        <v>0</v>
      </c>
      <c r="AG104" s="31">
        <f t="shared" si="11"/>
        <v>0</v>
      </c>
      <c r="AH104" s="31">
        <f t="shared" si="11"/>
        <v>0</v>
      </c>
      <c r="AI104" s="31">
        <f t="shared" si="11"/>
        <v>0</v>
      </c>
      <c r="AJ104" s="31">
        <f t="shared" si="11"/>
        <v>0</v>
      </c>
    </row>
    <row r="105" spans="7:36" ht="15" hidden="1" customHeight="1" x14ac:dyDescent="0.2">
      <c r="G105" s="14" t="s">
        <v>12</v>
      </c>
      <c r="H105" s="14"/>
      <c r="I105" s="13"/>
      <c r="J105" s="13"/>
      <c r="K105" s="75">
        <f>K178+K251</f>
        <v>30381.558525</v>
      </c>
      <c r="L105" s="75">
        <f t="shared" ref="L105:AI105" si="12">L178+L251</f>
        <v>33419.7143775</v>
      </c>
      <c r="M105" s="75">
        <f t="shared" si="12"/>
        <v>36761.685815250006</v>
      </c>
      <c r="N105" s="75">
        <f t="shared" si="12"/>
        <v>40437.854396775008</v>
      </c>
      <c r="O105" s="75">
        <f t="shared" si="12"/>
        <v>44481.639836452508</v>
      </c>
      <c r="P105" s="75">
        <f t="shared" si="12"/>
        <v>48929.803820097768</v>
      </c>
      <c r="Q105" s="75">
        <f t="shared" si="12"/>
        <v>53822.784202107541</v>
      </c>
      <c r="R105" s="75">
        <f t="shared" si="12"/>
        <v>59205.062622318306</v>
      </c>
      <c r="S105" s="75">
        <f t="shared" si="12"/>
        <v>65125.568884550143</v>
      </c>
      <c r="T105" s="75">
        <f t="shared" si="12"/>
        <v>71638.125773005158</v>
      </c>
      <c r="U105" s="75">
        <f t="shared" si="12"/>
        <v>78801.938350305689</v>
      </c>
      <c r="V105" s="75">
        <f t="shared" si="12"/>
        <v>86682.132185336275</v>
      </c>
      <c r="W105" s="75">
        <f t="shared" si="12"/>
        <v>95350.345403869913</v>
      </c>
      <c r="X105" s="75">
        <f t="shared" si="12"/>
        <v>104885.37994425691</v>
      </c>
      <c r="Y105" s="75">
        <f t="shared" si="12"/>
        <v>115373.91793868261</v>
      </c>
      <c r="Z105" s="75">
        <f t="shared" si="12"/>
        <v>126911.30973255089</v>
      </c>
      <c r="AA105" s="75">
        <f t="shared" si="12"/>
        <v>139602.44070580599</v>
      </c>
      <c r="AB105" s="75">
        <f t="shared" si="12"/>
        <v>153562.6847763866</v>
      </c>
      <c r="AC105" s="75">
        <f t="shared" si="12"/>
        <v>168918.95325402525</v>
      </c>
      <c r="AD105" s="75">
        <f t="shared" si="12"/>
        <v>185810.84857942781</v>
      </c>
      <c r="AE105" s="75">
        <f t="shared" si="12"/>
        <v>204391.93343737061</v>
      </c>
      <c r="AF105" s="75">
        <f t="shared" si="12"/>
        <v>224831.12678110768</v>
      </c>
      <c r="AG105" s="75">
        <f t="shared" si="12"/>
        <v>247314.23945921849</v>
      </c>
      <c r="AH105" s="75">
        <f t="shared" si="12"/>
        <v>272045.66340514034</v>
      </c>
      <c r="AI105" s="75">
        <f t="shared" si="12"/>
        <v>299250.22974565445</v>
      </c>
      <c r="AJ105" s="75">
        <f>AJ178+AJ251</f>
        <v>329175.2527202199</v>
      </c>
    </row>
    <row r="106" spans="7:36" ht="15" hidden="1" customHeight="1" x14ac:dyDescent="0.2">
      <c r="G106" s="14" t="s">
        <v>13</v>
      </c>
      <c r="H106" s="14"/>
      <c r="I106" s="13"/>
      <c r="J106" s="13"/>
      <c r="K106" s="75">
        <f>K179+K252</f>
        <v>1895.221221795</v>
      </c>
      <c r="L106" s="75">
        <f t="shared" ref="L106:AJ106" si="13">L179+L252</f>
        <v>1875.1318768439728</v>
      </c>
      <c r="M106" s="75">
        <f t="shared" si="13"/>
        <v>1855.2554789494268</v>
      </c>
      <c r="N106" s="75">
        <f t="shared" si="13"/>
        <v>1835.5897708725629</v>
      </c>
      <c r="O106" s="75">
        <f t="shared" si="13"/>
        <v>1816.1325193013138</v>
      </c>
      <c r="P106" s="75">
        <f t="shared" si="13"/>
        <v>1796.8815145967199</v>
      </c>
      <c r="Q106" s="75">
        <f t="shared" si="13"/>
        <v>1777.8345705419949</v>
      </c>
      <c r="R106" s="75">
        <f t="shared" si="13"/>
        <v>1758.9895240942494</v>
      </c>
      <c r="S106" s="75">
        <f t="shared" si="13"/>
        <v>1740.3442351388503</v>
      </c>
      <c r="T106" s="75">
        <f t="shared" si="13"/>
        <v>1721.8965862463783</v>
      </c>
      <c r="U106" s="75">
        <f t="shared" si="13"/>
        <v>1703.6444824321666</v>
      </c>
      <c r="V106" s="75">
        <f t="shared" si="13"/>
        <v>1685.5858509183854</v>
      </c>
      <c r="W106" s="75">
        <f t="shared" si="13"/>
        <v>1667.7186408986506</v>
      </c>
      <c r="X106" s="75">
        <f t="shared" si="13"/>
        <v>1650.0408233051248</v>
      </c>
      <c r="Y106" s="75">
        <f t="shared" si="13"/>
        <v>1632.5503905780904</v>
      </c>
      <c r="Z106" s="75">
        <f t="shared" si="13"/>
        <v>1615.2453564379625</v>
      </c>
      <c r="AA106" s="75">
        <f t="shared" si="13"/>
        <v>1598.1237556597205</v>
      </c>
      <c r="AB106" s="75">
        <f t="shared" si="13"/>
        <v>1581.1836438497271</v>
      </c>
      <c r="AC106" s="75">
        <f t="shared" si="13"/>
        <v>1564.42309722492</v>
      </c>
      <c r="AD106" s="75">
        <f t="shared" si="13"/>
        <v>1547.8402123943358</v>
      </c>
      <c r="AE106" s="75">
        <f t="shared" si="13"/>
        <v>1531.4331061429561</v>
      </c>
      <c r="AF106" s="75">
        <f t="shared" si="13"/>
        <v>1515.1999152178407</v>
      </c>
      <c r="AG106" s="75">
        <f t="shared" si="13"/>
        <v>1499.1387961165315</v>
      </c>
      <c r="AH106" s="75">
        <f t="shared" si="13"/>
        <v>1483.2479248776965</v>
      </c>
      <c r="AI106" s="75">
        <f t="shared" si="13"/>
        <v>1467.5254968739928</v>
      </c>
      <c r="AJ106" s="75">
        <f t="shared" si="13"/>
        <v>1451.9697266071285</v>
      </c>
    </row>
    <row r="107" spans="7:36" ht="15" hidden="1" customHeight="1" x14ac:dyDescent="0.2">
      <c r="G107" s="14"/>
      <c r="H107" s="14"/>
      <c r="I107" s="13"/>
      <c r="J107" s="13"/>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row>
    <row r="108" spans="7:36" ht="15" hidden="1" customHeight="1" x14ac:dyDescent="0.2">
      <c r="G108" s="14" t="s">
        <v>14</v>
      </c>
      <c r="H108" s="14"/>
      <c r="I108" s="13"/>
      <c r="J108" s="13"/>
      <c r="K108" s="31">
        <f t="shared" ref="K108:Z108" si="14">SUM(K103:K106)</f>
        <v>32276.779746795</v>
      </c>
      <c r="L108" s="31">
        <f t="shared" si="14"/>
        <v>35294.846254343975</v>
      </c>
      <c r="M108" s="31">
        <f t="shared" si="14"/>
        <v>38616.941294199431</v>
      </c>
      <c r="N108" s="31">
        <f t="shared" si="14"/>
        <v>42273.444167647569</v>
      </c>
      <c r="O108" s="31">
        <f t="shared" si="14"/>
        <v>46297.772355753819</v>
      </c>
      <c r="P108" s="31">
        <f t="shared" si="14"/>
        <v>50726.685334694484</v>
      </c>
      <c r="Q108" s="31">
        <f t="shared" si="14"/>
        <v>55600.618772649534</v>
      </c>
      <c r="R108" s="31">
        <f t="shared" si="14"/>
        <v>60964.052146412556</v>
      </c>
      <c r="S108" s="31">
        <f t="shared" si="14"/>
        <v>66865.913119688994</v>
      </c>
      <c r="T108" s="31">
        <f t="shared" si="14"/>
        <v>73360.022359251539</v>
      </c>
      <c r="U108" s="31">
        <f t="shared" si="14"/>
        <v>80505.582832737855</v>
      </c>
      <c r="V108" s="31">
        <f t="shared" si="14"/>
        <v>88367.718036254664</v>
      </c>
      <c r="W108" s="31">
        <f t="shared" si="14"/>
        <v>97018.064044768558</v>
      </c>
      <c r="X108" s="31">
        <f t="shared" si="14"/>
        <v>106535.42076756204</v>
      </c>
      <c r="Y108" s="31">
        <f t="shared" si="14"/>
        <v>117006.46832926071</v>
      </c>
      <c r="Z108" s="31">
        <f t="shared" si="14"/>
        <v>128526.55508898885</v>
      </c>
      <c r="AA108" s="31">
        <f t="shared" ref="AA108:AH108" si="15">SUM(AA103:AA106)</f>
        <v>141200.56446146572</v>
      </c>
      <c r="AB108" s="31">
        <f t="shared" si="15"/>
        <v>155143.86842023634</v>
      </c>
      <c r="AC108" s="31">
        <f t="shared" si="15"/>
        <v>170483.37635125016</v>
      </c>
      <c r="AD108" s="31">
        <f t="shared" si="15"/>
        <v>187358.68879182215</v>
      </c>
      <c r="AE108" s="31">
        <f t="shared" si="15"/>
        <v>205923.36654351358</v>
      </c>
      <c r="AF108" s="31">
        <f t="shared" si="15"/>
        <v>226346.32669632553</v>
      </c>
      <c r="AG108" s="31">
        <f t="shared" si="15"/>
        <v>248813.37825533503</v>
      </c>
      <c r="AH108" s="31">
        <f t="shared" si="15"/>
        <v>273528.91133001802</v>
      </c>
      <c r="AI108" s="31">
        <f>SUM(AI103:AI106)</f>
        <v>300717.75524252845</v>
      </c>
      <c r="AJ108" s="31">
        <f>SUM(AJ103:AJ106)</f>
        <v>330627.22244682704</v>
      </c>
    </row>
    <row r="109" spans="7:36" ht="15" hidden="1" customHeight="1" x14ac:dyDescent="0.2">
      <c r="G109" s="14" t="s">
        <v>15</v>
      </c>
      <c r="H109" s="14"/>
      <c r="I109" s="13"/>
      <c r="J109" s="13"/>
      <c r="K109" s="31">
        <f>K108</f>
        <v>32276.779746795</v>
      </c>
      <c r="L109" s="31">
        <f t="shared" ref="L109:AJ109" si="16">K109+L108</f>
        <v>67571.626001138968</v>
      </c>
      <c r="M109" s="31">
        <f t="shared" si="16"/>
        <v>106188.56729533841</v>
      </c>
      <c r="N109" s="31">
        <f t="shared" si="16"/>
        <v>148462.01146298597</v>
      </c>
      <c r="O109" s="31">
        <f t="shared" si="16"/>
        <v>194759.78381873979</v>
      </c>
      <c r="P109" s="31">
        <f t="shared" si="16"/>
        <v>245486.46915343427</v>
      </c>
      <c r="Q109" s="31">
        <f t="shared" si="16"/>
        <v>301087.08792608383</v>
      </c>
      <c r="R109" s="31">
        <f t="shared" si="16"/>
        <v>362051.14007249638</v>
      </c>
      <c r="S109" s="31">
        <f t="shared" si="16"/>
        <v>428917.05319218535</v>
      </c>
      <c r="T109" s="31">
        <f t="shared" si="16"/>
        <v>502277.07555143686</v>
      </c>
      <c r="U109" s="31">
        <f t="shared" si="16"/>
        <v>582782.65838417469</v>
      </c>
      <c r="V109" s="31">
        <f t="shared" si="16"/>
        <v>671150.37642042933</v>
      </c>
      <c r="W109" s="31">
        <f t="shared" si="16"/>
        <v>768168.4404651979</v>
      </c>
      <c r="X109" s="31">
        <f t="shared" si="16"/>
        <v>874703.8612327599</v>
      </c>
      <c r="Y109" s="31">
        <f t="shared" si="16"/>
        <v>991710.3295620206</v>
      </c>
      <c r="Z109" s="31">
        <f t="shared" si="16"/>
        <v>1120236.8846510095</v>
      </c>
      <c r="AA109" s="31">
        <f t="shared" si="16"/>
        <v>1261437.4491124752</v>
      </c>
      <c r="AB109" s="31">
        <f t="shared" si="16"/>
        <v>1416581.3175327114</v>
      </c>
      <c r="AC109" s="31">
        <f t="shared" si="16"/>
        <v>1587064.6938839615</v>
      </c>
      <c r="AD109" s="31">
        <f t="shared" si="16"/>
        <v>1774423.3826757837</v>
      </c>
      <c r="AE109" s="31">
        <f t="shared" si="16"/>
        <v>1980346.7492192972</v>
      </c>
      <c r="AF109" s="31">
        <f t="shared" si="16"/>
        <v>2206693.0759156225</v>
      </c>
      <c r="AG109" s="31">
        <f t="shared" si="16"/>
        <v>2455506.4541709577</v>
      </c>
      <c r="AH109" s="31">
        <f t="shared" si="16"/>
        <v>2729035.3655009759</v>
      </c>
      <c r="AI109" s="31">
        <f t="shared" si="16"/>
        <v>3029753.1207435043</v>
      </c>
      <c r="AJ109" s="31">
        <f t="shared" si="16"/>
        <v>3360380.3431903315</v>
      </c>
    </row>
    <row r="110" spans="7:36" ht="15" hidden="1" customHeight="1" x14ac:dyDescent="0.2">
      <c r="G110" s="13"/>
      <c r="H110" s="13"/>
      <c r="I110" s="13"/>
      <c r="J110" s="13"/>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row>
    <row r="111" spans="7:36" ht="15" hidden="1" customHeight="1" x14ac:dyDescent="0.2">
      <c r="G111" s="14" t="s">
        <v>17</v>
      </c>
      <c r="H111" s="13"/>
      <c r="I111" s="13"/>
      <c r="J111" s="13"/>
      <c r="K111" s="31">
        <f>K108/(((Data!$P$186/100)+1)^K$70)</f>
        <v>32276.779746795</v>
      </c>
      <c r="L111" s="31">
        <f>L108/(((Data!$P$186/100)+1)^L$70)</f>
        <v>34101.300728834758</v>
      </c>
      <c r="M111" s="31">
        <f>M108/(((Data!$P$186/100)+1)^M$70)</f>
        <v>36049.327913556379</v>
      </c>
      <c r="N111" s="31">
        <f>N108/(((Data!$P$186/100)+1)^N$70)</f>
        <v>38128.224610474128</v>
      </c>
      <c r="O111" s="31">
        <f>O108/(((Data!$P$186/100)+1)^O$70)</f>
        <v>40345.833879179489</v>
      </c>
      <c r="P111" s="31">
        <f>P108/(((Data!$P$186/100)+1)^P$70)</f>
        <v>42710.507895488568</v>
      </c>
      <c r="Q111" s="31">
        <f>Q108/(((Data!$P$186/100)+1)^Q$70)</f>
        <v>45231.139195460128</v>
      </c>
      <c r="R111" s="31">
        <f>R108/(((Data!$P$186/100)+1)^R$70)</f>
        <v>47917.193913737254</v>
      </c>
      <c r="S111" s="31">
        <f>S108/(((Data!$P$186/100)+1)^S$70)</f>
        <v>50778.747140043626</v>
      </c>
      <c r="T111" s="31">
        <f>T108/(((Data!$P$186/100)+1)^T$70)</f>
        <v>53826.520525505468</v>
      </c>
      <c r="U111" s="31">
        <f>U108/(((Data!$P$186/100)+1)^U$70)</f>
        <v>57071.922278798324</v>
      </c>
      <c r="V111" s="31">
        <f>V108/(((Data!$P$186/100)+1)^V$70)</f>
        <v>60527.08970096743</v>
      </c>
      <c r="W111" s="31">
        <f>W108/(((Data!$P$186/100)+1)^W$70)</f>
        <v>64204.934417172888</v>
      </c>
      <c r="X111" s="31">
        <f>X108/(((Data!$P$186/100)+1)^X$70)</f>
        <v>68119.190473601353</v>
      </c>
      <c r="Y111" s="31">
        <f>Y108/(((Data!$P$186/100)+1)^Y$70)</f>
        <v>72284.465478401529</v>
      </c>
      <c r="Z111" s="31">
        <f>Z108/(((Data!$P$186/100)+1)^Z$70)</f>
        <v>76716.294976781632</v>
      </c>
      <c r="AA111" s="31">
        <f>AA108/(((Data!$P$186/100)+1)^AA$70)</f>
        <v>81431.200262392216</v>
      </c>
      <c r="AB111" s="31">
        <f>AB108/(((Data!$P$186/100)+1)^AB$70)</f>
        <v>86446.749839856449</v>
      </c>
      <c r="AC111" s="31">
        <f>AC108/(((Data!$P$186/100)+1)^AC$70)</f>
        <v>91781.624766844485</v>
      </c>
      <c r="AD111" s="31">
        <f>AD108/(((Data!$P$186/100)+1)^AD$70)</f>
        <v>97455.688118471939</v>
      </c>
      <c r="AE111" s="31">
        <f>AE108/(((Data!$P$186/100)+1)^AE$70)</f>
        <v>103490.05883208801</v>
      </c>
      <c r="AF111" s="31">
        <f>AF108/(((Data!$P$186/100)+1)^AF$70)</f>
        <v>109907.19020676205</v>
      </c>
      <c r="AG111" s="31">
        <f>AG108/(((Data!$P$186/100)+1)^AG$70)</f>
        <v>116730.95334903897</v>
      </c>
      <c r="AH111" s="31">
        <f>AH108/(((Data!$P$186/100)+1)^AH$70)</f>
        <v>123986.72587487826</v>
      </c>
      <c r="AI111" s="31">
        <f>AI108/(((Data!$P$186/100)+1)^AI$70)</f>
        <v>131701.48619718698</v>
      </c>
      <c r="AJ111" s="31">
        <f>AJ108/(((Data!$P$186/100)+1)^AJ$70)</f>
        <v>139903.91374907372</v>
      </c>
    </row>
    <row r="112" spans="7:36" ht="15" hidden="1" customHeight="1" x14ac:dyDescent="0.2">
      <c r="G112" s="30" t="s">
        <v>186</v>
      </c>
      <c r="H112" s="33"/>
      <c r="I112" s="13"/>
      <c r="J112" s="13"/>
      <c r="K112" s="34">
        <f>K111</f>
        <v>32276.779746795</v>
      </c>
      <c r="L112" s="34">
        <f t="shared" ref="L112:AJ112" si="17">K112+L111</f>
        <v>66378.080475629758</v>
      </c>
      <c r="M112" s="34">
        <f t="shared" si="17"/>
        <v>102427.40838918614</v>
      </c>
      <c r="N112" s="34">
        <f t="shared" si="17"/>
        <v>140555.63299966027</v>
      </c>
      <c r="O112" s="34">
        <f t="shared" si="17"/>
        <v>180901.46687883977</v>
      </c>
      <c r="P112" s="34">
        <f t="shared" si="17"/>
        <v>223611.97477432835</v>
      </c>
      <c r="Q112" s="34">
        <f t="shared" si="17"/>
        <v>268843.11396978848</v>
      </c>
      <c r="R112" s="34">
        <f t="shared" si="17"/>
        <v>316760.30788352573</v>
      </c>
      <c r="S112" s="34">
        <f t="shared" si="17"/>
        <v>367539.05502356938</v>
      </c>
      <c r="T112" s="34">
        <f t="shared" si="17"/>
        <v>421365.57554907486</v>
      </c>
      <c r="U112" s="34">
        <f t="shared" si="17"/>
        <v>478437.49782787316</v>
      </c>
      <c r="V112" s="34">
        <f t="shared" si="17"/>
        <v>538964.58752884064</v>
      </c>
      <c r="W112" s="34">
        <f t="shared" si="17"/>
        <v>603169.52194601356</v>
      </c>
      <c r="X112" s="34">
        <f t="shared" si="17"/>
        <v>671288.71241961489</v>
      </c>
      <c r="Y112" s="34">
        <f t="shared" si="17"/>
        <v>743573.17789801641</v>
      </c>
      <c r="Z112" s="34">
        <f t="shared" si="17"/>
        <v>820289.472874798</v>
      </c>
      <c r="AA112" s="34">
        <f t="shared" si="17"/>
        <v>901720.67313719017</v>
      </c>
      <c r="AB112" s="34">
        <f t="shared" si="17"/>
        <v>988167.42297704658</v>
      </c>
      <c r="AC112" s="34">
        <f t="shared" si="17"/>
        <v>1079949.0477438911</v>
      </c>
      <c r="AD112" s="34">
        <f t="shared" si="17"/>
        <v>1177404.7358623631</v>
      </c>
      <c r="AE112" s="34">
        <f t="shared" si="17"/>
        <v>1280894.7946944511</v>
      </c>
      <c r="AF112" s="34">
        <f t="shared" si="17"/>
        <v>1390801.9849012131</v>
      </c>
      <c r="AG112" s="34">
        <f t="shared" si="17"/>
        <v>1507532.938250252</v>
      </c>
      <c r="AH112" s="34">
        <f t="shared" si="17"/>
        <v>1631519.6641251303</v>
      </c>
      <c r="AI112" s="34">
        <f t="shared" si="17"/>
        <v>1763221.1503223171</v>
      </c>
      <c r="AJ112" s="34">
        <f t="shared" si="17"/>
        <v>1903125.0640713908</v>
      </c>
    </row>
    <row r="113" spans="7:38" ht="15" hidden="1" customHeight="1" x14ac:dyDescent="0.2">
      <c r="G113" s="8"/>
      <c r="H113" s="8"/>
      <c r="I113" s="8"/>
      <c r="J113" s="8"/>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row>
    <row r="114" spans="7:38" ht="15" hidden="1" customHeight="1" x14ac:dyDescent="0.2">
      <c r="G114" s="532" t="s">
        <v>525</v>
      </c>
      <c r="H114" s="17"/>
      <c r="I114" s="13"/>
      <c r="J114" s="13"/>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row>
    <row r="115" spans="7:38" ht="15" hidden="1" customHeight="1" x14ac:dyDescent="0.2">
      <c r="G115" s="17"/>
      <c r="H115" s="17"/>
      <c r="I115" s="13"/>
      <c r="J115" s="13"/>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row>
    <row r="116" spans="7:38" ht="15" hidden="1" customHeight="1" x14ac:dyDescent="0.2">
      <c r="G116" s="17" t="s">
        <v>2</v>
      </c>
      <c r="H116" s="60"/>
      <c r="I116" s="60"/>
      <c r="J116" s="60"/>
      <c r="K116" s="101">
        <f>K$79</f>
        <v>0.19338</v>
      </c>
      <c r="L116" s="101">
        <f t="shared" ref="L116:AJ116" si="18">L$79</f>
        <v>0.18757859999999998</v>
      </c>
      <c r="M116" s="101">
        <f t="shared" si="18"/>
        <v>0.18195124199999999</v>
      </c>
      <c r="N116" s="101">
        <f t="shared" si="18"/>
        <v>0.17649270473999998</v>
      </c>
      <c r="O116" s="101">
        <f t="shared" si="18"/>
        <v>0.17119792359779998</v>
      </c>
      <c r="P116" s="101">
        <f t="shared" si="18"/>
        <v>0.16606198588986598</v>
      </c>
      <c r="Q116" s="101">
        <f t="shared" si="18"/>
        <v>0.16108012631317001</v>
      </c>
      <c r="R116" s="101">
        <f t="shared" si="18"/>
        <v>0.15624772252377489</v>
      </c>
      <c r="S116" s="101">
        <f t="shared" si="18"/>
        <v>0.15156029084806164</v>
      </c>
      <c r="T116" s="101">
        <f t="shared" si="18"/>
        <v>0.14701348212261978</v>
      </c>
      <c r="U116" s="101">
        <f t="shared" si="18"/>
        <v>0.14260307765894117</v>
      </c>
      <c r="V116" s="101">
        <f t="shared" si="18"/>
        <v>0.13832498532917292</v>
      </c>
      <c r="W116" s="101">
        <f t="shared" si="18"/>
        <v>0.13417523576929774</v>
      </c>
      <c r="X116" s="101">
        <f t="shared" si="18"/>
        <v>0.1301499786962188</v>
      </c>
      <c r="Y116" s="101">
        <f t="shared" si="18"/>
        <v>0.12624547933533223</v>
      </c>
      <c r="Z116" s="101">
        <f t="shared" si="18"/>
        <v>0.12245811495527226</v>
      </c>
      <c r="AA116" s="101">
        <f t="shared" si="18"/>
        <v>0.11878437150661408</v>
      </c>
      <c r="AB116" s="101">
        <f t="shared" si="18"/>
        <v>0.11522084036141565</v>
      </c>
      <c r="AC116" s="101">
        <f t="shared" si="18"/>
        <v>0.11176421515057318</v>
      </c>
      <c r="AD116" s="101">
        <f t="shared" si="18"/>
        <v>0.10841128869605599</v>
      </c>
      <c r="AE116" s="101">
        <f t="shared" si="18"/>
        <v>0.10515895003517431</v>
      </c>
      <c r="AF116" s="101">
        <f t="shared" si="18"/>
        <v>0.10200418153411908</v>
      </c>
      <c r="AG116" s="101">
        <f t="shared" si="18"/>
        <v>9.8944056088095506E-2</v>
      </c>
      <c r="AH116" s="101">
        <f t="shared" si="18"/>
        <v>9.5975734405452637E-2</v>
      </c>
      <c r="AI116" s="101">
        <f t="shared" si="18"/>
        <v>9.3096462373289057E-2</v>
      </c>
      <c r="AJ116" s="101">
        <f t="shared" si="18"/>
        <v>9.0303568502090384E-2</v>
      </c>
    </row>
    <row r="117" spans="7:38" ht="15" hidden="1" customHeight="1" x14ac:dyDescent="0.2">
      <c r="G117" s="17" t="s">
        <v>1</v>
      </c>
      <c r="H117" s="60"/>
      <c r="I117" s="60"/>
      <c r="J117" s="60"/>
      <c r="K117" s="101">
        <f>K$85</f>
        <v>0.31</v>
      </c>
      <c r="L117" s="101">
        <f t="shared" ref="L117:AJ117" si="19">L$85</f>
        <v>0.34100000000000003</v>
      </c>
      <c r="M117" s="101">
        <f t="shared" si="19"/>
        <v>0.37510000000000004</v>
      </c>
      <c r="N117" s="101">
        <f t="shared" si="19"/>
        <v>0.41261000000000009</v>
      </c>
      <c r="O117" s="101">
        <f t="shared" si="19"/>
        <v>0.45387100000000014</v>
      </c>
      <c r="P117" s="101">
        <f t="shared" si="19"/>
        <v>0.4992581000000002</v>
      </c>
      <c r="Q117" s="101">
        <f t="shared" si="19"/>
        <v>0.54918391000000022</v>
      </c>
      <c r="R117" s="101">
        <f t="shared" si="19"/>
        <v>0.60410230100000029</v>
      </c>
      <c r="S117" s="101">
        <f t="shared" si="19"/>
        <v>0.66451253110000041</v>
      </c>
      <c r="T117" s="101">
        <f t="shared" si="19"/>
        <v>0.73096378421000052</v>
      </c>
      <c r="U117" s="101">
        <f t="shared" si="19"/>
        <v>0.80406016263100066</v>
      </c>
      <c r="V117" s="101">
        <f t="shared" si="19"/>
        <v>0.88446617889410084</v>
      </c>
      <c r="W117" s="101">
        <f t="shared" si="19"/>
        <v>0.97291279678351106</v>
      </c>
      <c r="X117" s="101">
        <f t="shared" si="19"/>
        <v>1.0702040764618623</v>
      </c>
      <c r="Y117" s="101">
        <f t="shared" si="19"/>
        <v>1.1772244841080486</v>
      </c>
      <c r="Z117" s="101">
        <f t="shared" si="19"/>
        <v>1.2949469325188536</v>
      </c>
      <c r="AA117" s="101">
        <f t="shared" si="19"/>
        <v>1.4244416257707391</v>
      </c>
      <c r="AB117" s="101">
        <f t="shared" si="19"/>
        <v>1.5668857883478131</v>
      </c>
      <c r="AC117" s="101">
        <f t="shared" si="19"/>
        <v>1.7235743671825945</v>
      </c>
      <c r="AD117" s="101">
        <f t="shared" si="19"/>
        <v>1.8959318039008541</v>
      </c>
      <c r="AE117" s="101">
        <f t="shared" si="19"/>
        <v>2.0855249842909398</v>
      </c>
      <c r="AF117" s="101">
        <f t="shared" si="19"/>
        <v>2.2940774827200339</v>
      </c>
      <c r="AG117" s="101">
        <f t="shared" si="19"/>
        <v>2.5234852309920375</v>
      </c>
      <c r="AH117" s="101">
        <f t="shared" si="19"/>
        <v>2.7758337540912414</v>
      </c>
      <c r="AI117" s="101">
        <f t="shared" si="19"/>
        <v>3.053417129500366</v>
      </c>
      <c r="AJ117" s="101">
        <f t="shared" si="19"/>
        <v>3.3587588424504031</v>
      </c>
    </row>
    <row r="118" spans="7:38" ht="15" hidden="1" customHeight="1" x14ac:dyDescent="0.2">
      <c r="G118" s="60"/>
      <c r="H118" s="60"/>
      <c r="I118" s="60"/>
      <c r="J118" s="60"/>
      <c r="K118" s="60"/>
      <c r="L118" s="60"/>
      <c r="M118" s="60"/>
      <c r="N118" s="60"/>
      <c r="O118" s="60"/>
      <c r="P118" s="60"/>
      <c r="Q118" s="60"/>
      <c r="R118" s="61"/>
      <c r="S118" s="60"/>
      <c r="T118" s="60"/>
      <c r="U118" s="60"/>
      <c r="V118" s="60"/>
      <c r="W118" s="60"/>
      <c r="X118" s="60"/>
      <c r="Y118" s="60"/>
      <c r="Z118" s="60"/>
      <c r="AA118" s="60"/>
      <c r="AB118" s="60"/>
      <c r="AC118" s="60"/>
      <c r="AD118" s="60"/>
      <c r="AE118" s="60"/>
      <c r="AF118" s="60"/>
      <c r="AG118" s="60"/>
      <c r="AH118" s="60"/>
      <c r="AI118" s="60"/>
      <c r="AJ118" s="60"/>
    </row>
    <row r="119" spans="7:38" ht="15" hidden="1" customHeight="1" x14ac:dyDescent="0.2">
      <c r="G119" s="17" t="s">
        <v>4</v>
      </c>
      <c r="H119" s="17"/>
      <c r="I119" s="13"/>
      <c r="J119" s="1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row>
    <row r="120" spans="7:38" ht="15" hidden="1" customHeight="1" x14ac:dyDescent="0.2">
      <c r="G120" s="17" t="s">
        <v>5</v>
      </c>
      <c r="H120" s="17"/>
      <c r="I120" s="13"/>
      <c r="J120" s="1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row>
    <row r="121" spans="7:38" ht="15" hidden="1" customHeight="1" x14ac:dyDescent="0.2">
      <c r="G121" s="17" t="s">
        <v>6</v>
      </c>
      <c r="H121" s="17"/>
      <c r="I121" s="13"/>
      <c r="J121" s="13"/>
      <c r="K121" s="80" t="e">
        <f>K194+K267</f>
        <v>#DIV/0!</v>
      </c>
      <c r="L121" s="80" t="e">
        <f t="shared" ref="L121:AJ121" si="20">L194+L267</f>
        <v>#DIV/0!</v>
      </c>
      <c r="M121" s="80" t="e">
        <f t="shared" si="20"/>
        <v>#DIV/0!</v>
      </c>
      <c r="N121" s="80" t="e">
        <f t="shared" si="20"/>
        <v>#DIV/0!</v>
      </c>
      <c r="O121" s="80" t="e">
        <f t="shared" si="20"/>
        <v>#DIV/0!</v>
      </c>
      <c r="P121" s="80" t="e">
        <f t="shared" si="20"/>
        <v>#DIV/0!</v>
      </c>
      <c r="Q121" s="80" t="e">
        <f t="shared" si="20"/>
        <v>#DIV/0!</v>
      </c>
      <c r="R121" s="80" t="e">
        <f t="shared" si="20"/>
        <v>#DIV/0!</v>
      </c>
      <c r="S121" s="80" t="e">
        <f t="shared" si="20"/>
        <v>#DIV/0!</v>
      </c>
      <c r="T121" s="80" t="e">
        <f t="shared" si="20"/>
        <v>#DIV/0!</v>
      </c>
      <c r="U121" s="80" t="e">
        <f t="shared" si="20"/>
        <v>#DIV/0!</v>
      </c>
      <c r="V121" s="80" t="e">
        <f t="shared" si="20"/>
        <v>#DIV/0!</v>
      </c>
      <c r="W121" s="80" t="e">
        <f t="shared" si="20"/>
        <v>#DIV/0!</v>
      </c>
      <c r="X121" s="80" t="e">
        <f t="shared" si="20"/>
        <v>#DIV/0!</v>
      </c>
      <c r="Y121" s="80" t="e">
        <f t="shared" si="20"/>
        <v>#DIV/0!</v>
      </c>
      <c r="Z121" s="80" t="e">
        <f t="shared" si="20"/>
        <v>#DIV/0!</v>
      </c>
      <c r="AA121" s="80" t="e">
        <f t="shared" si="20"/>
        <v>#DIV/0!</v>
      </c>
      <c r="AB121" s="80" t="e">
        <f t="shared" si="20"/>
        <v>#DIV/0!</v>
      </c>
      <c r="AC121" s="80" t="e">
        <f t="shared" si="20"/>
        <v>#DIV/0!</v>
      </c>
      <c r="AD121" s="80" t="e">
        <f t="shared" si="20"/>
        <v>#DIV/0!</v>
      </c>
      <c r="AE121" s="80" t="e">
        <f t="shared" si="20"/>
        <v>#DIV/0!</v>
      </c>
      <c r="AF121" s="80" t="e">
        <f t="shared" si="20"/>
        <v>#DIV/0!</v>
      </c>
      <c r="AG121" s="80" t="e">
        <f t="shared" si="20"/>
        <v>#DIV/0!</v>
      </c>
      <c r="AH121" s="80" t="e">
        <f t="shared" si="20"/>
        <v>#DIV/0!</v>
      </c>
      <c r="AI121" s="80" t="e">
        <f t="shared" si="20"/>
        <v>#DIV/0!</v>
      </c>
      <c r="AJ121" s="80" t="e">
        <f t="shared" si="20"/>
        <v>#DIV/0!</v>
      </c>
    </row>
    <row r="122" spans="7:38" ht="15" hidden="1" customHeight="1" x14ac:dyDescent="0.2">
      <c r="G122" s="17"/>
      <c r="H122" s="17"/>
      <c r="I122" s="13"/>
      <c r="J122" s="13"/>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row>
    <row r="123" spans="7:38" ht="15" hidden="1" customHeight="1" x14ac:dyDescent="0.2">
      <c r="G123" s="17" t="s">
        <v>7</v>
      </c>
      <c r="H123" s="17"/>
      <c r="I123" s="13"/>
      <c r="J123" s="1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row>
    <row r="124" spans="7:38" ht="15" hidden="1" customHeight="1" x14ac:dyDescent="0.2">
      <c r="G124" s="17" t="s">
        <v>8</v>
      </c>
      <c r="H124" s="17"/>
      <c r="I124" s="13"/>
      <c r="J124" s="1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row>
    <row r="125" spans="7:38" ht="15" hidden="1" customHeight="1" x14ac:dyDescent="0.2">
      <c r="G125" s="17" t="s">
        <v>9</v>
      </c>
      <c r="H125" s="17"/>
      <c r="I125" s="13"/>
      <c r="J125" s="13"/>
      <c r="K125" s="80" t="e">
        <f>K198+K271</f>
        <v>#DIV/0!</v>
      </c>
      <c r="L125" s="80" t="e">
        <f t="shared" ref="L125:AJ125" si="21">L198+L271</f>
        <v>#DIV/0!</v>
      </c>
      <c r="M125" s="80" t="e">
        <f t="shared" si="21"/>
        <v>#DIV/0!</v>
      </c>
      <c r="N125" s="80" t="e">
        <f t="shared" si="21"/>
        <v>#DIV/0!</v>
      </c>
      <c r="O125" s="80" t="e">
        <f t="shared" si="21"/>
        <v>#DIV/0!</v>
      </c>
      <c r="P125" s="80" t="e">
        <f t="shared" si="21"/>
        <v>#DIV/0!</v>
      </c>
      <c r="Q125" s="80" t="e">
        <f t="shared" si="21"/>
        <v>#DIV/0!</v>
      </c>
      <c r="R125" s="80" t="e">
        <f t="shared" si="21"/>
        <v>#DIV/0!</v>
      </c>
      <c r="S125" s="80" t="e">
        <f t="shared" si="21"/>
        <v>#DIV/0!</v>
      </c>
      <c r="T125" s="80" t="e">
        <f t="shared" si="21"/>
        <v>#DIV/0!</v>
      </c>
      <c r="U125" s="80" t="e">
        <f t="shared" si="21"/>
        <v>#DIV/0!</v>
      </c>
      <c r="V125" s="80" t="e">
        <f t="shared" si="21"/>
        <v>#DIV/0!</v>
      </c>
      <c r="W125" s="80" t="e">
        <f t="shared" si="21"/>
        <v>#DIV/0!</v>
      </c>
      <c r="X125" s="80" t="e">
        <f t="shared" si="21"/>
        <v>#DIV/0!</v>
      </c>
      <c r="Y125" s="80" t="e">
        <f t="shared" si="21"/>
        <v>#DIV/0!</v>
      </c>
      <c r="Z125" s="80" t="e">
        <f t="shared" si="21"/>
        <v>#DIV/0!</v>
      </c>
      <c r="AA125" s="80" t="e">
        <f t="shared" si="21"/>
        <v>#DIV/0!</v>
      </c>
      <c r="AB125" s="80" t="e">
        <f t="shared" si="21"/>
        <v>#DIV/0!</v>
      </c>
      <c r="AC125" s="80" t="e">
        <f t="shared" si="21"/>
        <v>#DIV/0!</v>
      </c>
      <c r="AD125" s="80" t="e">
        <f t="shared" si="21"/>
        <v>#DIV/0!</v>
      </c>
      <c r="AE125" s="80" t="e">
        <f t="shared" si="21"/>
        <v>#DIV/0!</v>
      </c>
      <c r="AF125" s="80" t="e">
        <f t="shared" si="21"/>
        <v>#DIV/0!</v>
      </c>
      <c r="AG125" s="80" t="e">
        <f t="shared" si="21"/>
        <v>#DIV/0!</v>
      </c>
      <c r="AH125" s="80" t="e">
        <f t="shared" si="21"/>
        <v>#DIV/0!</v>
      </c>
      <c r="AI125" s="80" t="e">
        <f t="shared" si="21"/>
        <v>#DIV/0!</v>
      </c>
      <c r="AJ125" s="80" t="e">
        <f t="shared" si="21"/>
        <v>#DIV/0!</v>
      </c>
    </row>
    <row r="126" spans="7:38" ht="15" hidden="1" customHeight="1" x14ac:dyDescent="0.2">
      <c r="G126" s="17"/>
      <c r="H126" s="17"/>
      <c r="I126" s="13"/>
      <c r="J126" s="13"/>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row>
    <row r="127" spans="7:38" ht="15" hidden="1" customHeight="1" x14ac:dyDescent="0.2">
      <c r="G127" s="17" t="s">
        <v>10</v>
      </c>
      <c r="H127" s="17"/>
      <c r="I127" s="13"/>
      <c r="J127" s="13"/>
      <c r="K127" s="80">
        <f>IF($Q$46=0,IF(K70=$Q$41,$Q$40,0),IF(K$70=$Q$41,$Q$40*K$87,IF(OR(AND($Q$41=0,K$70=$Q$41),AND(K$70&gt;=$Q$41+$Q$46,INT((K$70-$Q$41)/($Q$46))=(K$70-$Q$41)/($Q$46))),$Q$45*K$87,0)))</f>
        <v>0</v>
      </c>
      <c r="L127" s="80">
        <f t="shared" ref="L127:AI127" si="22">IF($Q$46=0,IF(L70=$Q$41,$Q$40,0),IF(L$70=$Q$41,$Q$40*L$87,IF(OR(AND($Q$41=0,L$70=$Q$41),AND(L$70&gt;=$Q$41+$Q$46,INT((L$70-$Q$41)/($Q$46))=(L$70-$Q$41)/($Q$46))),$Q$45*L$87,0)))</f>
        <v>0</v>
      </c>
      <c r="M127" s="80">
        <f t="shared" si="22"/>
        <v>0</v>
      </c>
      <c r="N127" s="80">
        <f t="shared" si="22"/>
        <v>0</v>
      </c>
      <c r="O127" s="80">
        <f t="shared" si="22"/>
        <v>0</v>
      </c>
      <c r="P127" s="80">
        <f t="shared" si="22"/>
        <v>0</v>
      </c>
      <c r="Q127" s="80">
        <f t="shared" si="22"/>
        <v>0</v>
      </c>
      <c r="R127" s="80">
        <f t="shared" si="22"/>
        <v>0</v>
      </c>
      <c r="S127" s="80">
        <f t="shared" si="22"/>
        <v>0</v>
      </c>
      <c r="T127" s="80">
        <f t="shared" si="22"/>
        <v>0</v>
      </c>
      <c r="U127" s="80">
        <f t="shared" si="22"/>
        <v>0</v>
      </c>
      <c r="V127" s="80">
        <f t="shared" si="22"/>
        <v>0</v>
      </c>
      <c r="W127" s="80">
        <f t="shared" si="22"/>
        <v>0</v>
      </c>
      <c r="X127" s="80">
        <f t="shared" si="22"/>
        <v>0</v>
      </c>
      <c r="Y127" s="80">
        <f t="shared" si="22"/>
        <v>0</v>
      </c>
      <c r="Z127" s="80">
        <f t="shared" si="22"/>
        <v>0</v>
      </c>
      <c r="AA127" s="80">
        <f t="shared" si="22"/>
        <v>0</v>
      </c>
      <c r="AB127" s="80">
        <f t="shared" si="22"/>
        <v>0</v>
      </c>
      <c r="AC127" s="80">
        <f t="shared" si="22"/>
        <v>0</v>
      </c>
      <c r="AD127" s="80">
        <f t="shared" si="22"/>
        <v>0</v>
      </c>
      <c r="AE127" s="80">
        <f t="shared" si="22"/>
        <v>0</v>
      </c>
      <c r="AF127" s="80">
        <f t="shared" si="22"/>
        <v>0</v>
      </c>
      <c r="AG127" s="80">
        <f t="shared" si="22"/>
        <v>0</v>
      </c>
      <c r="AH127" s="80">
        <f t="shared" si="22"/>
        <v>0</v>
      </c>
      <c r="AI127" s="80">
        <f t="shared" si="22"/>
        <v>0</v>
      </c>
      <c r="AJ127" s="80">
        <f>IF($Q$46=0,IF(AJ70=$Q$41,$Q$40,0),IF(AJ$70=$Q$41,$Q$40*AJ$87,IF(OR(AND($Q$41=0,AJ$70=$Q$41),AND(AJ$70&gt;=$Q$41+$Q$46,INT((AJ$70-$Q$41)/($Q$46))=(AJ$70-$Q$41)/($Q$46))),$Q$45*AJ$87,0)))</f>
        <v>0</v>
      </c>
    </row>
    <row r="128" spans="7:38" ht="15" hidden="1" customHeight="1" x14ac:dyDescent="0.2">
      <c r="G128" s="17" t="s">
        <v>11</v>
      </c>
      <c r="H128" s="17"/>
      <c r="I128" s="13"/>
      <c r="J128" s="13"/>
      <c r="K128" s="35">
        <f>IF(K$70&lt;$Q$41,($K$43*K$87)-($K$44*K$87),($Q$43*K$87)-($Q$44*K$87))</f>
        <v>0</v>
      </c>
      <c r="L128" s="35">
        <f t="shared" ref="L128:AI128" si="23">IF(L$70&lt;$Q$41,($K$43*L$87)-($K$44*L$87),($Q$43*L$87)-($Q$44*L$87))</f>
        <v>0</v>
      </c>
      <c r="M128" s="35">
        <f t="shared" si="23"/>
        <v>0</v>
      </c>
      <c r="N128" s="35">
        <f t="shared" si="23"/>
        <v>0</v>
      </c>
      <c r="O128" s="35">
        <f t="shared" si="23"/>
        <v>0</v>
      </c>
      <c r="P128" s="35">
        <f t="shared" si="23"/>
        <v>0</v>
      </c>
      <c r="Q128" s="35">
        <f t="shared" si="23"/>
        <v>0</v>
      </c>
      <c r="R128" s="35">
        <f t="shared" si="23"/>
        <v>0</v>
      </c>
      <c r="S128" s="35">
        <f t="shared" si="23"/>
        <v>0</v>
      </c>
      <c r="T128" s="35">
        <f t="shared" si="23"/>
        <v>0</v>
      </c>
      <c r="U128" s="35">
        <f t="shared" si="23"/>
        <v>0</v>
      </c>
      <c r="V128" s="35">
        <f t="shared" si="23"/>
        <v>0</v>
      </c>
      <c r="W128" s="35">
        <f t="shared" si="23"/>
        <v>0</v>
      </c>
      <c r="X128" s="35">
        <f t="shared" si="23"/>
        <v>0</v>
      </c>
      <c r="Y128" s="35">
        <f t="shared" si="23"/>
        <v>0</v>
      </c>
      <c r="Z128" s="35">
        <f t="shared" si="23"/>
        <v>0</v>
      </c>
      <c r="AA128" s="35">
        <f t="shared" si="23"/>
        <v>0</v>
      </c>
      <c r="AB128" s="35">
        <f t="shared" si="23"/>
        <v>0</v>
      </c>
      <c r="AC128" s="35">
        <f t="shared" si="23"/>
        <v>0</v>
      </c>
      <c r="AD128" s="35">
        <f t="shared" si="23"/>
        <v>0</v>
      </c>
      <c r="AE128" s="35">
        <f t="shared" si="23"/>
        <v>0</v>
      </c>
      <c r="AF128" s="35">
        <f t="shared" si="23"/>
        <v>0</v>
      </c>
      <c r="AG128" s="35">
        <f t="shared" si="23"/>
        <v>0</v>
      </c>
      <c r="AH128" s="35">
        <f t="shared" si="23"/>
        <v>0</v>
      </c>
      <c r="AI128" s="35">
        <f t="shared" si="23"/>
        <v>0</v>
      </c>
      <c r="AJ128" s="35">
        <f>IF(AJ$70&lt;$Q$41,($K$43*AJ$87)-($K$44*AJ$87),($Q$43*AJ$87)-($Q$44*AJ$87))</f>
        <v>0</v>
      </c>
      <c r="AL128" s="121"/>
    </row>
    <row r="129" spans="7:36" ht="15" hidden="1" customHeight="1" x14ac:dyDescent="0.2">
      <c r="G129" s="17" t="s">
        <v>12</v>
      </c>
      <c r="H129" s="17"/>
      <c r="I129" s="13"/>
      <c r="J129" s="13"/>
      <c r="K129" s="80" t="e">
        <f>K202+K275</f>
        <v>#DIV/0!</v>
      </c>
      <c r="L129" s="80" t="e">
        <f t="shared" ref="L129:AJ130" si="24">L202+L275</f>
        <v>#DIV/0!</v>
      </c>
      <c r="M129" s="80" t="e">
        <f t="shared" si="24"/>
        <v>#DIV/0!</v>
      </c>
      <c r="N129" s="80" t="e">
        <f t="shared" si="24"/>
        <v>#DIV/0!</v>
      </c>
      <c r="O129" s="80" t="e">
        <f t="shared" si="24"/>
        <v>#DIV/0!</v>
      </c>
      <c r="P129" s="80" t="e">
        <f t="shared" si="24"/>
        <v>#DIV/0!</v>
      </c>
      <c r="Q129" s="80" t="e">
        <f t="shared" si="24"/>
        <v>#DIV/0!</v>
      </c>
      <c r="R129" s="80" t="e">
        <f t="shared" si="24"/>
        <v>#DIV/0!</v>
      </c>
      <c r="S129" s="80" t="e">
        <f t="shared" si="24"/>
        <v>#DIV/0!</v>
      </c>
      <c r="T129" s="80" t="e">
        <f t="shared" si="24"/>
        <v>#DIV/0!</v>
      </c>
      <c r="U129" s="80" t="e">
        <f t="shared" si="24"/>
        <v>#DIV/0!</v>
      </c>
      <c r="V129" s="80" t="e">
        <f t="shared" si="24"/>
        <v>#DIV/0!</v>
      </c>
      <c r="W129" s="80" t="e">
        <f t="shared" si="24"/>
        <v>#DIV/0!</v>
      </c>
      <c r="X129" s="80" t="e">
        <f t="shared" si="24"/>
        <v>#DIV/0!</v>
      </c>
      <c r="Y129" s="80" t="e">
        <f t="shared" si="24"/>
        <v>#DIV/0!</v>
      </c>
      <c r="Z129" s="80" t="e">
        <f t="shared" si="24"/>
        <v>#DIV/0!</v>
      </c>
      <c r="AA129" s="80" t="e">
        <f t="shared" si="24"/>
        <v>#DIV/0!</v>
      </c>
      <c r="AB129" s="80" t="e">
        <f t="shared" si="24"/>
        <v>#DIV/0!</v>
      </c>
      <c r="AC129" s="80" t="e">
        <f t="shared" si="24"/>
        <v>#DIV/0!</v>
      </c>
      <c r="AD129" s="80" t="e">
        <f t="shared" si="24"/>
        <v>#DIV/0!</v>
      </c>
      <c r="AE129" s="80" t="e">
        <f t="shared" si="24"/>
        <v>#DIV/0!</v>
      </c>
      <c r="AF129" s="80" t="e">
        <f t="shared" si="24"/>
        <v>#DIV/0!</v>
      </c>
      <c r="AG129" s="80" t="e">
        <f t="shared" si="24"/>
        <v>#DIV/0!</v>
      </c>
      <c r="AH129" s="80" t="e">
        <f t="shared" si="24"/>
        <v>#DIV/0!</v>
      </c>
      <c r="AI129" s="80" t="e">
        <f t="shared" si="24"/>
        <v>#DIV/0!</v>
      </c>
      <c r="AJ129" s="80" t="e">
        <f>AJ202+AJ275</f>
        <v>#DIV/0!</v>
      </c>
    </row>
    <row r="130" spans="7:36" ht="15" hidden="1" customHeight="1" x14ac:dyDescent="0.2">
      <c r="G130" s="17" t="s">
        <v>13</v>
      </c>
      <c r="H130" s="17"/>
      <c r="I130" s="13"/>
      <c r="J130" s="13"/>
      <c r="K130" s="80" t="e">
        <f>K203+K276</f>
        <v>#DIV/0!</v>
      </c>
      <c r="L130" s="80" t="e">
        <f t="shared" si="24"/>
        <v>#DIV/0!</v>
      </c>
      <c r="M130" s="80" t="e">
        <f t="shared" si="24"/>
        <v>#DIV/0!</v>
      </c>
      <c r="N130" s="80" t="e">
        <f t="shared" si="24"/>
        <v>#DIV/0!</v>
      </c>
      <c r="O130" s="80" t="e">
        <f t="shared" si="24"/>
        <v>#DIV/0!</v>
      </c>
      <c r="P130" s="80" t="e">
        <f t="shared" si="24"/>
        <v>#DIV/0!</v>
      </c>
      <c r="Q130" s="80" t="e">
        <f t="shared" si="24"/>
        <v>#DIV/0!</v>
      </c>
      <c r="R130" s="80" t="e">
        <f t="shared" si="24"/>
        <v>#DIV/0!</v>
      </c>
      <c r="S130" s="80" t="e">
        <f t="shared" si="24"/>
        <v>#DIV/0!</v>
      </c>
      <c r="T130" s="80" t="e">
        <f t="shared" si="24"/>
        <v>#DIV/0!</v>
      </c>
      <c r="U130" s="80" t="e">
        <f t="shared" si="24"/>
        <v>#DIV/0!</v>
      </c>
      <c r="V130" s="80" t="e">
        <f t="shared" si="24"/>
        <v>#DIV/0!</v>
      </c>
      <c r="W130" s="80" t="e">
        <f t="shared" si="24"/>
        <v>#DIV/0!</v>
      </c>
      <c r="X130" s="80" t="e">
        <f t="shared" si="24"/>
        <v>#DIV/0!</v>
      </c>
      <c r="Y130" s="80" t="e">
        <f t="shared" si="24"/>
        <v>#DIV/0!</v>
      </c>
      <c r="Z130" s="80" t="e">
        <f t="shared" si="24"/>
        <v>#DIV/0!</v>
      </c>
      <c r="AA130" s="80" t="e">
        <f t="shared" si="24"/>
        <v>#DIV/0!</v>
      </c>
      <c r="AB130" s="80" t="e">
        <f t="shared" si="24"/>
        <v>#DIV/0!</v>
      </c>
      <c r="AC130" s="80" t="e">
        <f t="shared" si="24"/>
        <v>#DIV/0!</v>
      </c>
      <c r="AD130" s="80" t="e">
        <f t="shared" si="24"/>
        <v>#DIV/0!</v>
      </c>
      <c r="AE130" s="80" t="e">
        <f t="shared" si="24"/>
        <v>#DIV/0!</v>
      </c>
      <c r="AF130" s="80" t="e">
        <f t="shared" si="24"/>
        <v>#DIV/0!</v>
      </c>
      <c r="AG130" s="80" t="e">
        <f t="shared" si="24"/>
        <v>#DIV/0!</v>
      </c>
      <c r="AH130" s="80" t="e">
        <f t="shared" si="24"/>
        <v>#DIV/0!</v>
      </c>
      <c r="AI130" s="80" t="e">
        <f t="shared" si="24"/>
        <v>#DIV/0!</v>
      </c>
      <c r="AJ130" s="80" t="e">
        <f t="shared" si="24"/>
        <v>#DIV/0!</v>
      </c>
    </row>
    <row r="131" spans="7:36" ht="15" hidden="1" customHeight="1" x14ac:dyDescent="0.2">
      <c r="G131" s="17"/>
      <c r="H131" s="17"/>
      <c r="I131" s="13"/>
      <c r="J131" s="13"/>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row>
    <row r="132" spans="7:36" ht="15" hidden="1" customHeight="1" x14ac:dyDescent="0.2">
      <c r="G132" s="17" t="s">
        <v>14</v>
      </c>
      <c r="H132" s="17"/>
      <c r="I132" s="13"/>
      <c r="J132" s="13"/>
      <c r="K132" s="35" t="e">
        <f>SUM(K127:K130)</f>
        <v>#DIV/0!</v>
      </c>
      <c r="L132" s="35" t="e">
        <f t="shared" ref="L132:AH132" si="25">SUM(L127:L130)</f>
        <v>#DIV/0!</v>
      </c>
      <c r="M132" s="35" t="e">
        <f t="shared" si="25"/>
        <v>#DIV/0!</v>
      </c>
      <c r="N132" s="35" t="e">
        <f t="shared" si="25"/>
        <v>#DIV/0!</v>
      </c>
      <c r="O132" s="35" t="e">
        <f t="shared" si="25"/>
        <v>#DIV/0!</v>
      </c>
      <c r="P132" s="35" t="e">
        <f t="shared" si="25"/>
        <v>#DIV/0!</v>
      </c>
      <c r="Q132" s="35" t="e">
        <f t="shared" si="25"/>
        <v>#DIV/0!</v>
      </c>
      <c r="R132" s="35" t="e">
        <f t="shared" si="25"/>
        <v>#DIV/0!</v>
      </c>
      <c r="S132" s="35" t="e">
        <f t="shared" si="25"/>
        <v>#DIV/0!</v>
      </c>
      <c r="T132" s="35" t="e">
        <f t="shared" si="25"/>
        <v>#DIV/0!</v>
      </c>
      <c r="U132" s="35" t="e">
        <f t="shared" si="25"/>
        <v>#DIV/0!</v>
      </c>
      <c r="V132" s="35" t="e">
        <f t="shared" si="25"/>
        <v>#DIV/0!</v>
      </c>
      <c r="W132" s="35" t="e">
        <f t="shared" si="25"/>
        <v>#DIV/0!</v>
      </c>
      <c r="X132" s="35" t="e">
        <f t="shared" si="25"/>
        <v>#DIV/0!</v>
      </c>
      <c r="Y132" s="35" t="e">
        <f t="shared" si="25"/>
        <v>#DIV/0!</v>
      </c>
      <c r="Z132" s="35" t="e">
        <f t="shared" si="25"/>
        <v>#DIV/0!</v>
      </c>
      <c r="AA132" s="35" t="e">
        <f t="shared" si="25"/>
        <v>#DIV/0!</v>
      </c>
      <c r="AB132" s="35" t="e">
        <f t="shared" si="25"/>
        <v>#DIV/0!</v>
      </c>
      <c r="AC132" s="35" t="e">
        <f t="shared" si="25"/>
        <v>#DIV/0!</v>
      </c>
      <c r="AD132" s="35" t="e">
        <f t="shared" si="25"/>
        <v>#DIV/0!</v>
      </c>
      <c r="AE132" s="35" t="e">
        <f t="shared" si="25"/>
        <v>#DIV/0!</v>
      </c>
      <c r="AF132" s="35" t="e">
        <f t="shared" si="25"/>
        <v>#DIV/0!</v>
      </c>
      <c r="AG132" s="35" t="e">
        <f t="shared" si="25"/>
        <v>#DIV/0!</v>
      </c>
      <c r="AH132" s="35" t="e">
        <f t="shared" si="25"/>
        <v>#DIV/0!</v>
      </c>
      <c r="AI132" s="35" t="e">
        <f>SUM(AI127:AI130)</f>
        <v>#DIV/0!</v>
      </c>
      <c r="AJ132" s="35" t="e">
        <f>SUM(AJ127:AJ130)</f>
        <v>#DIV/0!</v>
      </c>
    </row>
    <row r="133" spans="7:36" ht="15" hidden="1" customHeight="1" x14ac:dyDescent="0.2">
      <c r="G133" s="17" t="s">
        <v>435</v>
      </c>
      <c r="H133" s="17"/>
      <c r="I133" s="13"/>
      <c r="J133" s="13"/>
      <c r="K133" s="35" t="e">
        <f>K132</f>
        <v>#DIV/0!</v>
      </c>
      <c r="L133" s="35" t="e">
        <f t="shared" ref="L133:AI133" si="26">K133+L132</f>
        <v>#DIV/0!</v>
      </c>
      <c r="M133" s="35" t="e">
        <f t="shared" si="26"/>
        <v>#DIV/0!</v>
      </c>
      <c r="N133" s="35" t="e">
        <f t="shared" si="26"/>
        <v>#DIV/0!</v>
      </c>
      <c r="O133" s="35" t="e">
        <f t="shared" si="26"/>
        <v>#DIV/0!</v>
      </c>
      <c r="P133" s="35" t="e">
        <f t="shared" si="26"/>
        <v>#DIV/0!</v>
      </c>
      <c r="Q133" s="35" t="e">
        <f t="shared" si="26"/>
        <v>#DIV/0!</v>
      </c>
      <c r="R133" s="35" t="e">
        <f t="shared" si="26"/>
        <v>#DIV/0!</v>
      </c>
      <c r="S133" s="35" t="e">
        <f t="shared" si="26"/>
        <v>#DIV/0!</v>
      </c>
      <c r="T133" s="35" t="e">
        <f t="shared" si="26"/>
        <v>#DIV/0!</v>
      </c>
      <c r="U133" s="35" t="e">
        <f t="shared" si="26"/>
        <v>#DIV/0!</v>
      </c>
      <c r="V133" s="35" t="e">
        <f t="shared" si="26"/>
        <v>#DIV/0!</v>
      </c>
      <c r="W133" s="35" t="e">
        <f t="shared" si="26"/>
        <v>#DIV/0!</v>
      </c>
      <c r="X133" s="35" t="e">
        <f t="shared" si="26"/>
        <v>#DIV/0!</v>
      </c>
      <c r="Y133" s="35" t="e">
        <f t="shared" si="26"/>
        <v>#DIV/0!</v>
      </c>
      <c r="Z133" s="35" t="e">
        <f t="shared" si="26"/>
        <v>#DIV/0!</v>
      </c>
      <c r="AA133" s="35" t="e">
        <f t="shared" si="26"/>
        <v>#DIV/0!</v>
      </c>
      <c r="AB133" s="35" t="e">
        <f t="shared" si="26"/>
        <v>#DIV/0!</v>
      </c>
      <c r="AC133" s="35" t="e">
        <f t="shared" si="26"/>
        <v>#DIV/0!</v>
      </c>
      <c r="AD133" s="35" t="e">
        <f t="shared" si="26"/>
        <v>#DIV/0!</v>
      </c>
      <c r="AE133" s="35" t="e">
        <f t="shared" si="26"/>
        <v>#DIV/0!</v>
      </c>
      <c r="AF133" s="35" t="e">
        <f t="shared" si="26"/>
        <v>#DIV/0!</v>
      </c>
      <c r="AG133" s="35" t="e">
        <f t="shared" si="26"/>
        <v>#DIV/0!</v>
      </c>
      <c r="AH133" s="35" t="e">
        <f t="shared" si="26"/>
        <v>#DIV/0!</v>
      </c>
      <c r="AI133" s="35" t="e">
        <f t="shared" si="26"/>
        <v>#DIV/0!</v>
      </c>
      <c r="AJ133" s="35" t="e">
        <f>AI133+AJ132</f>
        <v>#DIV/0!</v>
      </c>
    </row>
    <row r="134" spans="7:36" ht="15" hidden="1" customHeight="1" x14ac:dyDescent="0.2">
      <c r="G134" s="17"/>
      <c r="H134" s="17"/>
      <c r="I134" s="13"/>
      <c r="J134" s="13"/>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row>
    <row r="135" spans="7:36" ht="15" hidden="1" customHeight="1" x14ac:dyDescent="0.2">
      <c r="G135" s="17" t="s">
        <v>17</v>
      </c>
      <c r="H135" s="17"/>
      <c r="I135" s="13"/>
      <c r="J135" s="13"/>
      <c r="K135" s="35" t="e">
        <f>K132/(((Data!$P$186/100)+1)^K$70)</f>
        <v>#DIV/0!</v>
      </c>
      <c r="L135" s="35" t="e">
        <f>L132/(((Data!$P$186/100)+1)^L$70)</f>
        <v>#DIV/0!</v>
      </c>
      <c r="M135" s="35" t="e">
        <f>M132/(((Data!$P$186/100)+1)^M$70)</f>
        <v>#DIV/0!</v>
      </c>
      <c r="N135" s="35" t="e">
        <f>N132/(((Data!$P$186/100)+1)^N$70)</f>
        <v>#DIV/0!</v>
      </c>
      <c r="O135" s="35" t="e">
        <f>O132/(((Data!$P$186/100)+1)^O$70)</f>
        <v>#DIV/0!</v>
      </c>
      <c r="P135" s="35" t="e">
        <f>P132/(((Data!$P$186/100)+1)^P$70)</f>
        <v>#DIV/0!</v>
      </c>
      <c r="Q135" s="35" t="e">
        <f>Q132/(((Data!$P$186/100)+1)^Q$70)</f>
        <v>#DIV/0!</v>
      </c>
      <c r="R135" s="35" t="e">
        <f>R132/(((Data!$P$186/100)+1)^R$70)</f>
        <v>#DIV/0!</v>
      </c>
      <c r="S135" s="35" t="e">
        <f>S132/(((Data!$P$186/100)+1)^S$70)</f>
        <v>#DIV/0!</v>
      </c>
      <c r="T135" s="35" t="e">
        <f>T132/(((Data!$P$186/100)+1)^T$70)</f>
        <v>#DIV/0!</v>
      </c>
      <c r="U135" s="35" t="e">
        <f>U132/(((Data!$P$186/100)+1)^U$70)</f>
        <v>#DIV/0!</v>
      </c>
      <c r="V135" s="35" t="e">
        <f>V132/(((Data!$P$186/100)+1)^V$70)</f>
        <v>#DIV/0!</v>
      </c>
      <c r="W135" s="35" t="e">
        <f>W132/(((Data!$P$186/100)+1)^W$70)</f>
        <v>#DIV/0!</v>
      </c>
      <c r="X135" s="35" t="e">
        <f>X132/(((Data!$P$186/100)+1)^X$70)</f>
        <v>#DIV/0!</v>
      </c>
      <c r="Y135" s="35" t="e">
        <f>Y132/(((Data!$P$186/100)+1)^Y$70)</f>
        <v>#DIV/0!</v>
      </c>
      <c r="Z135" s="35" t="e">
        <f>Z132/(((Data!$P$186/100)+1)^Z$70)</f>
        <v>#DIV/0!</v>
      </c>
      <c r="AA135" s="35" t="e">
        <f>AA132/(((Data!$P$186/100)+1)^AA$70)</f>
        <v>#DIV/0!</v>
      </c>
      <c r="AB135" s="35" t="e">
        <f>AB132/(((Data!$P$186/100)+1)^AB$70)</f>
        <v>#DIV/0!</v>
      </c>
      <c r="AC135" s="35" t="e">
        <f>AC132/(((Data!$P$186/100)+1)^AC$70)</f>
        <v>#DIV/0!</v>
      </c>
      <c r="AD135" s="35" t="e">
        <f>AD132/(((Data!$P$186/100)+1)^AD$70)</f>
        <v>#DIV/0!</v>
      </c>
      <c r="AE135" s="35" t="e">
        <f>AE132/(((Data!$P$186/100)+1)^AE$70)</f>
        <v>#DIV/0!</v>
      </c>
      <c r="AF135" s="35" t="e">
        <f>AF132/(((Data!$P$186/100)+1)^AF$70)</f>
        <v>#DIV/0!</v>
      </c>
      <c r="AG135" s="35" t="e">
        <f>AG132/(((Data!$P$186/100)+1)^AG$70)</f>
        <v>#DIV/0!</v>
      </c>
      <c r="AH135" s="35" t="e">
        <f>AH132/(((Data!$P$186/100)+1)^AH$70)</f>
        <v>#DIV/0!</v>
      </c>
      <c r="AI135" s="35" t="e">
        <f>AI132/(((Data!$P$186/100)+1)^AI$70)</f>
        <v>#DIV/0!</v>
      </c>
      <c r="AJ135" s="35" t="e">
        <f>AJ132/(((Data!$P$186/100)+1)^AJ$70)</f>
        <v>#DIV/0!</v>
      </c>
    </row>
    <row r="136" spans="7:36" ht="15" hidden="1" customHeight="1" x14ac:dyDescent="0.2">
      <c r="G136" s="15" t="s">
        <v>184</v>
      </c>
      <c r="H136" s="15"/>
      <c r="I136" s="13"/>
      <c r="J136" s="13"/>
      <c r="K136" s="36" t="e">
        <f>K135</f>
        <v>#DIV/0!</v>
      </c>
      <c r="L136" s="36" t="e">
        <f t="shared" ref="L136:AI136" si="27">K136+L135</f>
        <v>#DIV/0!</v>
      </c>
      <c r="M136" s="36" t="e">
        <f t="shared" si="27"/>
        <v>#DIV/0!</v>
      </c>
      <c r="N136" s="36" t="e">
        <f t="shared" si="27"/>
        <v>#DIV/0!</v>
      </c>
      <c r="O136" s="36" t="e">
        <f t="shared" si="27"/>
        <v>#DIV/0!</v>
      </c>
      <c r="P136" s="36" t="e">
        <f t="shared" si="27"/>
        <v>#DIV/0!</v>
      </c>
      <c r="Q136" s="36" t="e">
        <f t="shared" si="27"/>
        <v>#DIV/0!</v>
      </c>
      <c r="R136" s="36" t="e">
        <f t="shared" si="27"/>
        <v>#DIV/0!</v>
      </c>
      <c r="S136" s="36" t="e">
        <f t="shared" si="27"/>
        <v>#DIV/0!</v>
      </c>
      <c r="T136" s="36" t="e">
        <f t="shared" si="27"/>
        <v>#DIV/0!</v>
      </c>
      <c r="U136" s="36" t="e">
        <f t="shared" si="27"/>
        <v>#DIV/0!</v>
      </c>
      <c r="V136" s="36" t="e">
        <f t="shared" si="27"/>
        <v>#DIV/0!</v>
      </c>
      <c r="W136" s="36" t="e">
        <f t="shared" si="27"/>
        <v>#DIV/0!</v>
      </c>
      <c r="X136" s="36" t="e">
        <f t="shared" si="27"/>
        <v>#DIV/0!</v>
      </c>
      <c r="Y136" s="36" t="e">
        <f t="shared" si="27"/>
        <v>#DIV/0!</v>
      </c>
      <c r="Z136" s="36" t="e">
        <f t="shared" si="27"/>
        <v>#DIV/0!</v>
      </c>
      <c r="AA136" s="36" t="e">
        <f t="shared" si="27"/>
        <v>#DIV/0!</v>
      </c>
      <c r="AB136" s="36" t="e">
        <f t="shared" si="27"/>
        <v>#DIV/0!</v>
      </c>
      <c r="AC136" s="36" t="e">
        <f t="shared" si="27"/>
        <v>#DIV/0!</v>
      </c>
      <c r="AD136" s="36" t="e">
        <f t="shared" si="27"/>
        <v>#DIV/0!</v>
      </c>
      <c r="AE136" s="36" t="e">
        <f t="shared" si="27"/>
        <v>#DIV/0!</v>
      </c>
      <c r="AF136" s="36" t="e">
        <f t="shared" si="27"/>
        <v>#DIV/0!</v>
      </c>
      <c r="AG136" s="36" t="e">
        <f t="shared" si="27"/>
        <v>#DIV/0!</v>
      </c>
      <c r="AH136" s="36" t="e">
        <f t="shared" si="27"/>
        <v>#DIV/0!</v>
      </c>
      <c r="AI136" s="36" t="e">
        <f t="shared" si="27"/>
        <v>#DIV/0!</v>
      </c>
      <c r="AJ136" s="36" t="e">
        <f>AI136+AJ135</f>
        <v>#DIV/0!</v>
      </c>
    </row>
    <row r="137" spans="7:36" ht="15" hidden="1" customHeight="1" x14ac:dyDescent="0.2">
      <c r="G137" s="8"/>
      <c r="H137" s="8"/>
      <c r="I137" s="8"/>
      <c r="J137" s="8"/>
      <c r="K137" s="8"/>
      <c r="L137" s="8"/>
      <c r="M137" s="8"/>
      <c r="N137" s="8"/>
      <c r="O137" s="8"/>
      <c r="P137" s="8"/>
      <c r="Q137" s="8"/>
      <c r="R137" s="8"/>
      <c r="S137" s="8"/>
      <c r="T137" s="9"/>
      <c r="U137" s="8"/>
      <c r="V137" s="8"/>
      <c r="W137" s="8"/>
      <c r="X137" s="8"/>
      <c r="Y137" s="8"/>
      <c r="Z137" s="8"/>
      <c r="AA137" s="8"/>
      <c r="AB137" s="8"/>
      <c r="AC137" s="8"/>
      <c r="AD137" s="8"/>
      <c r="AE137" s="8"/>
      <c r="AF137" s="8"/>
      <c r="AG137" s="8"/>
      <c r="AH137" s="8"/>
      <c r="AI137" s="8"/>
      <c r="AJ137" s="8"/>
    </row>
    <row r="138" spans="7:36" ht="15" hidden="1" customHeight="1" x14ac:dyDescent="0.2">
      <c r="G138" s="906" t="s">
        <v>530</v>
      </c>
      <c r="H138" s="839"/>
      <c r="I138" s="839"/>
      <c r="J138" s="839"/>
      <c r="K138" s="917"/>
      <c r="L138" s="917"/>
      <c r="M138" s="917"/>
      <c r="N138" s="917"/>
      <c r="O138" s="917"/>
      <c r="P138" s="917"/>
      <c r="Q138" s="917"/>
      <c r="R138" s="917"/>
      <c r="S138" s="917"/>
      <c r="T138" s="917"/>
      <c r="U138" s="917"/>
      <c r="V138" s="917"/>
      <c r="W138" s="917"/>
      <c r="X138" s="917"/>
      <c r="Y138" s="917"/>
      <c r="Z138" s="917"/>
      <c r="AA138" s="917"/>
      <c r="AB138" s="917"/>
      <c r="AC138" s="917"/>
      <c r="AD138" s="917"/>
      <c r="AE138" s="917"/>
      <c r="AF138" s="917"/>
      <c r="AG138" s="917"/>
      <c r="AH138" s="917"/>
      <c r="AI138" s="917"/>
      <c r="AJ138" s="917"/>
    </row>
    <row r="139" spans="7:36" ht="15" hidden="1" customHeight="1" x14ac:dyDescent="0.2">
      <c r="G139" s="839"/>
      <c r="H139" s="839"/>
      <c r="I139" s="839"/>
      <c r="J139" s="839"/>
      <c r="K139" s="917"/>
      <c r="L139" s="917"/>
      <c r="M139" s="917"/>
      <c r="N139" s="917"/>
      <c r="O139" s="917"/>
      <c r="P139" s="917"/>
      <c r="Q139" s="917"/>
      <c r="R139" s="917"/>
      <c r="S139" s="917"/>
      <c r="T139" s="917"/>
      <c r="U139" s="917"/>
      <c r="V139" s="917"/>
      <c r="W139" s="917"/>
      <c r="X139" s="917"/>
      <c r="Y139" s="917"/>
      <c r="Z139" s="917"/>
      <c r="AA139" s="917"/>
      <c r="AB139" s="917"/>
      <c r="AC139" s="917"/>
      <c r="AD139" s="917"/>
      <c r="AE139" s="917"/>
      <c r="AF139" s="917"/>
      <c r="AG139" s="917"/>
      <c r="AH139" s="917"/>
      <c r="AI139" s="917"/>
      <c r="AJ139" s="917"/>
    </row>
    <row r="140" spans="7:36" ht="15" hidden="1" customHeight="1" x14ac:dyDescent="0.2">
      <c r="G140" s="839" t="s">
        <v>2</v>
      </c>
      <c r="H140" s="864"/>
      <c r="I140" s="864"/>
      <c r="J140" s="864"/>
      <c r="K140" s="925">
        <f>K$79</f>
        <v>0.19338</v>
      </c>
      <c r="L140" s="925">
        <f t="shared" ref="L140:AJ140" si="28">L$79</f>
        <v>0.18757859999999998</v>
      </c>
      <c r="M140" s="925">
        <f t="shared" si="28"/>
        <v>0.18195124199999999</v>
      </c>
      <c r="N140" s="925">
        <f t="shared" si="28"/>
        <v>0.17649270473999998</v>
      </c>
      <c r="O140" s="925">
        <f t="shared" si="28"/>
        <v>0.17119792359779998</v>
      </c>
      <c r="P140" s="925">
        <f t="shared" si="28"/>
        <v>0.16606198588986598</v>
      </c>
      <c r="Q140" s="925">
        <f t="shared" si="28"/>
        <v>0.16108012631317001</v>
      </c>
      <c r="R140" s="925">
        <f t="shared" si="28"/>
        <v>0.15624772252377489</v>
      </c>
      <c r="S140" s="925">
        <f t="shared" si="28"/>
        <v>0.15156029084806164</v>
      </c>
      <c r="T140" s="925">
        <f t="shared" si="28"/>
        <v>0.14701348212261978</v>
      </c>
      <c r="U140" s="925">
        <f t="shared" si="28"/>
        <v>0.14260307765894117</v>
      </c>
      <c r="V140" s="925">
        <f t="shared" si="28"/>
        <v>0.13832498532917292</v>
      </c>
      <c r="W140" s="925">
        <f t="shared" si="28"/>
        <v>0.13417523576929774</v>
      </c>
      <c r="X140" s="925">
        <f t="shared" si="28"/>
        <v>0.1301499786962188</v>
      </c>
      <c r="Y140" s="925">
        <f t="shared" si="28"/>
        <v>0.12624547933533223</v>
      </c>
      <c r="Z140" s="925">
        <f t="shared" si="28"/>
        <v>0.12245811495527226</v>
      </c>
      <c r="AA140" s="925">
        <f t="shared" si="28"/>
        <v>0.11878437150661408</v>
      </c>
      <c r="AB140" s="925">
        <f t="shared" si="28"/>
        <v>0.11522084036141565</v>
      </c>
      <c r="AC140" s="925">
        <f t="shared" si="28"/>
        <v>0.11176421515057318</v>
      </c>
      <c r="AD140" s="925">
        <f t="shared" si="28"/>
        <v>0.10841128869605599</v>
      </c>
      <c r="AE140" s="925">
        <f t="shared" si="28"/>
        <v>0.10515895003517431</v>
      </c>
      <c r="AF140" s="925">
        <f t="shared" si="28"/>
        <v>0.10200418153411908</v>
      </c>
      <c r="AG140" s="925">
        <f t="shared" si="28"/>
        <v>9.8944056088095506E-2</v>
      </c>
      <c r="AH140" s="925">
        <f t="shared" si="28"/>
        <v>9.5975734405452637E-2</v>
      </c>
      <c r="AI140" s="925">
        <f t="shared" si="28"/>
        <v>9.3096462373289057E-2</v>
      </c>
      <c r="AJ140" s="925">
        <f t="shared" si="28"/>
        <v>9.0303568502090384E-2</v>
      </c>
    </row>
    <row r="141" spans="7:36" ht="15" hidden="1" customHeight="1" x14ac:dyDescent="0.2">
      <c r="G141" s="839" t="s">
        <v>1</v>
      </c>
      <c r="H141" s="864"/>
      <c r="I141" s="864"/>
      <c r="J141" s="864"/>
      <c r="K141" s="925">
        <f>K$85</f>
        <v>0.31</v>
      </c>
      <c r="L141" s="925">
        <f t="shared" ref="L141:AJ141" si="29">L$85</f>
        <v>0.34100000000000003</v>
      </c>
      <c r="M141" s="925">
        <f t="shared" si="29"/>
        <v>0.37510000000000004</v>
      </c>
      <c r="N141" s="925">
        <f t="shared" si="29"/>
        <v>0.41261000000000009</v>
      </c>
      <c r="O141" s="925">
        <f t="shared" si="29"/>
        <v>0.45387100000000014</v>
      </c>
      <c r="P141" s="925">
        <f t="shared" si="29"/>
        <v>0.4992581000000002</v>
      </c>
      <c r="Q141" s="925">
        <f t="shared" si="29"/>
        <v>0.54918391000000022</v>
      </c>
      <c r="R141" s="925">
        <f t="shared" si="29"/>
        <v>0.60410230100000029</v>
      </c>
      <c r="S141" s="925">
        <f t="shared" si="29"/>
        <v>0.66451253110000041</v>
      </c>
      <c r="T141" s="925">
        <f t="shared" si="29"/>
        <v>0.73096378421000052</v>
      </c>
      <c r="U141" s="925">
        <f t="shared" si="29"/>
        <v>0.80406016263100066</v>
      </c>
      <c r="V141" s="925">
        <f t="shared" si="29"/>
        <v>0.88446617889410084</v>
      </c>
      <c r="W141" s="925">
        <f t="shared" si="29"/>
        <v>0.97291279678351106</v>
      </c>
      <c r="X141" s="925">
        <f t="shared" si="29"/>
        <v>1.0702040764618623</v>
      </c>
      <c r="Y141" s="925">
        <f t="shared" si="29"/>
        <v>1.1772244841080486</v>
      </c>
      <c r="Z141" s="925">
        <f t="shared" si="29"/>
        <v>1.2949469325188536</v>
      </c>
      <c r="AA141" s="925">
        <f t="shared" si="29"/>
        <v>1.4244416257707391</v>
      </c>
      <c r="AB141" s="925">
        <f t="shared" si="29"/>
        <v>1.5668857883478131</v>
      </c>
      <c r="AC141" s="925">
        <f t="shared" si="29"/>
        <v>1.7235743671825945</v>
      </c>
      <c r="AD141" s="925">
        <f t="shared" si="29"/>
        <v>1.8959318039008541</v>
      </c>
      <c r="AE141" s="925">
        <f t="shared" si="29"/>
        <v>2.0855249842909398</v>
      </c>
      <c r="AF141" s="925">
        <f t="shared" si="29"/>
        <v>2.2940774827200339</v>
      </c>
      <c r="AG141" s="925">
        <f t="shared" si="29"/>
        <v>2.5234852309920375</v>
      </c>
      <c r="AH141" s="925">
        <f t="shared" si="29"/>
        <v>2.7758337540912414</v>
      </c>
      <c r="AI141" s="925">
        <f t="shared" si="29"/>
        <v>3.053417129500366</v>
      </c>
      <c r="AJ141" s="925">
        <f t="shared" si="29"/>
        <v>3.3587588424504031</v>
      </c>
    </row>
    <row r="142" spans="7:36" ht="15" hidden="1" customHeight="1" x14ac:dyDescent="0.2">
      <c r="G142" s="864"/>
      <c r="H142" s="864"/>
      <c r="I142" s="864"/>
      <c r="J142" s="864"/>
      <c r="K142" s="864"/>
      <c r="L142" s="864"/>
      <c r="M142" s="864"/>
      <c r="N142" s="864"/>
      <c r="O142" s="864"/>
      <c r="P142" s="864"/>
      <c r="Q142" s="864"/>
      <c r="R142" s="864"/>
      <c r="S142" s="864"/>
      <c r="T142" s="864"/>
      <c r="U142" s="864"/>
      <c r="V142" s="864"/>
      <c r="W142" s="864"/>
      <c r="X142" s="864"/>
      <c r="Y142" s="864"/>
      <c r="Z142" s="864"/>
      <c r="AA142" s="864"/>
      <c r="AB142" s="864"/>
      <c r="AC142" s="864"/>
      <c r="AD142" s="864"/>
      <c r="AE142" s="864"/>
      <c r="AF142" s="864"/>
      <c r="AG142" s="864"/>
      <c r="AH142" s="864"/>
      <c r="AI142" s="864"/>
      <c r="AJ142" s="864"/>
    </row>
    <row r="143" spans="7:36" ht="15" hidden="1" customHeight="1" x14ac:dyDescent="0.2">
      <c r="G143" s="839" t="s">
        <v>4</v>
      </c>
      <c r="H143" s="839"/>
      <c r="I143" s="839"/>
      <c r="J143" s="839"/>
      <c r="K143" s="920"/>
      <c r="L143" s="920"/>
      <c r="M143" s="920"/>
      <c r="N143" s="920"/>
      <c r="O143" s="920"/>
      <c r="P143" s="920"/>
      <c r="Q143" s="920"/>
      <c r="R143" s="920"/>
      <c r="S143" s="920"/>
      <c r="T143" s="920"/>
      <c r="U143" s="920"/>
      <c r="V143" s="920"/>
      <c r="W143" s="920"/>
      <c r="X143" s="920"/>
      <c r="Y143" s="920"/>
      <c r="Z143" s="920"/>
      <c r="AA143" s="920"/>
      <c r="AB143" s="920"/>
      <c r="AC143" s="920"/>
      <c r="AD143" s="920"/>
      <c r="AE143" s="920"/>
      <c r="AF143" s="920"/>
      <c r="AG143" s="920"/>
      <c r="AH143" s="920"/>
      <c r="AI143" s="920"/>
      <c r="AJ143" s="920"/>
    </row>
    <row r="144" spans="7:36" ht="15" hidden="1" customHeight="1" x14ac:dyDescent="0.2">
      <c r="G144" s="839" t="s">
        <v>5</v>
      </c>
      <c r="H144" s="839"/>
      <c r="I144" s="839"/>
      <c r="J144" s="839"/>
      <c r="K144" s="920"/>
      <c r="L144" s="920"/>
      <c r="M144" s="920"/>
      <c r="N144" s="920"/>
      <c r="O144" s="920"/>
      <c r="P144" s="920"/>
      <c r="Q144" s="920"/>
      <c r="R144" s="920"/>
      <c r="S144" s="920"/>
      <c r="T144" s="920"/>
      <c r="U144" s="920"/>
      <c r="V144" s="920"/>
      <c r="W144" s="920"/>
      <c r="X144" s="920"/>
      <c r="Y144" s="920"/>
      <c r="Z144" s="920"/>
      <c r="AA144" s="920"/>
      <c r="AB144" s="920"/>
      <c r="AC144" s="920"/>
      <c r="AD144" s="920"/>
      <c r="AE144" s="920"/>
      <c r="AF144" s="920"/>
      <c r="AG144" s="920"/>
      <c r="AH144" s="920"/>
      <c r="AI144" s="920"/>
      <c r="AJ144" s="920"/>
    </row>
    <row r="145" spans="7:38" ht="15" hidden="1" customHeight="1" x14ac:dyDescent="0.2">
      <c r="G145" s="839" t="s">
        <v>6</v>
      </c>
      <c r="H145" s="839"/>
      <c r="I145" s="839"/>
      <c r="J145" s="839"/>
      <c r="K145" s="918" t="e">
        <f>K218+K291</f>
        <v>#VALUE!</v>
      </c>
      <c r="L145" s="918" t="e">
        <f t="shared" ref="L145:AI145" si="30">L218+L291</f>
        <v>#VALUE!</v>
      </c>
      <c r="M145" s="918" t="e">
        <f t="shared" si="30"/>
        <v>#VALUE!</v>
      </c>
      <c r="N145" s="918" t="e">
        <f t="shared" si="30"/>
        <v>#VALUE!</v>
      </c>
      <c r="O145" s="918" t="e">
        <f t="shared" si="30"/>
        <v>#VALUE!</v>
      </c>
      <c r="P145" s="918" t="e">
        <f t="shared" si="30"/>
        <v>#VALUE!</v>
      </c>
      <c r="Q145" s="918" t="e">
        <f t="shared" si="30"/>
        <v>#VALUE!</v>
      </c>
      <c r="R145" s="918" t="e">
        <f t="shared" si="30"/>
        <v>#VALUE!</v>
      </c>
      <c r="S145" s="918" t="e">
        <f t="shared" si="30"/>
        <v>#VALUE!</v>
      </c>
      <c r="T145" s="918" t="e">
        <f t="shared" si="30"/>
        <v>#VALUE!</v>
      </c>
      <c r="U145" s="918" t="e">
        <f t="shared" si="30"/>
        <v>#VALUE!</v>
      </c>
      <c r="V145" s="918" t="e">
        <f t="shared" si="30"/>
        <v>#VALUE!</v>
      </c>
      <c r="W145" s="918" t="e">
        <f t="shared" si="30"/>
        <v>#VALUE!</v>
      </c>
      <c r="X145" s="918" t="e">
        <f t="shared" si="30"/>
        <v>#VALUE!</v>
      </c>
      <c r="Y145" s="918" t="e">
        <f t="shared" si="30"/>
        <v>#VALUE!</v>
      </c>
      <c r="Z145" s="918" t="e">
        <f t="shared" si="30"/>
        <v>#VALUE!</v>
      </c>
      <c r="AA145" s="918" t="e">
        <f t="shared" si="30"/>
        <v>#VALUE!</v>
      </c>
      <c r="AB145" s="918" t="e">
        <f t="shared" si="30"/>
        <v>#VALUE!</v>
      </c>
      <c r="AC145" s="918" t="e">
        <f t="shared" si="30"/>
        <v>#VALUE!</v>
      </c>
      <c r="AD145" s="918" t="e">
        <f t="shared" si="30"/>
        <v>#VALUE!</v>
      </c>
      <c r="AE145" s="918" t="e">
        <f t="shared" si="30"/>
        <v>#VALUE!</v>
      </c>
      <c r="AF145" s="918" t="e">
        <f t="shared" si="30"/>
        <v>#VALUE!</v>
      </c>
      <c r="AG145" s="918" t="e">
        <f t="shared" si="30"/>
        <v>#VALUE!</v>
      </c>
      <c r="AH145" s="918" t="e">
        <f t="shared" si="30"/>
        <v>#VALUE!</v>
      </c>
      <c r="AI145" s="918" t="e">
        <f t="shared" si="30"/>
        <v>#VALUE!</v>
      </c>
      <c r="AJ145" s="918" t="e">
        <f>AJ218+AJ291</f>
        <v>#VALUE!</v>
      </c>
    </row>
    <row r="146" spans="7:38" ht="15" hidden="1" customHeight="1" x14ac:dyDescent="0.2">
      <c r="G146" s="839"/>
      <c r="H146" s="839"/>
      <c r="I146" s="839"/>
      <c r="J146" s="839"/>
      <c r="K146" s="917"/>
      <c r="L146" s="917"/>
      <c r="M146" s="917"/>
      <c r="N146" s="917"/>
      <c r="O146" s="917"/>
      <c r="P146" s="917"/>
      <c r="Q146" s="917"/>
      <c r="R146" s="917"/>
      <c r="S146" s="917"/>
      <c r="T146" s="917"/>
      <c r="U146" s="917"/>
      <c r="V146" s="917"/>
      <c r="W146" s="917"/>
      <c r="X146" s="917"/>
      <c r="Y146" s="917"/>
      <c r="Z146" s="917"/>
      <c r="AA146" s="917"/>
      <c r="AB146" s="917"/>
      <c r="AC146" s="917"/>
      <c r="AD146" s="917"/>
      <c r="AE146" s="917"/>
      <c r="AF146" s="917"/>
      <c r="AG146" s="917"/>
      <c r="AH146" s="917"/>
      <c r="AI146" s="917"/>
      <c r="AJ146" s="917"/>
    </row>
    <row r="147" spans="7:38" ht="15" hidden="1" customHeight="1" x14ac:dyDescent="0.2">
      <c r="G147" s="839" t="s">
        <v>7</v>
      </c>
      <c r="H147" s="839"/>
      <c r="I147" s="839"/>
      <c r="J147" s="839"/>
      <c r="K147" s="920"/>
      <c r="L147" s="920"/>
      <c r="M147" s="920"/>
      <c r="N147" s="920"/>
      <c r="O147" s="920"/>
      <c r="P147" s="920"/>
      <c r="Q147" s="920"/>
      <c r="R147" s="920"/>
      <c r="S147" s="920"/>
      <c r="T147" s="920"/>
      <c r="U147" s="920"/>
      <c r="V147" s="920"/>
      <c r="W147" s="920"/>
      <c r="X147" s="920"/>
      <c r="Y147" s="920"/>
      <c r="Z147" s="920"/>
      <c r="AA147" s="920"/>
      <c r="AB147" s="920"/>
      <c r="AC147" s="920"/>
      <c r="AD147" s="920"/>
      <c r="AE147" s="920"/>
      <c r="AF147" s="920"/>
      <c r="AG147" s="920"/>
      <c r="AH147" s="920"/>
      <c r="AI147" s="920"/>
      <c r="AJ147" s="920"/>
    </row>
    <row r="148" spans="7:38" ht="15" hidden="1" customHeight="1" x14ac:dyDescent="0.2">
      <c r="G148" s="839" t="s">
        <v>8</v>
      </c>
      <c r="H148" s="839"/>
      <c r="I148" s="839"/>
      <c r="J148" s="839"/>
      <c r="K148" s="920"/>
      <c r="L148" s="920"/>
      <c r="M148" s="920"/>
      <c r="N148" s="920"/>
      <c r="O148" s="920"/>
      <c r="P148" s="920"/>
      <c r="Q148" s="920"/>
      <c r="R148" s="920"/>
      <c r="S148" s="920"/>
      <c r="T148" s="920"/>
      <c r="U148" s="920"/>
      <c r="V148" s="920"/>
      <c r="W148" s="920"/>
      <c r="X148" s="920"/>
      <c r="Y148" s="920"/>
      <c r="Z148" s="920"/>
      <c r="AA148" s="920"/>
      <c r="AB148" s="920"/>
      <c r="AC148" s="920"/>
      <c r="AD148" s="920"/>
      <c r="AE148" s="920"/>
      <c r="AF148" s="920"/>
      <c r="AG148" s="920"/>
      <c r="AH148" s="920"/>
      <c r="AI148" s="920"/>
      <c r="AJ148" s="920"/>
    </row>
    <row r="149" spans="7:38" ht="15" hidden="1" customHeight="1" x14ac:dyDescent="0.2">
      <c r="G149" s="839" t="s">
        <v>9</v>
      </c>
      <c r="H149" s="839"/>
      <c r="I149" s="839"/>
      <c r="J149" s="839"/>
      <c r="K149" s="918" t="e">
        <f>K222+K295</f>
        <v>#VALUE!</v>
      </c>
      <c r="L149" s="918" t="e">
        <f t="shared" ref="L149:AI149" si="31">L222+L295</f>
        <v>#VALUE!</v>
      </c>
      <c r="M149" s="918" t="e">
        <f t="shared" si="31"/>
        <v>#VALUE!</v>
      </c>
      <c r="N149" s="918" t="e">
        <f t="shared" si="31"/>
        <v>#VALUE!</v>
      </c>
      <c r="O149" s="918" t="e">
        <f t="shared" si="31"/>
        <v>#VALUE!</v>
      </c>
      <c r="P149" s="918" t="e">
        <f t="shared" si="31"/>
        <v>#VALUE!</v>
      </c>
      <c r="Q149" s="918" t="e">
        <f t="shared" si="31"/>
        <v>#VALUE!</v>
      </c>
      <c r="R149" s="918" t="e">
        <f t="shared" si="31"/>
        <v>#VALUE!</v>
      </c>
      <c r="S149" s="918" t="e">
        <f t="shared" si="31"/>
        <v>#VALUE!</v>
      </c>
      <c r="T149" s="918" t="e">
        <f t="shared" si="31"/>
        <v>#VALUE!</v>
      </c>
      <c r="U149" s="918" t="e">
        <f t="shared" si="31"/>
        <v>#VALUE!</v>
      </c>
      <c r="V149" s="918" t="e">
        <f t="shared" si="31"/>
        <v>#VALUE!</v>
      </c>
      <c r="W149" s="918" t="e">
        <f t="shared" si="31"/>
        <v>#VALUE!</v>
      </c>
      <c r="X149" s="918" t="e">
        <f t="shared" si="31"/>
        <v>#VALUE!</v>
      </c>
      <c r="Y149" s="918" t="e">
        <f t="shared" si="31"/>
        <v>#VALUE!</v>
      </c>
      <c r="Z149" s="918" t="e">
        <f t="shared" si="31"/>
        <v>#VALUE!</v>
      </c>
      <c r="AA149" s="918" t="e">
        <f t="shared" si="31"/>
        <v>#VALUE!</v>
      </c>
      <c r="AB149" s="918" t="e">
        <f t="shared" si="31"/>
        <v>#VALUE!</v>
      </c>
      <c r="AC149" s="918" t="e">
        <f t="shared" si="31"/>
        <v>#VALUE!</v>
      </c>
      <c r="AD149" s="918" t="e">
        <f t="shared" si="31"/>
        <v>#VALUE!</v>
      </c>
      <c r="AE149" s="918" t="e">
        <f t="shared" si="31"/>
        <v>#VALUE!</v>
      </c>
      <c r="AF149" s="918" t="e">
        <f t="shared" si="31"/>
        <v>#VALUE!</v>
      </c>
      <c r="AG149" s="918" t="e">
        <f t="shared" si="31"/>
        <v>#VALUE!</v>
      </c>
      <c r="AH149" s="918" t="e">
        <f t="shared" si="31"/>
        <v>#VALUE!</v>
      </c>
      <c r="AI149" s="918" t="e">
        <f t="shared" si="31"/>
        <v>#VALUE!</v>
      </c>
      <c r="AJ149" s="918" t="e">
        <f>AJ222+AJ295</f>
        <v>#VALUE!</v>
      </c>
    </row>
    <row r="150" spans="7:38" ht="15" hidden="1" customHeight="1" x14ac:dyDescent="0.2">
      <c r="G150" s="839"/>
      <c r="H150" s="839"/>
      <c r="I150" s="839"/>
      <c r="J150" s="839"/>
      <c r="K150" s="917"/>
      <c r="L150" s="917"/>
      <c r="M150" s="917"/>
      <c r="N150" s="917"/>
      <c r="O150" s="917"/>
      <c r="P150" s="917"/>
      <c r="Q150" s="917"/>
      <c r="R150" s="917"/>
      <c r="S150" s="917"/>
      <c r="T150" s="917"/>
      <c r="U150" s="917"/>
      <c r="V150" s="917"/>
      <c r="W150" s="917"/>
      <c r="X150" s="917"/>
      <c r="Y150" s="917"/>
      <c r="Z150" s="917"/>
      <c r="AA150" s="917"/>
      <c r="AB150" s="917"/>
      <c r="AC150" s="917"/>
      <c r="AD150" s="917"/>
      <c r="AE150" s="917"/>
      <c r="AF150" s="917"/>
      <c r="AG150" s="917"/>
      <c r="AH150" s="917"/>
      <c r="AI150" s="917"/>
      <c r="AJ150" s="917"/>
    </row>
    <row r="151" spans="7:38" ht="15" hidden="1" customHeight="1" x14ac:dyDescent="0.2">
      <c r="G151" s="839" t="s">
        <v>10</v>
      </c>
      <c r="H151" s="839"/>
      <c r="I151" s="839"/>
      <c r="J151" s="839"/>
      <c r="K151" s="918">
        <f>IF($AC$46=0,IF(K70=$AC$41,$AC$40,0),IF(K$70=$AC$41,$AC$40*K$87,IF(OR(AND($AC$41=0,K$70=$AC$41),AND(K$70&gt;=$AC$41+$AC$46,INT((K$70-$AC$41)/($AC$46))=(K$70-$AC$41)/($AC$46))),$AC$45*K$87,0)))</f>
        <v>0</v>
      </c>
      <c r="L151" s="918">
        <f>IF($AC$46=0,IF(L70=$AC$41,$AC$40,0),IF(L$70=$AC$41,$AC$40*L$87,IF(OR(AND($AC$41=0,L$70=$AC$41),AND(L$70&gt;=$AC$41+$AC$46,INT((L$70-$AC$41)/($AC$46))=(L$70-$AC$41)/($AC$46))),$AC$45*L$87,0)))</f>
        <v>0</v>
      </c>
      <c r="M151" s="918">
        <f t="shared" ref="M151:AI151" si="32">IF($AC$46=0,IF(M70=$AC$41,$AC$40,0),IF(M$70=$AC$41,$AC$40*M$87,IF(OR(AND($AC$41=0,M$70=$AC$41),AND(M$70&gt;=$AC$41+$AC$46,INT((M$70-$AC$41)/($AC$46))=(M$70-$AC$41)/($AC$46))),$AC$45*M$87,0)))</f>
        <v>0</v>
      </c>
      <c r="N151" s="918">
        <f t="shared" si="32"/>
        <v>0</v>
      </c>
      <c r="O151" s="918">
        <f t="shared" si="32"/>
        <v>0</v>
      </c>
      <c r="P151" s="918">
        <f t="shared" si="32"/>
        <v>0</v>
      </c>
      <c r="Q151" s="918">
        <f t="shared" si="32"/>
        <v>0</v>
      </c>
      <c r="R151" s="918">
        <f t="shared" si="32"/>
        <v>0</v>
      </c>
      <c r="S151" s="918">
        <f t="shared" si="32"/>
        <v>0</v>
      </c>
      <c r="T151" s="918">
        <f t="shared" si="32"/>
        <v>0</v>
      </c>
      <c r="U151" s="918">
        <f t="shared" si="32"/>
        <v>0</v>
      </c>
      <c r="V151" s="918">
        <f t="shared" si="32"/>
        <v>0</v>
      </c>
      <c r="W151" s="918">
        <f t="shared" si="32"/>
        <v>0</v>
      </c>
      <c r="X151" s="918">
        <f t="shared" si="32"/>
        <v>0</v>
      </c>
      <c r="Y151" s="918">
        <f t="shared" si="32"/>
        <v>0</v>
      </c>
      <c r="Z151" s="918">
        <f t="shared" si="32"/>
        <v>0</v>
      </c>
      <c r="AA151" s="918">
        <f t="shared" si="32"/>
        <v>0</v>
      </c>
      <c r="AB151" s="918">
        <f t="shared" si="32"/>
        <v>0</v>
      </c>
      <c r="AC151" s="918">
        <f t="shared" si="32"/>
        <v>0</v>
      </c>
      <c r="AD151" s="918">
        <f t="shared" si="32"/>
        <v>0</v>
      </c>
      <c r="AE151" s="918">
        <f t="shared" si="32"/>
        <v>0</v>
      </c>
      <c r="AF151" s="918">
        <f t="shared" si="32"/>
        <v>0</v>
      </c>
      <c r="AG151" s="918">
        <f t="shared" si="32"/>
        <v>0</v>
      </c>
      <c r="AH151" s="918">
        <f t="shared" si="32"/>
        <v>0</v>
      </c>
      <c r="AI151" s="918">
        <f t="shared" si="32"/>
        <v>0</v>
      </c>
      <c r="AJ151" s="918">
        <f>IF($AC$46=0,IF(AJ70=$AC$41,$AC$40,0),IF(AJ$70=$AC$41,$AC$40*AJ$87,IF(OR(AND($AC$41=0,AJ$70=$AC$41),AND(AJ$70&gt;=$AC$41+$AC$46,INT((AJ$70-$AC$41)/($AC$46))=(AJ$70-$AC$41)/($AC$46))),$AC$45*AJ$87,0)))</f>
        <v>0</v>
      </c>
    </row>
    <row r="152" spans="7:38" ht="15" hidden="1" customHeight="1" x14ac:dyDescent="0.2">
      <c r="G152" s="839" t="s">
        <v>11</v>
      </c>
      <c r="H152" s="839"/>
      <c r="I152" s="839"/>
      <c r="J152" s="839"/>
      <c r="K152" s="917">
        <f>IF(K$70&lt;$AC$41,($K$43*K$87)-($K$44*K$87),($AC$43*K$87)-($AC$44*K$87))</f>
        <v>0</v>
      </c>
      <c r="L152" s="917">
        <f t="shared" ref="L152:AI152" si="33">IF(L$70&lt;$AC$41,($K$43*L$87)-($K$44*L$87),($AC$43*L$87)-($AC$44*L$87))</f>
        <v>0</v>
      </c>
      <c r="M152" s="917">
        <f t="shared" si="33"/>
        <v>0</v>
      </c>
      <c r="N152" s="917">
        <f t="shared" si="33"/>
        <v>0</v>
      </c>
      <c r="O152" s="917">
        <f t="shared" si="33"/>
        <v>0</v>
      </c>
      <c r="P152" s="917">
        <f t="shared" si="33"/>
        <v>0</v>
      </c>
      <c r="Q152" s="917">
        <f t="shared" si="33"/>
        <v>0</v>
      </c>
      <c r="R152" s="917">
        <f t="shared" si="33"/>
        <v>0</v>
      </c>
      <c r="S152" s="917">
        <f t="shared" si="33"/>
        <v>0</v>
      </c>
      <c r="T152" s="917">
        <f t="shared" si="33"/>
        <v>0</v>
      </c>
      <c r="U152" s="917">
        <f t="shared" si="33"/>
        <v>0</v>
      </c>
      <c r="V152" s="917">
        <f t="shared" si="33"/>
        <v>0</v>
      </c>
      <c r="W152" s="917">
        <f t="shared" si="33"/>
        <v>0</v>
      </c>
      <c r="X152" s="917">
        <f t="shared" si="33"/>
        <v>0</v>
      </c>
      <c r="Y152" s="917">
        <f t="shared" si="33"/>
        <v>0</v>
      </c>
      <c r="Z152" s="917">
        <f t="shared" si="33"/>
        <v>0</v>
      </c>
      <c r="AA152" s="917">
        <f t="shared" si="33"/>
        <v>0</v>
      </c>
      <c r="AB152" s="917">
        <f t="shared" si="33"/>
        <v>0</v>
      </c>
      <c r="AC152" s="917">
        <f t="shared" si="33"/>
        <v>0</v>
      </c>
      <c r="AD152" s="917">
        <f t="shared" si="33"/>
        <v>0</v>
      </c>
      <c r="AE152" s="917">
        <f t="shared" si="33"/>
        <v>0</v>
      </c>
      <c r="AF152" s="917">
        <f t="shared" si="33"/>
        <v>0</v>
      </c>
      <c r="AG152" s="917">
        <f t="shared" si="33"/>
        <v>0</v>
      </c>
      <c r="AH152" s="917">
        <f t="shared" si="33"/>
        <v>0</v>
      </c>
      <c r="AI152" s="917">
        <f t="shared" si="33"/>
        <v>0</v>
      </c>
      <c r="AJ152" s="917">
        <f>IF(AJ$70&lt;$AC$41,($K$43*AJ$87)-($K$44*AJ$87),($AC$43*AJ$87)-($AC$44*AJ$87))</f>
        <v>0</v>
      </c>
      <c r="AL152" s="121"/>
    </row>
    <row r="153" spans="7:38" ht="15" hidden="1" customHeight="1" x14ac:dyDescent="0.2">
      <c r="G153" s="839" t="s">
        <v>12</v>
      </c>
      <c r="H153" s="839"/>
      <c r="I153" s="839"/>
      <c r="J153" s="839"/>
      <c r="K153" s="918" t="e">
        <f>K226+K299</f>
        <v>#VALUE!</v>
      </c>
      <c r="L153" s="918" t="e">
        <f t="shared" ref="L153:AJ153" si="34">L226+L299</f>
        <v>#VALUE!</v>
      </c>
      <c r="M153" s="918" t="e">
        <f t="shared" si="34"/>
        <v>#VALUE!</v>
      </c>
      <c r="N153" s="918" t="e">
        <f t="shared" si="34"/>
        <v>#VALUE!</v>
      </c>
      <c r="O153" s="918" t="e">
        <f t="shared" si="34"/>
        <v>#VALUE!</v>
      </c>
      <c r="P153" s="918" t="e">
        <f t="shared" si="34"/>
        <v>#VALUE!</v>
      </c>
      <c r="Q153" s="918" t="e">
        <f t="shared" si="34"/>
        <v>#VALUE!</v>
      </c>
      <c r="R153" s="918" t="e">
        <f t="shared" si="34"/>
        <v>#VALUE!</v>
      </c>
      <c r="S153" s="918" t="e">
        <f t="shared" si="34"/>
        <v>#VALUE!</v>
      </c>
      <c r="T153" s="918" t="e">
        <f t="shared" si="34"/>
        <v>#VALUE!</v>
      </c>
      <c r="U153" s="918" t="e">
        <f t="shared" si="34"/>
        <v>#VALUE!</v>
      </c>
      <c r="V153" s="918" t="e">
        <f t="shared" si="34"/>
        <v>#VALUE!</v>
      </c>
      <c r="W153" s="918" t="e">
        <f t="shared" si="34"/>
        <v>#VALUE!</v>
      </c>
      <c r="X153" s="918" t="e">
        <f t="shared" si="34"/>
        <v>#VALUE!</v>
      </c>
      <c r="Y153" s="918" t="e">
        <f t="shared" si="34"/>
        <v>#VALUE!</v>
      </c>
      <c r="Z153" s="918" t="e">
        <f t="shared" si="34"/>
        <v>#VALUE!</v>
      </c>
      <c r="AA153" s="918" t="e">
        <f t="shared" si="34"/>
        <v>#VALUE!</v>
      </c>
      <c r="AB153" s="918" t="e">
        <f t="shared" si="34"/>
        <v>#VALUE!</v>
      </c>
      <c r="AC153" s="918" t="e">
        <f t="shared" si="34"/>
        <v>#VALUE!</v>
      </c>
      <c r="AD153" s="918" t="e">
        <f t="shared" si="34"/>
        <v>#VALUE!</v>
      </c>
      <c r="AE153" s="918" t="e">
        <f t="shared" si="34"/>
        <v>#VALUE!</v>
      </c>
      <c r="AF153" s="918" t="e">
        <f t="shared" si="34"/>
        <v>#VALUE!</v>
      </c>
      <c r="AG153" s="918" t="e">
        <f t="shared" si="34"/>
        <v>#VALUE!</v>
      </c>
      <c r="AH153" s="918" t="e">
        <f t="shared" si="34"/>
        <v>#VALUE!</v>
      </c>
      <c r="AI153" s="918" t="e">
        <f t="shared" si="34"/>
        <v>#VALUE!</v>
      </c>
      <c r="AJ153" s="918" t="e">
        <f t="shared" si="34"/>
        <v>#VALUE!</v>
      </c>
    </row>
    <row r="154" spans="7:38" ht="15" hidden="1" customHeight="1" x14ac:dyDescent="0.2">
      <c r="G154" s="839" t="s">
        <v>13</v>
      </c>
      <c r="H154" s="839"/>
      <c r="I154" s="839"/>
      <c r="J154" s="839"/>
      <c r="K154" s="918" t="e">
        <f>K227+K300</f>
        <v>#VALUE!</v>
      </c>
      <c r="L154" s="918" t="e">
        <f t="shared" ref="L154:AJ154" si="35">L227+L300</f>
        <v>#VALUE!</v>
      </c>
      <c r="M154" s="918" t="e">
        <f t="shared" si="35"/>
        <v>#VALUE!</v>
      </c>
      <c r="N154" s="918" t="e">
        <f t="shared" si="35"/>
        <v>#VALUE!</v>
      </c>
      <c r="O154" s="918" t="e">
        <f t="shared" si="35"/>
        <v>#VALUE!</v>
      </c>
      <c r="P154" s="918" t="e">
        <f t="shared" si="35"/>
        <v>#VALUE!</v>
      </c>
      <c r="Q154" s="918" t="e">
        <f t="shared" si="35"/>
        <v>#VALUE!</v>
      </c>
      <c r="R154" s="918" t="e">
        <f t="shared" si="35"/>
        <v>#VALUE!</v>
      </c>
      <c r="S154" s="918" t="e">
        <f t="shared" si="35"/>
        <v>#VALUE!</v>
      </c>
      <c r="T154" s="918" t="e">
        <f t="shared" si="35"/>
        <v>#VALUE!</v>
      </c>
      <c r="U154" s="918" t="e">
        <f t="shared" si="35"/>
        <v>#VALUE!</v>
      </c>
      <c r="V154" s="918" t="e">
        <f t="shared" si="35"/>
        <v>#VALUE!</v>
      </c>
      <c r="W154" s="918" t="e">
        <f t="shared" si="35"/>
        <v>#VALUE!</v>
      </c>
      <c r="X154" s="918" t="e">
        <f t="shared" si="35"/>
        <v>#VALUE!</v>
      </c>
      <c r="Y154" s="918" t="e">
        <f t="shared" si="35"/>
        <v>#VALUE!</v>
      </c>
      <c r="Z154" s="918" t="e">
        <f t="shared" si="35"/>
        <v>#VALUE!</v>
      </c>
      <c r="AA154" s="918" t="e">
        <f t="shared" si="35"/>
        <v>#VALUE!</v>
      </c>
      <c r="AB154" s="918" t="e">
        <f t="shared" si="35"/>
        <v>#VALUE!</v>
      </c>
      <c r="AC154" s="918" t="e">
        <f t="shared" si="35"/>
        <v>#VALUE!</v>
      </c>
      <c r="AD154" s="918" t="e">
        <f t="shared" si="35"/>
        <v>#VALUE!</v>
      </c>
      <c r="AE154" s="918" t="e">
        <f t="shared" si="35"/>
        <v>#VALUE!</v>
      </c>
      <c r="AF154" s="918" t="e">
        <f t="shared" si="35"/>
        <v>#VALUE!</v>
      </c>
      <c r="AG154" s="918" t="e">
        <f t="shared" si="35"/>
        <v>#VALUE!</v>
      </c>
      <c r="AH154" s="918" t="e">
        <f t="shared" si="35"/>
        <v>#VALUE!</v>
      </c>
      <c r="AI154" s="918" t="e">
        <f t="shared" si="35"/>
        <v>#VALUE!</v>
      </c>
      <c r="AJ154" s="918" t="e">
        <f t="shared" si="35"/>
        <v>#VALUE!</v>
      </c>
    </row>
    <row r="155" spans="7:38" ht="15" hidden="1" customHeight="1" x14ac:dyDescent="0.2">
      <c r="G155" s="839"/>
      <c r="H155" s="839"/>
      <c r="I155" s="839"/>
      <c r="J155" s="839"/>
      <c r="K155" s="917"/>
      <c r="L155" s="917"/>
      <c r="M155" s="917"/>
      <c r="N155" s="917"/>
      <c r="O155" s="917"/>
      <c r="P155" s="917"/>
      <c r="Q155" s="917"/>
      <c r="R155" s="917"/>
      <c r="S155" s="917"/>
      <c r="T155" s="917"/>
      <c r="U155" s="917"/>
      <c r="V155" s="917"/>
      <c r="W155" s="917"/>
      <c r="X155" s="917"/>
      <c r="Y155" s="917"/>
      <c r="Z155" s="917"/>
      <c r="AA155" s="917"/>
      <c r="AB155" s="917"/>
      <c r="AC155" s="917"/>
      <c r="AD155" s="917"/>
      <c r="AE155" s="917"/>
      <c r="AF155" s="917"/>
      <c r="AG155" s="917"/>
      <c r="AH155" s="917"/>
      <c r="AI155" s="917"/>
      <c r="AJ155" s="917"/>
    </row>
    <row r="156" spans="7:38" ht="15" hidden="1" customHeight="1" x14ac:dyDescent="0.2">
      <c r="G156" s="839" t="s">
        <v>14</v>
      </c>
      <c r="H156" s="839"/>
      <c r="I156" s="839"/>
      <c r="J156" s="839"/>
      <c r="K156" s="917" t="e">
        <f>SUM(K151:K154)</f>
        <v>#VALUE!</v>
      </c>
      <c r="L156" s="917" t="e">
        <f t="shared" ref="L156:AH156" si="36">SUM(L151:L154)</f>
        <v>#VALUE!</v>
      </c>
      <c r="M156" s="917" t="e">
        <f t="shared" si="36"/>
        <v>#VALUE!</v>
      </c>
      <c r="N156" s="917" t="e">
        <f t="shared" si="36"/>
        <v>#VALUE!</v>
      </c>
      <c r="O156" s="917" t="e">
        <f t="shared" si="36"/>
        <v>#VALUE!</v>
      </c>
      <c r="P156" s="917" t="e">
        <f t="shared" si="36"/>
        <v>#VALUE!</v>
      </c>
      <c r="Q156" s="917" t="e">
        <f t="shared" si="36"/>
        <v>#VALUE!</v>
      </c>
      <c r="R156" s="917" t="e">
        <f t="shared" si="36"/>
        <v>#VALUE!</v>
      </c>
      <c r="S156" s="917" t="e">
        <f t="shared" si="36"/>
        <v>#VALUE!</v>
      </c>
      <c r="T156" s="917" t="e">
        <f t="shared" si="36"/>
        <v>#VALUE!</v>
      </c>
      <c r="U156" s="917" t="e">
        <f t="shared" si="36"/>
        <v>#VALUE!</v>
      </c>
      <c r="V156" s="917" t="e">
        <f t="shared" si="36"/>
        <v>#VALUE!</v>
      </c>
      <c r="W156" s="917" t="e">
        <f t="shared" si="36"/>
        <v>#VALUE!</v>
      </c>
      <c r="X156" s="917" t="e">
        <f t="shared" si="36"/>
        <v>#VALUE!</v>
      </c>
      <c r="Y156" s="917" t="e">
        <f t="shared" si="36"/>
        <v>#VALUE!</v>
      </c>
      <c r="Z156" s="917" t="e">
        <f t="shared" si="36"/>
        <v>#VALUE!</v>
      </c>
      <c r="AA156" s="917" t="e">
        <f t="shared" si="36"/>
        <v>#VALUE!</v>
      </c>
      <c r="AB156" s="917" t="e">
        <f t="shared" si="36"/>
        <v>#VALUE!</v>
      </c>
      <c r="AC156" s="917" t="e">
        <f t="shared" si="36"/>
        <v>#VALUE!</v>
      </c>
      <c r="AD156" s="917" t="e">
        <f t="shared" si="36"/>
        <v>#VALUE!</v>
      </c>
      <c r="AE156" s="917" t="e">
        <f t="shared" si="36"/>
        <v>#VALUE!</v>
      </c>
      <c r="AF156" s="917" t="e">
        <f t="shared" si="36"/>
        <v>#VALUE!</v>
      </c>
      <c r="AG156" s="917" t="e">
        <f t="shared" si="36"/>
        <v>#VALUE!</v>
      </c>
      <c r="AH156" s="917" t="e">
        <f t="shared" si="36"/>
        <v>#VALUE!</v>
      </c>
      <c r="AI156" s="917" t="e">
        <f>SUM(AI151:AI154)</f>
        <v>#VALUE!</v>
      </c>
      <c r="AJ156" s="917" t="e">
        <f>SUM(AJ151:AJ154)</f>
        <v>#VALUE!</v>
      </c>
    </row>
    <row r="157" spans="7:38" ht="15" hidden="1" customHeight="1" x14ac:dyDescent="0.2">
      <c r="G157" s="839" t="s">
        <v>435</v>
      </c>
      <c r="H157" s="839"/>
      <c r="I157" s="839"/>
      <c r="J157" s="839"/>
      <c r="K157" s="917" t="e">
        <f>K156</f>
        <v>#VALUE!</v>
      </c>
      <c r="L157" s="917" t="e">
        <f t="shared" ref="L157:AI157" si="37">K157+L156</f>
        <v>#VALUE!</v>
      </c>
      <c r="M157" s="917" t="e">
        <f t="shared" si="37"/>
        <v>#VALUE!</v>
      </c>
      <c r="N157" s="917" t="e">
        <f t="shared" si="37"/>
        <v>#VALUE!</v>
      </c>
      <c r="O157" s="917" t="e">
        <f t="shared" si="37"/>
        <v>#VALUE!</v>
      </c>
      <c r="P157" s="917" t="e">
        <f t="shared" si="37"/>
        <v>#VALUE!</v>
      </c>
      <c r="Q157" s="917" t="e">
        <f t="shared" si="37"/>
        <v>#VALUE!</v>
      </c>
      <c r="R157" s="917" t="e">
        <f t="shared" si="37"/>
        <v>#VALUE!</v>
      </c>
      <c r="S157" s="917" t="e">
        <f t="shared" si="37"/>
        <v>#VALUE!</v>
      </c>
      <c r="T157" s="917" t="e">
        <f t="shared" si="37"/>
        <v>#VALUE!</v>
      </c>
      <c r="U157" s="917" t="e">
        <f t="shared" si="37"/>
        <v>#VALUE!</v>
      </c>
      <c r="V157" s="917" t="e">
        <f t="shared" si="37"/>
        <v>#VALUE!</v>
      </c>
      <c r="W157" s="917" t="e">
        <f t="shared" si="37"/>
        <v>#VALUE!</v>
      </c>
      <c r="X157" s="917" t="e">
        <f t="shared" si="37"/>
        <v>#VALUE!</v>
      </c>
      <c r="Y157" s="917" t="e">
        <f t="shared" si="37"/>
        <v>#VALUE!</v>
      </c>
      <c r="Z157" s="917" t="e">
        <f t="shared" si="37"/>
        <v>#VALUE!</v>
      </c>
      <c r="AA157" s="917" t="e">
        <f t="shared" si="37"/>
        <v>#VALUE!</v>
      </c>
      <c r="AB157" s="917" t="e">
        <f t="shared" si="37"/>
        <v>#VALUE!</v>
      </c>
      <c r="AC157" s="917" t="e">
        <f t="shared" si="37"/>
        <v>#VALUE!</v>
      </c>
      <c r="AD157" s="917" t="e">
        <f t="shared" si="37"/>
        <v>#VALUE!</v>
      </c>
      <c r="AE157" s="917" t="e">
        <f t="shared" si="37"/>
        <v>#VALUE!</v>
      </c>
      <c r="AF157" s="917" t="e">
        <f t="shared" si="37"/>
        <v>#VALUE!</v>
      </c>
      <c r="AG157" s="917" t="e">
        <f t="shared" si="37"/>
        <v>#VALUE!</v>
      </c>
      <c r="AH157" s="917" t="e">
        <f t="shared" si="37"/>
        <v>#VALUE!</v>
      </c>
      <c r="AI157" s="917" t="e">
        <f t="shared" si="37"/>
        <v>#VALUE!</v>
      </c>
      <c r="AJ157" s="917" t="e">
        <f>AI157+AJ156</f>
        <v>#VALUE!</v>
      </c>
    </row>
    <row r="158" spans="7:38" ht="15" hidden="1" customHeight="1" x14ac:dyDescent="0.2">
      <c r="G158" s="839"/>
      <c r="H158" s="839"/>
      <c r="I158" s="839"/>
      <c r="J158" s="839"/>
      <c r="K158" s="839"/>
      <c r="L158" s="839"/>
      <c r="M158" s="839"/>
      <c r="N158" s="839"/>
      <c r="O158" s="839"/>
      <c r="P158" s="839"/>
      <c r="Q158" s="839"/>
      <c r="R158" s="839"/>
      <c r="S158" s="839"/>
      <c r="T158" s="839"/>
      <c r="U158" s="839"/>
      <c r="V158" s="839"/>
      <c r="W158" s="839"/>
      <c r="X158" s="839"/>
      <c r="Y158" s="839"/>
      <c r="Z158" s="839"/>
      <c r="AA158" s="839"/>
      <c r="AB158" s="839"/>
      <c r="AC158" s="839"/>
      <c r="AD158" s="839"/>
      <c r="AE158" s="839"/>
      <c r="AF158" s="839"/>
      <c r="AG158" s="839"/>
      <c r="AH158" s="839"/>
      <c r="AI158" s="839"/>
      <c r="AJ158" s="839"/>
    </row>
    <row r="159" spans="7:38" ht="15" hidden="1" customHeight="1" x14ac:dyDescent="0.2">
      <c r="G159" s="839" t="s">
        <v>17</v>
      </c>
      <c r="H159" s="839"/>
      <c r="I159" s="839"/>
      <c r="J159" s="839"/>
      <c r="K159" s="917" t="e">
        <f>K156/(((Data!$P$186/100)+1)^K$70)</f>
        <v>#VALUE!</v>
      </c>
      <c r="L159" s="917" t="e">
        <f>L156/(((Data!$P$186/100)+1)^L$70)</f>
        <v>#VALUE!</v>
      </c>
      <c r="M159" s="917" t="e">
        <f>M156/(((Data!$P$186/100)+1)^M$70)</f>
        <v>#VALUE!</v>
      </c>
      <c r="N159" s="917" t="e">
        <f>N156/(((Data!$P$186/100)+1)^N$70)</f>
        <v>#VALUE!</v>
      </c>
      <c r="O159" s="917" t="e">
        <f>O156/(((Data!$P$186/100)+1)^O$70)</f>
        <v>#VALUE!</v>
      </c>
      <c r="P159" s="917" t="e">
        <f>P156/(((Data!$P$186/100)+1)^P$70)</f>
        <v>#VALUE!</v>
      </c>
      <c r="Q159" s="917" t="e">
        <f>Q156/(((Data!$P$186/100)+1)^Q$70)</f>
        <v>#VALUE!</v>
      </c>
      <c r="R159" s="917" t="e">
        <f>R156/(((Data!$P$186/100)+1)^R$70)</f>
        <v>#VALUE!</v>
      </c>
      <c r="S159" s="917" t="e">
        <f>S156/(((Data!$P$186/100)+1)^S$70)</f>
        <v>#VALUE!</v>
      </c>
      <c r="T159" s="917" t="e">
        <f>T156/(((Data!$P$186/100)+1)^T$70)</f>
        <v>#VALUE!</v>
      </c>
      <c r="U159" s="917" t="e">
        <f>U156/(((Data!$P$186/100)+1)^U$70)</f>
        <v>#VALUE!</v>
      </c>
      <c r="V159" s="917" t="e">
        <f>V156/(((Data!$P$186/100)+1)^V$70)</f>
        <v>#VALUE!</v>
      </c>
      <c r="W159" s="917" t="e">
        <f>W156/(((Data!$P$186/100)+1)^W$70)</f>
        <v>#VALUE!</v>
      </c>
      <c r="X159" s="917" t="e">
        <f>X156/(((Data!$P$186/100)+1)^X$70)</f>
        <v>#VALUE!</v>
      </c>
      <c r="Y159" s="917" t="e">
        <f>Y156/(((Data!$P$186/100)+1)^Y$70)</f>
        <v>#VALUE!</v>
      </c>
      <c r="Z159" s="917" t="e">
        <f>Z156/(((Data!$P$186/100)+1)^Z$70)</f>
        <v>#VALUE!</v>
      </c>
      <c r="AA159" s="917" t="e">
        <f>AA156/(((Data!$P$186/100)+1)^AA$70)</f>
        <v>#VALUE!</v>
      </c>
      <c r="AB159" s="917" t="e">
        <f>AB156/(((Data!$P$186/100)+1)^AB$70)</f>
        <v>#VALUE!</v>
      </c>
      <c r="AC159" s="917" t="e">
        <f>AC156/(((Data!$P$186/100)+1)^AC$70)</f>
        <v>#VALUE!</v>
      </c>
      <c r="AD159" s="917" t="e">
        <f>AD156/(((Data!$P$186/100)+1)^AD$70)</f>
        <v>#VALUE!</v>
      </c>
      <c r="AE159" s="917" t="e">
        <f>AE156/(((Data!$P$186/100)+1)^AE$70)</f>
        <v>#VALUE!</v>
      </c>
      <c r="AF159" s="917" t="e">
        <f>AF156/(((Data!$P$186/100)+1)^AF$70)</f>
        <v>#VALUE!</v>
      </c>
      <c r="AG159" s="917" t="e">
        <f>AG156/(((Data!$P$186/100)+1)^AG$70)</f>
        <v>#VALUE!</v>
      </c>
      <c r="AH159" s="917" t="e">
        <f>AH156/(((Data!$P$186/100)+1)^AH$70)</f>
        <v>#VALUE!</v>
      </c>
      <c r="AI159" s="917" t="e">
        <f>AI156/(((Data!$P$186/100)+1)^AI$70)</f>
        <v>#VALUE!</v>
      </c>
      <c r="AJ159" s="917" t="e">
        <f>AJ156/(((Data!$P$186/100)+1)^AJ$70)</f>
        <v>#VALUE!</v>
      </c>
    </row>
    <row r="160" spans="7:38" ht="15" hidden="1" customHeight="1" x14ac:dyDescent="0.2">
      <c r="G160" s="859" t="s">
        <v>185</v>
      </c>
      <c r="H160" s="859"/>
      <c r="I160" s="839"/>
      <c r="J160" s="839"/>
      <c r="K160" s="923" t="e">
        <f>K159</f>
        <v>#VALUE!</v>
      </c>
      <c r="L160" s="923" t="e">
        <f t="shared" ref="L160:AI160" si="38">K160+L159</f>
        <v>#VALUE!</v>
      </c>
      <c r="M160" s="923" t="e">
        <f t="shared" si="38"/>
        <v>#VALUE!</v>
      </c>
      <c r="N160" s="923" t="e">
        <f t="shared" si="38"/>
        <v>#VALUE!</v>
      </c>
      <c r="O160" s="923" t="e">
        <f t="shared" si="38"/>
        <v>#VALUE!</v>
      </c>
      <c r="P160" s="923" t="e">
        <f t="shared" si="38"/>
        <v>#VALUE!</v>
      </c>
      <c r="Q160" s="923" t="e">
        <f t="shared" si="38"/>
        <v>#VALUE!</v>
      </c>
      <c r="R160" s="923" t="e">
        <f t="shared" si="38"/>
        <v>#VALUE!</v>
      </c>
      <c r="S160" s="923" t="e">
        <f t="shared" si="38"/>
        <v>#VALUE!</v>
      </c>
      <c r="T160" s="923" t="e">
        <f t="shared" si="38"/>
        <v>#VALUE!</v>
      </c>
      <c r="U160" s="923" t="e">
        <f t="shared" si="38"/>
        <v>#VALUE!</v>
      </c>
      <c r="V160" s="923" t="e">
        <f t="shared" si="38"/>
        <v>#VALUE!</v>
      </c>
      <c r="W160" s="923" t="e">
        <f t="shared" si="38"/>
        <v>#VALUE!</v>
      </c>
      <c r="X160" s="923" t="e">
        <f t="shared" si="38"/>
        <v>#VALUE!</v>
      </c>
      <c r="Y160" s="923" t="e">
        <f t="shared" si="38"/>
        <v>#VALUE!</v>
      </c>
      <c r="Z160" s="923" t="e">
        <f t="shared" si="38"/>
        <v>#VALUE!</v>
      </c>
      <c r="AA160" s="923" t="e">
        <f t="shared" si="38"/>
        <v>#VALUE!</v>
      </c>
      <c r="AB160" s="923" t="e">
        <f t="shared" si="38"/>
        <v>#VALUE!</v>
      </c>
      <c r="AC160" s="923" t="e">
        <f t="shared" si="38"/>
        <v>#VALUE!</v>
      </c>
      <c r="AD160" s="923" t="e">
        <f t="shared" si="38"/>
        <v>#VALUE!</v>
      </c>
      <c r="AE160" s="923" t="e">
        <f t="shared" si="38"/>
        <v>#VALUE!</v>
      </c>
      <c r="AF160" s="923" t="e">
        <f t="shared" si="38"/>
        <v>#VALUE!</v>
      </c>
      <c r="AG160" s="923" t="e">
        <f t="shared" si="38"/>
        <v>#VALUE!</v>
      </c>
      <c r="AH160" s="923" t="e">
        <f t="shared" si="38"/>
        <v>#VALUE!</v>
      </c>
      <c r="AI160" s="923" t="e">
        <f t="shared" si="38"/>
        <v>#VALUE!</v>
      </c>
      <c r="AJ160" s="923" t="e">
        <f>AI160+AJ159</f>
        <v>#VALUE!</v>
      </c>
    </row>
    <row r="161" spans="7:36" ht="15" hidden="1" customHeight="1" x14ac:dyDescent="0.2">
      <c r="R161" s="1"/>
    </row>
    <row r="162" spans="7:36" ht="15" hidden="1" customHeight="1" x14ac:dyDescent="0.2"/>
    <row r="163" spans="7:36" ht="15" hidden="1" customHeight="1" x14ac:dyDescent="0.2">
      <c r="G163" s="489" t="s">
        <v>296</v>
      </c>
      <c r="H163" s="14"/>
      <c r="I163" s="13"/>
      <c r="J163" s="13"/>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row>
    <row r="164" spans="7:36" ht="15" hidden="1" customHeight="1" x14ac:dyDescent="0.2">
      <c r="G164" s="14"/>
      <c r="H164" s="14"/>
      <c r="I164" s="13"/>
      <c r="J164" s="13"/>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row>
    <row r="165" spans="7:36" ht="15" hidden="1" customHeight="1" x14ac:dyDescent="0.2">
      <c r="G165" s="14" t="s">
        <v>2</v>
      </c>
      <c r="H165" s="60"/>
      <c r="I165" s="60"/>
      <c r="J165" s="60"/>
      <c r="K165" s="39">
        <f>K$79</f>
        <v>0.19338</v>
      </c>
      <c r="L165" s="39">
        <f t="shared" ref="L165:AI165" si="39">L$79</f>
        <v>0.18757859999999998</v>
      </c>
      <c r="M165" s="39">
        <f t="shared" si="39"/>
        <v>0.18195124199999999</v>
      </c>
      <c r="N165" s="39">
        <f t="shared" si="39"/>
        <v>0.17649270473999998</v>
      </c>
      <c r="O165" s="39">
        <f t="shared" si="39"/>
        <v>0.17119792359779998</v>
      </c>
      <c r="P165" s="39">
        <f t="shared" si="39"/>
        <v>0.16606198588986598</v>
      </c>
      <c r="Q165" s="39">
        <f t="shared" si="39"/>
        <v>0.16108012631317001</v>
      </c>
      <c r="R165" s="39">
        <f t="shared" si="39"/>
        <v>0.15624772252377489</v>
      </c>
      <c r="S165" s="39">
        <f t="shared" si="39"/>
        <v>0.15156029084806164</v>
      </c>
      <c r="T165" s="39">
        <f t="shared" si="39"/>
        <v>0.14701348212261978</v>
      </c>
      <c r="U165" s="39">
        <f t="shared" si="39"/>
        <v>0.14260307765894117</v>
      </c>
      <c r="V165" s="39">
        <f t="shared" si="39"/>
        <v>0.13832498532917292</v>
      </c>
      <c r="W165" s="39">
        <f t="shared" si="39"/>
        <v>0.13417523576929774</v>
      </c>
      <c r="X165" s="39">
        <f t="shared" si="39"/>
        <v>0.1301499786962188</v>
      </c>
      <c r="Y165" s="39">
        <f t="shared" si="39"/>
        <v>0.12624547933533223</v>
      </c>
      <c r="Z165" s="39">
        <f t="shared" si="39"/>
        <v>0.12245811495527226</v>
      </c>
      <c r="AA165" s="39">
        <f t="shared" si="39"/>
        <v>0.11878437150661408</v>
      </c>
      <c r="AB165" s="39">
        <f t="shared" si="39"/>
        <v>0.11522084036141565</v>
      </c>
      <c r="AC165" s="39">
        <f t="shared" si="39"/>
        <v>0.11176421515057318</v>
      </c>
      <c r="AD165" s="39">
        <f t="shared" si="39"/>
        <v>0.10841128869605599</v>
      </c>
      <c r="AE165" s="39">
        <f t="shared" si="39"/>
        <v>0.10515895003517431</v>
      </c>
      <c r="AF165" s="39">
        <f t="shared" si="39"/>
        <v>0.10200418153411908</v>
      </c>
      <c r="AG165" s="39">
        <f t="shared" si="39"/>
        <v>9.8944056088095506E-2</v>
      </c>
      <c r="AH165" s="39">
        <f t="shared" si="39"/>
        <v>9.5975734405452637E-2</v>
      </c>
      <c r="AI165" s="39">
        <f t="shared" si="39"/>
        <v>9.3096462373289057E-2</v>
      </c>
      <c r="AJ165" s="39">
        <f>AJ$79</f>
        <v>9.0303568502090384E-2</v>
      </c>
    </row>
    <row r="166" spans="7:36" ht="15" hidden="1" customHeight="1" x14ac:dyDescent="0.2">
      <c r="G166" s="14" t="s">
        <v>1</v>
      </c>
      <c r="H166" s="60"/>
      <c r="I166" s="60"/>
      <c r="J166" s="60"/>
      <c r="K166" s="39">
        <f>K$85</f>
        <v>0.31</v>
      </c>
      <c r="L166" s="39">
        <f t="shared" ref="L166:AI166" si="40">L$85</f>
        <v>0.34100000000000003</v>
      </c>
      <c r="M166" s="39">
        <f t="shared" si="40"/>
        <v>0.37510000000000004</v>
      </c>
      <c r="N166" s="39">
        <f t="shared" si="40"/>
        <v>0.41261000000000009</v>
      </c>
      <c r="O166" s="39">
        <f t="shared" si="40"/>
        <v>0.45387100000000014</v>
      </c>
      <c r="P166" s="39">
        <f t="shared" si="40"/>
        <v>0.4992581000000002</v>
      </c>
      <c r="Q166" s="39">
        <f t="shared" si="40"/>
        <v>0.54918391000000022</v>
      </c>
      <c r="R166" s="39">
        <f t="shared" si="40"/>
        <v>0.60410230100000029</v>
      </c>
      <c r="S166" s="39">
        <f t="shared" si="40"/>
        <v>0.66451253110000041</v>
      </c>
      <c r="T166" s="39">
        <f t="shared" si="40"/>
        <v>0.73096378421000052</v>
      </c>
      <c r="U166" s="39">
        <f t="shared" si="40"/>
        <v>0.80406016263100066</v>
      </c>
      <c r="V166" s="39">
        <f t="shared" si="40"/>
        <v>0.88446617889410084</v>
      </c>
      <c r="W166" s="39">
        <f t="shared" si="40"/>
        <v>0.97291279678351106</v>
      </c>
      <c r="X166" s="39">
        <f t="shared" si="40"/>
        <v>1.0702040764618623</v>
      </c>
      <c r="Y166" s="39">
        <f t="shared" si="40"/>
        <v>1.1772244841080486</v>
      </c>
      <c r="Z166" s="39">
        <f t="shared" si="40"/>
        <v>1.2949469325188536</v>
      </c>
      <c r="AA166" s="39">
        <f t="shared" si="40"/>
        <v>1.4244416257707391</v>
      </c>
      <c r="AB166" s="39">
        <f t="shared" si="40"/>
        <v>1.5668857883478131</v>
      </c>
      <c r="AC166" s="39">
        <f t="shared" si="40"/>
        <v>1.7235743671825945</v>
      </c>
      <c r="AD166" s="39">
        <f t="shared" si="40"/>
        <v>1.8959318039008541</v>
      </c>
      <c r="AE166" s="39">
        <f t="shared" si="40"/>
        <v>2.0855249842909398</v>
      </c>
      <c r="AF166" s="39">
        <f t="shared" si="40"/>
        <v>2.2940774827200339</v>
      </c>
      <c r="AG166" s="39">
        <f t="shared" si="40"/>
        <v>2.5234852309920375</v>
      </c>
      <c r="AH166" s="39">
        <f t="shared" si="40"/>
        <v>2.7758337540912414</v>
      </c>
      <c r="AI166" s="39">
        <f t="shared" si="40"/>
        <v>3.053417129500366</v>
      </c>
      <c r="AJ166" s="39">
        <f>AJ$85</f>
        <v>3.3587588424504031</v>
      </c>
    </row>
    <row r="167" spans="7:36" ht="15" hidden="1" customHeight="1" x14ac:dyDescent="0.2">
      <c r="G167" s="60"/>
      <c r="H167" s="60"/>
      <c r="I167" s="60"/>
      <c r="J167" s="60"/>
      <c r="K167" s="60"/>
      <c r="L167" s="60"/>
      <c r="M167" s="60"/>
      <c r="N167" s="60"/>
      <c r="O167" s="60"/>
      <c r="P167" s="60"/>
      <c r="Q167" s="60"/>
      <c r="R167" s="61"/>
      <c r="S167" s="60"/>
      <c r="T167" s="60"/>
      <c r="U167" s="60"/>
      <c r="V167" s="60"/>
      <c r="W167" s="60"/>
      <c r="X167" s="60"/>
      <c r="Y167" s="60"/>
      <c r="Z167" s="60"/>
      <c r="AA167" s="60"/>
      <c r="AB167" s="60"/>
      <c r="AC167" s="60"/>
      <c r="AD167" s="60"/>
      <c r="AE167" s="60"/>
      <c r="AF167" s="60"/>
      <c r="AG167" s="60"/>
      <c r="AH167" s="60"/>
      <c r="AI167" s="60"/>
      <c r="AJ167" s="60"/>
    </row>
    <row r="168" spans="7:36" ht="15" hidden="1" customHeight="1" x14ac:dyDescent="0.2">
      <c r="G168" s="14" t="s">
        <v>4</v>
      </c>
      <c r="H168" s="14"/>
      <c r="I168" s="13"/>
      <c r="J168" s="13"/>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row>
    <row r="169" spans="7:36" ht="15" hidden="1" customHeight="1" x14ac:dyDescent="0.2">
      <c r="G169" s="14" t="s">
        <v>5</v>
      </c>
      <c r="H169" s="14"/>
      <c r="I169" s="13"/>
      <c r="J169" s="13"/>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row>
    <row r="170" spans="7:36" ht="15" hidden="1" customHeight="1" x14ac:dyDescent="0.2">
      <c r="G170" s="14" t="s">
        <v>6</v>
      </c>
      <c r="H170" s="14"/>
      <c r="I170" s="13"/>
      <c r="J170" s="13"/>
      <c r="K170" s="75">
        <f>$K$13</f>
        <v>98005.027499999997</v>
      </c>
      <c r="L170" s="75">
        <f>$K$13</f>
        <v>98005.027499999997</v>
      </c>
      <c r="M170" s="75">
        <f t="shared" ref="M170:AI170" si="41">$K$13</f>
        <v>98005.027499999997</v>
      </c>
      <c r="N170" s="75">
        <f t="shared" si="41"/>
        <v>98005.027499999997</v>
      </c>
      <c r="O170" s="75">
        <f t="shared" si="41"/>
        <v>98005.027499999997</v>
      </c>
      <c r="P170" s="75">
        <f t="shared" si="41"/>
        <v>98005.027499999997</v>
      </c>
      <c r="Q170" s="75">
        <f t="shared" si="41"/>
        <v>98005.027499999997</v>
      </c>
      <c r="R170" s="75">
        <f t="shared" si="41"/>
        <v>98005.027499999997</v>
      </c>
      <c r="S170" s="75">
        <f t="shared" si="41"/>
        <v>98005.027499999997</v>
      </c>
      <c r="T170" s="75">
        <f t="shared" si="41"/>
        <v>98005.027499999997</v>
      </c>
      <c r="U170" s="75">
        <f t="shared" si="41"/>
        <v>98005.027499999997</v>
      </c>
      <c r="V170" s="75">
        <f t="shared" si="41"/>
        <v>98005.027499999997</v>
      </c>
      <c r="W170" s="75">
        <f t="shared" si="41"/>
        <v>98005.027499999997</v>
      </c>
      <c r="X170" s="75">
        <f t="shared" si="41"/>
        <v>98005.027499999997</v>
      </c>
      <c r="Y170" s="75">
        <f t="shared" si="41"/>
        <v>98005.027499999997</v>
      </c>
      <c r="Z170" s="75">
        <f t="shared" si="41"/>
        <v>98005.027499999997</v>
      </c>
      <c r="AA170" s="75">
        <f t="shared" si="41"/>
        <v>98005.027499999997</v>
      </c>
      <c r="AB170" s="75">
        <f t="shared" si="41"/>
        <v>98005.027499999997</v>
      </c>
      <c r="AC170" s="75">
        <f t="shared" si="41"/>
        <v>98005.027499999997</v>
      </c>
      <c r="AD170" s="75">
        <f t="shared" si="41"/>
        <v>98005.027499999997</v>
      </c>
      <c r="AE170" s="75">
        <f t="shared" si="41"/>
        <v>98005.027499999997</v>
      </c>
      <c r="AF170" s="75">
        <f t="shared" si="41"/>
        <v>98005.027499999997</v>
      </c>
      <c r="AG170" s="75">
        <f t="shared" si="41"/>
        <v>98005.027499999997</v>
      </c>
      <c r="AH170" s="75">
        <f t="shared" si="41"/>
        <v>98005.027499999997</v>
      </c>
      <c r="AI170" s="75">
        <f t="shared" si="41"/>
        <v>98005.027499999997</v>
      </c>
      <c r="AJ170" s="75">
        <f>$K$13</f>
        <v>98005.027499999997</v>
      </c>
    </row>
    <row r="171" spans="7:36" ht="15" hidden="1" customHeight="1" x14ac:dyDescent="0.2">
      <c r="G171" s="14"/>
      <c r="H171" s="14"/>
      <c r="I171" s="13"/>
      <c r="J171" s="13"/>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row>
    <row r="172" spans="7:36" ht="15" hidden="1" customHeight="1" x14ac:dyDescent="0.2">
      <c r="G172" s="14" t="s">
        <v>7</v>
      </c>
      <c r="H172" s="14"/>
      <c r="I172" s="13"/>
      <c r="J172" s="13"/>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row>
    <row r="173" spans="7:36" ht="15" hidden="1" customHeight="1" x14ac:dyDescent="0.2">
      <c r="G173" s="14" t="s">
        <v>8</v>
      </c>
      <c r="H173" s="14"/>
      <c r="I173" s="13"/>
      <c r="J173" s="13"/>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row>
    <row r="174" spans="7:36" ht="15" hidden="1" customHeight="1" x14ac:dyDescent="0.2">
      <c r="G174" s="14" t="s">
        <v>9</v>
      </c>
      <c r="H174" s="14"/>
      <c r="I174" s="13"/>
      <c r="J174" s="13"/>
      <c r="K174" s="31">
        <f>K165*K170</f>
        <v>18952.21221795</v>
      </c>
      <c r="L174" s="31">
        <f t="shared" ref="L174:AI174" si="42">L165*L170</f>
        <v>18383.645851411497</v>
      </c>
      <c r="M174" s="31">
        <f t="shared" si="42"/>
        <v>17832.136475869152</v>
      </c>
      <c r="N174" s="31">
        <f t="shared" si="42"/>
        <v>17297.172381593078</v>
      </c>
      <c r="O174" s="31">
        <f t="shared" si="42"/>
        <v>16778.257210145286</v>
      </c>
      <c r="P174" s="31">
        <f t="shared" si="42"/>
        <v>16274.909493840927</v>
      </c>
      <c r="Q174" s="31">
        <f t="shared" si="42"/>
        <v>15786.662209025701</v>
      </c>
      <c r="R174" s="31">
        <f t="shared" si="42"/>
        <v>15313.062342754927</v>
      </c>
      <c r="S174" s="31">
        <f t="shared" si="42"/>
        <v>14853.670472472279</v>
      </c>
      <c r="T174" s="31">
        <f t="shared" si="42"/>
        <v>14408.060358298109</v>
      </c>
      <c r="U174" s="31">
        <f t="shared" si="42"/>
        <v>13975.818547549165</v>
      </c>
      <c r="V174" s="31">
        <f t="shared" si="42"/>
        <v>13556.543991122688</v>
      </c>
      <c r="W174" s="31">
        <f t="shared" si="42"/>
        <v>13149.847671389009</v>
      </c>
      <c r="X174" s="31">
        <f t="shared" si="42"/>
        <v>12755.352241247338</v>
      </c>
      <c r="Y174" s="31">
        <f t="shared" si="42"/>
        <v>12372.691674009917</v>
      </c>
      <c r="Z174" s="31">
        <f t="shared" si="42"/>
        <v>12001.510923789618</v>
      </c>
      <c r="AA174" s="31">
        <f t="shared" si="42"/>
        <v>11641.46559607593</v>
      </c>
      <c r="AB174" s="31">
        <f t="shared" si="42"/>
        <v>11292.221628193651</v>
      </c>
      <c r="AC174" s="31">
        <f t="shared" si="42"/>
        <v>10953.45497934784</v>
      </c>
      <c r="AD174" s="31">
        <f t="shared" si="42"/>
        <v>10624.851329967405</v>
      </c>
      <c r="AE174" s="31">
        <f t="shared" si="42"/>
        <v>10306.105790068385</v>
      </c>
      <c r="AF174" s="31">
        <f t="shared" si="42"/>
        <v>9996.9226163663316</v>
      </c>
      <c r="AG174" s="31">
        <f t="shared" si="42"/>
        <v>9697.0149378753413</v>
      </c>
      <c r="AH174" s="31">
        <f t="shared" si="42"/>
        <v>9406.1044897390821</v>
      </c>
      <c r="AI174" s="31">
        <f t="shared" si="42"/>
        <v>9123.9213550469085</v>
      </c>
      <c r="AJ174" s="31">
        <f>AJ165*AJ170</f>
        <v>8850.2037143955022</v>
      </c>
    </row>
    <row r="175" spans="7:36" ht="15" hidden="1" customHeight="1" x14ac:dyDescent="0.2">
      <c r="G175" s="14"/>
      <c r="H175" s="14"/>
      <c r="I175" s="13"/>
      <c r="J175" s="13"/>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row>
    <row r="176" spans="7:36" ht="15" hidden="1" customHeight="1" x14ac:dyDescent="0.2">
      <c r="G176" s="14" t="s">
        <v>10</v>
      </c>
      <c r="H176" s="14"/>
      <c r="I176" s="13"/>
      <c r="J176" s="13"/>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row>
    <row r="177" spans="7:36" ht="15" hidden="1" customHeight="1" x14ac:dyDescent="0.2">
      <c r="G177" s="14" t="s">
        <v>11</v>
      </c>
      <c r="H177" s="14"/>
      <c r="I177" s="13"/>
      <c r="J177" s="13"/>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row>
    <row r="178" spans="7:36" ht="15" hidden="1" customHeight="1" x14ac:dyDescent="0.2">
      <c r="G178" s="14" t="s">
        <v>12</v>
      </c>
      <c r="H178" s="14"/>
      <c r="I178" s="13"/>
      <c r="J178" s="13"/>
      <c r="K178" s="31">
        <f>K$190*K170</f>
        <v>30381.558525</v>
      </c>
      <c r="L178" s="31">
        <f>L$190*L170</f>
        <v>33419.7143775</v>
      </c>
      <c r="M178" s="31">
        <f t="shared" ref="M178:AI178" si="43">M$166*M170</f>
        <v>36761.685815250006</v>
      </c>
      <c r="N178" s="31">
        <f t="shared" si="43"/>
        <v>40437.854396775008</v>
      </c>
      <c r="O178" s="31">
        <f t="shared" si="43"/>
        <v>44481.639836452508</v>
      </c>
      <c r="P178" s="31">
        <f t="shared" si="43"/>
        <v>48929.803820097768</v>
      </c>
      <c r="Q178" s="31">
        <f t="shared" si="43"/>
        <v>53822.784202107541</v>
      </c>
      <c r="R178" s="31">
        <f t="shared" si="43"/>
        <v>59205.062622318306</v>
      </c>
      <c r="S178" s="31">
        <f t="shared" si="43"/>
        <v>65125.568884550143</v>
      </c>
      <c r="T178" s="31">
        <f t="shared" si="43"/>
        <v>71638.125773005158</v>
      </c>
      <c r="U178" s="31">
        <f t="shared" si="43"/>
        <v>78801.938350305689</v>
      </c>
      <c r="V178" s="31">
        <f t="shared" si="43"/>
        <v>86682.132185336275</v>
      </c>
      <c r="W178" s="31">
        <f t="shared" si="43"/>
        <v>95350.345403869913</v>
      </c>
      <c r="X178" s="31">
        <f t="shared" si="43"/>
        <v>104885.37994425691</v>
      </c>
      <c r="Y178" s="31">
        <f t="shared" si="43"/>
        <v>115373.91793868261</v>
      </c>
      <c r="Z178" s="31">
        <f t="shared" si="43"/>
        <v>126911.30973255089</v>
      </c>
      <c r="AA178" s="31">
        <f t="shared" si="43"/>
        <v>139602.44070580599</v>
      </c>
      <c r="AB178" s="31">
        <f t="shared" si="43"/>
        <v>153562.6847763866</v>
      </c>
      <c r="AC178" s="31">
        <f t="shared" si="43"/>
        <v>168918.95325402525</v>
      </c>
      <c r="AD178" s="31">
        <f t="shared" si="43"/>
        <v>185810.84857942781</v>
      </c>
      <c r="AE178" s="31">
        <f t="shared" si="43"/>
        <v>204391.93343737061</v>
      </c>
      <c r="AF178" s="31">
        <f t="shared" si="43"/>
        <v>224831.12678110768</v>
      </c>
      <c r="AG178" s="31">
        <f t="shared" si="43"/>
        <v>247314.23945921849</v>
      </c>
      <c r="AH178" s="31">
        <f t="shared" si="43"/>
        <v>272045.66340514034</v>
      </c>
      <c r="AI178" s="31">
        <f t="shared" si="43"/>
        <v>299250.22974565445</v>
      </c>
      <c r="AJ178" s="31">
        <f>AJ$166*AJ170</f>
        <v>329175.2527202199</v>
      </c>
    </row>
    <row r="179" spans="7:36" ht="15" hidden="1" customHeight="1" x14ac:dyDescent="0.2">
      <c r="G179" s="14" t="s">
        <v>13</v>
      </c>
      <c r="H179" s="14"/>
      <c r="I179" s="13"/>
      <c r="J179" s="13"/>
      <c r="K179" s="31">
        <f t="shared" ref="K179:AI179" si="44">K$88*K174</f>
        <v>1895.221221795</v>
      </c>
      <c r="L179" s="31">
        <f t="shared" si="44"/>
        <v>1875.1318768439728</v>
      </c>
      <c r="M179" s="31">
        <f t="shared" si="44"/>
        <v>1855.2554789494268</v>
      </c>
      <c r="N179" s="31">
        <f t="shared" si="44"/>
        <v>1835.5897708725629</v>
      </c>
      <c r="O179" s="31">
        <f t="shared" si="44"/>
        <v>1816.1325193013138</v>
      </c>
      <c r="P179" s="31">
        <f t="shared" si="44"/>
        <v>1796.8815145967199</v>
      </c>
      <c r="Q179" s="31">
        <f t="shared" si="44"/>
        <v>1777.8345705419949</v>
      </c>
      <c r="R179" s="31">
        <f t="shared" si="44"/>
        <v>1758.9895240942494</v>
      </c>
      <c r="S179" s="31">
        <f t="shared" si="44"/>
        <v>1740.3442351388503</v>
      </c>
      <c r="T179" s="31">
        <f t="shared" si="44"/>
        <v>1721.8965862463783</v>
      </c>
      <c r="U179" s="31">
        <f t="shared" si="44"/>
        <v>1703.6444824321666</v>
      </c>
      <c r="V179" s="31">
        <f t="shared" si="44"/>
        <v>1685.5858509183854</v>
      </c>
      <c r="W179" s="31">
        <f t="shared" si="44"/>
        <v>1667.7186408986506</v>
      </c>
      <c r="X179" s="31">
        <f t="shared" si="44"/>
        <v>1650.0408233051248</v>
      </c>
      <c r="Y179" s="31">
        <f t="shared" si="44"/>
        <v>1632.5503905780904</v>
      </c>
      <c r="Z179" s="31">
        <f t="shared" si="44"/>
        <v>1615.2453564379625</v>
      </c>
      <c r="AA179" s="31">
        <f t="shared" si="44"/>
        <v>1598.1237556597205</v>
      </c>
      <c r="AB179" s="31">
        <f t="shared" si="44"/>
        <v>1581.1836438497271</v>
      </c>
      <c r="AC179" s="31">
        <f t="shared" si="44"/>
        <v>1564.42309722492</v>
      </c>
      <c r="AD179" s="31">
        <f t="shared" si="44"/>
        <v>1547.8402123943358</v>
      </c>
      <c r="AE179" s="31">
        <f t="shared" si="44"/>
        <v>1531.4331061429561</v>
      </c>
      <c r="AF179" s="31">
        <f t="shared" si="44"/>
        <v>1515.1999152178407</v>
      </c>
      <c r="AG179" s="31">
        <f t="shared" si="44"/>
        <v>1499.1387961165315</v>
      </c>
      <c r="AH179" s="31">
        <f t="shared" si="44"/>
        <v>1483.2479248776965</v>
      </c>
      <c r="AI179" s="31">
        <f t="shared" si="44"/>
        <v>1467.5254968739928</v>
      </c>
      <c r="AJ179" s="31">
        <f>AJ$88*AJ174</f>
        <v>1451.9697266071285</v>
      </c>
    </row>
    <row r="180" spans="7:36" ht="15" hidden="1" customHeight="1" x14ac:dyDescent="0.2">
      <c r="G180" s="14"/>
      <c r="H180" s="14"/>
      <c r="I180" s="13"/>
      <c r="J180" s="13"/>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row>
    <row r="181" spans="7:36" ht="15" hidden="1" customHeight="1" x14ac:dyDescent="0.2">
      <c r="G181" s="14" t="s">
        <v>14</v>
      </c>
      <c r="H181" s="14"/>
      <c r="I181" s="13"/>
      <c r="J181" s="13"/>
      <c r="K181" s="31">
        <f t="shared" ref="K181:AI181" si="45">SUM(K176:K179)</f>
        <v>32276.779746795</v>
      </c>
      <c r="L181" s="31">
        <f t="shared" si="45"/>
        <v>35294.846254343975</v>
      </c>
      <c r="M181" s="31">
        <f t="shared" si="45"/>
        <v>38616.941294199431</v>
      </c>
      <c r="N181" s="31">
        <f t="shared" si="45"/>
        <v>42273.444167647569</v>
      </c>
      <c r="O181" s="31">
        <f t="shared" si="45"/>
        <v>46297.772355753819</v>
      </c>
      <c r="P181" s="31">
        <f t="shared" si="45"/>
        <v>50726.685334694484</v>
      </c>
      <c r="Q181" s="31">
        <f t="shared" si="45"/>
        <v>55600.618772649534</v>
      </c>
      <c r="R181" s="31">
        <f t="shared" si="45"/>
        <v>60964.052146412556</v>
      </c>
      <c r="S181" s="31">
        <f t="shared" si="45"/>
        <v>66865.913119688994</v>
      </c>
      <c r="T181" s="31">
        <f t="shared" si="45"/>
        <v>73360.022359251539</v>
      </c>
      <c r="U181" s="31">
        <f t="shared" si="45"/>
        <v>80505.582832737855</v>
      </c>
      <c r="V181" s="31">
        <f t="shared" si="45"/>
        <v>88367.718036254664</v>
      </c>
      <c r="W181" s="31">
        <f t="shared" si="45"/>
        <v>97018.064044768558</v>
      </c>
      <c r="X181" s="31">
        <f t="shared" si="45"/>
        <v>106535.42076756204</v>
      </c>
      <c r="Y181" s="31">
        <f t="shared" si="45"/>
        <v>117006.46832926071</v>
      </c>
      <c r="Z181" s="31">
        <f t="shared" si="45"/>
        <v>128526.55508898885</v>
      </c>
      <c r="AA181" s="31">
        <f t="shared" si="45"/>
        <v>141200.56446146572</v>
      </c>
      <c r="AB181" s="31">
        <f t="shared" si="45"/>
        <v>155143.86842023634</v>
      </c>
      <c r="AC181" s="31">
        <f t="shared" si="45"/>
        <v>170483.37635125016</v>
      </c>
      <c r="AD181" s="31">
        <f t="shared" si="45"/>
        <v>187358.68879182215</v>
      </c>
      <c r="AE181" s="31">
        <f t="shared" si="45"/>
        <v>205923.36654351358</v>
      </c>
      <c r="AF181" s="31">
        <f t="shared" si="45"/>
        <v>226346.32669632553</v>
      </c>
      <c r="AG181" s="31">
        <f t="shared" si="45"/>
        <v>248813.37825533503</v>
      </c>
      <c r="AH181" s="31">
        <f t="shared" si="45"/>
        <v>273528.91133001802</v>
      </c>
      <c r="AI181" s="31">
        <f t="shared" si="45"/>
        <v>300717.75524252845</v>
      </c>
      <c r="AJ181" s="31">
        <f>SUM(AJ176:AJ179)</f>
        <v>330627.22244682704</v>
      </c>
    </row>
    <row r="182" spans="7:36" ht="15" hidden="1" customHeight="1" x14ac:dyDescent="0.2">
      <c r="G182" s="14" t="s">
        <v>15</v>
      </c>
      <c r="H182" s="14"/>
      <c r="I182" s="13"/>
      <c r="J182" s="13"/>
      <c r="K182" s="31">
        <f>K181</f>
        <v>32276.779746795</v>
      </c>
      <c r="L182" s="31">
        <f t="shared" ref="L182:AI182" si="46">K182+L181</f>
        <v>67571.626001138968</v>
      </c>
      <c r="M182" s="31">
        <f t="shared" si="46"/>
        <v>106188.56729533841</v>
      </c>
      <c r="N182" s="31">
        <f t="shared" si="46"/>
        <v>148462.01146298597</v>
      </c>
      <c r="O182" s="31">
        <f t="shared" si="46"/>
        <v>194759.78381873979</v>
      </c>
      <c r="P182" s="31">
        <f t="shared" si="46"/>
        <v>245486.46915343427</v>
      </c>
      <c r="Q182" s="31">
        <f t="shared" si="46"/>
        <v>301087.08792608383</v>
      </c>
      <c r="R182" s="31">
        <f t="shared" si="46"/>
        <v>362051.14007249638</v>
      </c>
      <c r="S182" s="31">
        <f t="shared" si="46"/>
        <v>428917.05319218535</v>
      </c>
      <c r="T182" s="31">
        <f t="shared" si="46"/>
        <v>502277.07555143686</v>
      </c>
      <c r="U182" s="31">
        <f t="shared" si="46"/>
        <v>582782.65838417469</v>
      </c>
      <c r="V182" s="31">
        <f t="shared" si="46"/>
        <v>671150.37642042933</v>
      </c>
      <c r="W182" s="31">
        <f t="shared" si="46"/>
        <v>768168.4404651979</v>
      </c>
      <c r="X182" s="31">
        <f t="shared" si="46"/>
        <v>874703.8612327599</v>
      </c>
      <c r="Y182" s="31">
        <f t="shared" si="46"/>
        <v>991710.3295620206</v>
      </c>
      <c r="Z182" s="31">
        <f t="shared" si="46"/>
        <v>1120236.8846510095</v>
      </c>
      <c r="AA182" s="31">
        <f t="shared" si="46"/>
        <v>1261437.4491124752</v>
      </c>
      <c r="AB182" s="31">
        <f t="shared" si="46"/>
        <v>1416581.3175327114</v>
      </c>
      <c r="AC182" s="31">
        <f t="shared" si="46"/>
        <v>1587064.6938839615</v>
      </c>
      <c r="AD182" s="31">
        <f t="shared" si="46"/>
        <v>1774423.3826757837</v>
      </c>
      <c r="AE182" s="31">
        <f t="shared" si="46"/>
        <v>1980346.7492192972</v>
      </c>
      <c r="AF182" s="31">
        <f t="shared" si="46"/>
        <v>2206693.0759156225</v>
      </c>
      <c r="AG182" s="31">
        <f t="shared" si="46"/>
        <v>2455506.4541709577</v>
      </c>
      <c r="AH182" s="31">
        <f t="shared" si="46"/>
        <v>2729035.3655009759</v>
      </c>
      <c r="AI182" s="31">
        <f t="shared" si="46"/>
        <v>3029753.1207435043</v>
      </c>
      <c r="AJ182" s="31">
        <f>AI182+AJ181</f>
        <v>3360380.3431903315</v>
      </c>
    </row>
    <row r="183" spans="7:36" ht="15" hidden="1" customHeight="1" x14ac:dyDescent="0.2">
      <c r="G183" s="13"/>
      <c r="H183" s="13"/>
      <c r="I183" s="13"/>
      <c r="J183" s="13"/>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row>
    <row r="184" spans="7:36" ht="15" hidden="1" customHeight="1" x14ac:dyDescent="0.2">
      <c r="G184" s="14" t="s">
        <v>17</v>
      </c>
      <c r="H184" s="13"/>
      <c r="I184" s="13"/>
      <c r="J184" s="13"/>
      <c r="K184" s="31">
        <f>K181/(((Data!$P$186/100)+1)^K$70)</f>
        <v>32276.779746795</v>
      </c>
      <c r="L184" s="31">
        <f>L181/(((Data!$P$186/100)+1)^L$70)</f>
        <v>34101.300728834758</v>
      </c>
      <c r="M184" s="31">
        <f>M181/(((Data!$P$186/100)+1)^M$70)</f>
        <v>36049.327913556379</v>
      </c>
      <c r="N184" s="31">
        <f>N181/(((Data!$P$186/100)+1)^N$70)</f>
        <v>38128.224610474128</v>
      </c>
      <c r="O184" s="31">
        <f>O181/(((Data!$P$186/100)+1)^O$70)</f>
        <v>40345.833879179489</v>
      </c>
      <c r="P184" s="31">
        <f>P181/(((Data!$P$186/100)+1)^P$70)</f>
        <v>42710.507895488568</v>
      </c>
      <c r="Q184" s="31">
        <f>Q181/(((Data!$P$186/100)+1)^Q$70)</f>
        <v>45231.139195460128</v>
      </c>
      <c r="R184" s="31">
        <f>R181/(((Data!$P$186/100)+1)^R$70)</f>
        <v>47917.193913737254</v>
      </c>
      <c r="S184" s="31">
        <f>S181/(((Data!$P$186/100)+1)^S$70)</f>
        <v>50778.747140043626</v>
      </c>
      <c r="T184" s="31">
        <f>T181/(((Data!$P$186/100)+1)^T$70)</f>
        <v>53826.520525505468</v>
      </c>
      <c r="U184" s="31">
        <f>U181/(((Data!$P$186/100)+1)^U$70)</f>
        <v>57071.922278798324</v>
      </c>
      <c r="V184" s="31">
        <f>V181/(((Data!$P$186/100)+1)^V$70)</f>
        <v>60527.08970096743</v>
      </c>
      <c r="W184" s="31">
        <f>W181/(((Data!$P$186/100)+1)^W$70)</f>
        <v>64204.934417172888</v>
      </c>
      <c r="X184" s="31">
        <f>X181/(((Data!$P$186/100)+1)^X$70)</f>
        <v>68119.190473601353</v>
      </c>
      <c r="Y184" s="31">
        <f>Y181/(((Data!$P$186/100)+1)^Y$70)</f>
        <v>72284.465478401529</v>
      </c>
      <c r="Z184" s="31">
        <f>Z181/(((Data!$P$186/100)+1)^Z$70)</f>
        <v>76716.294976781632</v>
      </c>
      <c r="AA184" s="31">
        <f>AA181/(((Data!$P$186/100)+1)^AA$70)</f>
        <v>81431.200262392216</v>
      </c>
      <c r="AB184" s="31">
        <f>AB181/(((Data!$P$186/100)+1)^AB$70)</f>
        <v>86446.749839856449</v>
      </c>
      <c r="AC184" s="31">
        <f>AC181/(((Data!$P$186/100)+1)^AC$70)</f>
        <v>91781.624766844485</v>
      </c>
      <c r="AD184" s="31">
        <f>AD181/(((Data!$P$186/100)+1)^AD$70)</f>
        <v>97455.688118471939</v>
      </c>
      <c r="AE184" s="31">
        <f>AE181/(((Data!$P$186/100)+1)^AE$70)</f>
        <v>103490.05883208801</v>
      </c>
      <c r="AF184" s="31">
        <f>AF181/(((Data!$P$186/100)+1)^AF$70)</f>
        <v>109907.19020676205</v>
      </c>
      <c r="AG184" s="31">
        <f>AG181/(((Data!$P$186/100)+1)^AG$70)</f>
        <v>116730.95334903897</v>
      </c>
      <c r="AH184" s="31">
        <f>AH181/(((Data!$P$186/100)+1)^AH$70)</f>
        <v>123986.72587487826</v>
      </c>
      <c r="AI184" s="31">
        <f>AI181/(((Data!$P$186/100)+1)^AI$70)</f>
        <v>131701.48619718698</v>
      </c>
      <c r="AJ184" s="31">
        <f>AJ181/(((Data!$P$186/100)+1)^AJ$70)</f>
        <v>139903.91374907372</v>
      </c>
    </row>
    <row r="185" spans="7:36" ht="15" hidden="1" customHeight="1" x14ac:dyDescent="0.2">
      <c r="G185" s="30" t="s">
        <v>186</v>
      </c>
      <c r="H185" s="33"/>
      <c r="I185" s="13"/>
      <c r="J185" s="13"/>
      <c r="K185" s="34">
        <f>K184</f>
        <v>32276.779746795</v>
      </c>
      <c r="L185" s="34">
        <f t="shared" ref="L185:AJ185" si="47">K185+L184</f>
        <v>66378.080475629758</v>
      </c>
      <c r="M185" s="34">
        <f t="shared" si="47"/>
        <v>102427.40838918614</v>
      </c>
      <c r="N185" s="34">
        <f t="shared" si="47"/>
        <v>140555.63299966027</v>
      </c>
      <c r="O185" s="34">
        <f t="shared" si="47"/>
        <v>180901.46687883977</v>
      </c>
      <c r="P185" s="34">
        <f t="shared" si="47"/>
        <v>223611.97477432835</v>
      </c>
      <c r="Q185" s="34">
        <f t="shared" si="47"/>
        <v>268843.11396978848</v>
      </c>
      <c r="R185" s="34">
        <f t="shared" si="47"/>
        <v>316760.30788352573</v>
      </c>
      <c r="S185" s="34">
        <f t="shared" si="47"/>
        <v>367539.05502356938</v>
      </c>
      <c r="T185" s="34">
        <f t="shared" si="47"/>
        <v>421365.57554907486</v>
      </c>
      <c r="U185" s="34">
        <f t="shared" si="47"/>
        <v>478437.49782787316</v>
      </c>
      <c r="V185" s="34">
        <f t="shared" si="47"/>
        <v>538964.58752884064</v>
      </c>
      <c r="W185" s="34">
        <f t="shared" si="47"/>
        <v>603169.52194601356</v>
      </c>
      <c r="X185" s="34">
        <f t="shared" si="47"/>
        <v>671288.71241961489</v>
      </c>
      <c r="Y185" s="34">
        <f t="shared" si="47"/>
        <v>743573.17789801641</v>
      </c>
      <c r="Z185" s="34">
        <f t="shared" si="47"/>
        <v>820289.472874798</v>
      </c>
      <c r="AA185" s="34">
        <f t="shared" si="47"/>
        <v>901720.67313719017</v>
      </c>
      <c r="AB185" s="34">
        <f t="shared" si="47"/>
        <v>988167.42297704658</v>
      </c>
      <c r="AC185" s="34">
        <f t="shared" si="47"/>
        <v>1079949.0477438911</v>
      </c>
      <c r="AD185" s="34">
        <f t="shared" si="47"/>
        <v>1177404.7358623631</v>
      </c>
      <c r="AE185" s="34">
        <f t="shared" si="47"/>
        <v>1280894.7946944511</v>
      </c>
      <c r="AF185" s="34">
        <f t="shared" si="47"/>
        <v>1390801.9849012131</v>
      </c>
      <c r="AG185" s="34">
        <f t="shared" si="47"/>
        <v>1507532.938250252</v>
      </c>
      <c r="AH185" s="34">
        <f t="shared" si="47"/>
        <v>1631519.6641251303</v>
      </c>
      <c r="AI185" s="34">
        <f t="shared" si="47"/>
        <v>1763221.1503223171</v>
      </c>
      <c r="AJ185" s="34">
        <f t="shared" si="47"/>
        <v>1903125.0640713908</v>
      </c>
    </row>
    <row r="186" spans="7:36" ht="15" hidden="1" customHeight="1" x14ac:dyDescent="0.2">
      <c r="G186" s="8"/>
      <c r="H186" s="8"/>
      <c r="I186" s="8"/>
      <c r="J186" s="8"/>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row>
    <row r="187" spans="7:36" ht="15" hidden="1" customHeight="1" x14ac:dyDescent="0.2">
      <c r="G187" s="532" t="s">
        <v>517</v>
      </c>
      <c r="H187" s="17"/>
      <c r="I187" s="13"/>
      <c r="J187" s="13"/>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row>
    <row r="188" spans="7:36" ht="15" hidden="1" customHeight="1" x14ac:dyDescent="0.2">
      <c r="G188" s="17"/>
      <c r="H188" s="17"/>
      <c r="I188" s="13"/>
      <c r="J188" s="13"/>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row>
    <row r="189" spans="7:36" ht="15" hidden="1" customHeight="1" x14ac:dyDescent="0.2">
      <c r="G189" s="17" t="s">
        <v>2</v>
      </c>
      <c r="H189" s="60"/>
      <c r="I189" s="60"/>
      <c r="J189" s="60"/>
      <c r="K189" s="101">
        <f>K$79</f>
        <v>0.19338</v>
      </c>
      <c r="L189" s="101">
        <f t="shared" ref="L189:AI189" si="48">L$79</f>
        <v>0.18757859999999998</v>
      </c>
      <c r="M189" s="101">
        <f t="shared" si="48"/>
        <v>0.18195124199999999</v>
      </c>
      <c r="N189" s="101">
        <f t="shared" si="48"/>
        <v>0.17649270473999998</v>
      </c>
      <c r="O189" s="101">
        <f t="shared" si="48"/>
        <v>0.17119792359779998</v>
      </c>
      <c r="P189" s="101">
        <f t="shared" si="48"/>
        <v>0.16606198588986598</v>
      </c>
      <c r="Q189" s="101">
        <f t="shared" si="48"/>
        <v>0.16108012631317001</v>
      </c>
      <c r="R189" s="101">
        <f t="shared" si="48"/>
        <v>0.15624772252377489</v>
      </c>
      <c r="S189" s="101">
        <f t="shared" si="48"/>
        <v>0.15156029084806164</v>
      </c>
      <c r="T189" s="101">
        <f t="shared" si="48"/>
        <v>0.14701348212261978</v>
      </c>
      <c r="U189" s="101">
        <f t="shared" si="48"/>
        <v>0.14260307765894117</v>
      </c>
      <c r="V189" s="101">
        <f t="shared" si="48"/>
        <v>0.13832498532917292</v>
      </c>
      <c r="W189" s="101">
        <f t="shared" si="48"/>
        <v>0.13417523576929774</v>
      </c>
      <c r="X189" s="101">
        <f t="shared" si="48"/>
        <v>0.1301499786962188</v>
      </c>
      <c r="Y189" s="101">
        <f t="shared" si="48"/>
        <v>0.12624547933533223</v>
      </c>
      <c r="Z189" s="101">
        <f t="shared" si="48"/>
        <v>0.12245811495527226</v>
      </c>
      <c r="AA189" s="101">
        <f t="shared" si="48"/>
        <v>0.11878437150661408</v>
      </c>
      <c r="AB189" s="101">
        <f t="shared" si="48"/>
        <v>0.11522084036141565</v>
      </c>
      <c r="AC189" s="101">
        <f t="shared" si="48"/>
        <v>0.11176421515057318</v>
      </c>
      <c r="AD189" s="101">
        <f t="shared" si="48"/>
        <v>0.10841128869605599</v>
      </c>
      <c r="AE189" s="101">
        <f t="shared" si="48"/>
        <v>0.10515895003517431</v>
      </c>
      <c r="AF189" s="101">
        <f t="shared" si="48"/>
        <v>0.10200418153411908</v>
      </c>
      <c r="AG189" s="101">
        <f t="shared" si="48"/>
        <v>9.8944056088095506E-2</v>
      </c>
      <c r="AH189" s="101">
        <f t="shared" si="48"/>
        <v>9.5975734405452637E-2</v>
      </c>
      <c r="AI189" s="101">
        <f t="shared" si="48"/>
        <v>9.3096462373289057E-2</v>
      </c>
      <c r="AJ189" s="101">
        <f>AJ$79</f>
        <v>9.0303568502090384E-2</v>
      </c>
    </row>
    <row r="190" spans="7:36" ht="15" hidden="1" customHeight="1" x14ac:dyDescent="0.2">
      <c r="G190" s="17" t="s">
        <v>1</v>
      </c>
      <c r="H190" s="60"/>
      <c r="I190" s="60"/>
      <c r="J190" s="60"/>
      <c r="K190" s="101">
        <f>K$85</f>
        <v>0.31</v>
      </c>
      <c r="L190" s="101">
        <f t="shared" ref="L190:AI190" si="49">L$85</f>
        <v>0.34100000000000003</v>
      </c>
      <c r="M190" s="101">
        <f t="shared" si="49"/>
        <v>0.37510000000000004</v>
      </c>
      <c r="N190" s="101">
        <f t="shared" si="49"/>
        <v>0.41261000000000009</v>
      </c>
      <c r="O190" s="101">
        <f t="shared" si="49"/>
        <v>0.45387100000000014</v>
      </c>
      <c r="P190" s="101">
        <f t="shared" si="49"/>
        <v>0.4992581000000002</v>
      </c>
      <c r="Q190" s="101">
        <f t="shared" si="49"/>
        <v>0.54918391000000022</v>
      </c>
      <c r="R190" s="101">
        <f t="shared" si="49"/>
        <v>0.60410230100000029</v>
      </c>
      <c r="S190" s="101">
        <f t="shared" si="49"/>
        <v>0.66451253110000041</v>
      </c>
      <c r="T190" s="101">
        <f t="shared" si="49"/>
        <v>0.73096378421000052</v>
      </c>
      <c r="U190" s="101">
        <f t="shared" si="49"/>
        <v>0.80406016263100066</v>
      </c>
      <c r="V190" s="101">
        <f t="shared" si="49"/>
        <v>0.88446617889410084</v>
      </c>
      <c r="W190" s="101">
        <f t="shared" si="49"/>
        <v>0.97291279678351106</v>
      </c>
      <c r="X190" s="101">
        <f t="shared" si="49"/>
        <v>1.0702040764618623</v>
      </c>
      <c r="Y190" s="101">
        <f t="shared" si="49"/>
        <v>1.1772244841080486</v>
      </c>
      <c r="Z190" s="101">
        <f t="shared" si="49"/>
        <v>1.2949469325188536</v>
      </c>
      <c r="AA190" s="101">
        <f t="shared" si="49"/>
        <v>1.4244416257707391</v>
      </c>
      <c r="AB190" s="101">
        <f t="shared" si="49"/>
        <v>1.5668857883478131</v>
      </c>
      <c r="AC190" s="101">
        <f t="shared" si="49"/>
        <v>1.7235743671825945</v>
      </c>
      <c r="AD190" s="101">
        <f t="shared" si="49"/>
        <v>1.8959318039008541</v>
      </c>
      <c r="AE190" s="101">
        <f t="shared" si="49"/>
        <v>2.0855249842909398</v>
      </c>
      <c r="AF190" s="101">
        <f t="shared" si="49"/>
        <v>2.2940774827200339</v>
      </c>
      <c r="AG190" s="101">
        <f t="shared" si="49"/>
        <v>2.5234852309920375</v>
      </c>
      <c r="AH190" s="101">
        <f t="shared" si="49"/>
        <v>2.7758337540912414</v>
      </c>
      <c r="AI190" s="101">
        <f t="shared" si="49"/>
        <v>3.053417129500366</v>
      </c>
      <c r="AJ190" s="101">
        <f>AJ$85</f>
        <v>3.3587588424504031</v>
      </c>
    </row>
    <row r="191" spans="7:36" ht="15" hidden="1" customHeight="1" x14ac:dyDescent="0.2">
      <c r="G191" s="60"/>
      <c r="H191" s="60"/>
      <c r="I191" s="60"/>
      <c r="J191" s="60"/>
      <c r="K191" s="60"/>
      <c r="L191" s="60"/>
      <c r="M191" s="60"/>
      <c r="N191" s="60"/>
      <c r="O191" s="60"/>
      <c r="P191" s="60"/>
      <c r="Q191" s="60"/>
      <c r="R191" s="61"/>
      <c r="S191" s="60"/>
      <c r="T191" s="60"/>
      <c r="U191" s="60"/>
      <c r="V191" s="60"/>
      <c r="W191" s="60"/>
      <c r="X191" s="60"/>
      <c r="Y191" s="60"/>
      <c r="Z191" s="60"/>
      <c r="AA191" s="60"/>
      <c r="AB191" s="60"/>
      <c r="AC191" s="60"/>
      <c r="AD191" s="60"/>
      <c r="AE191" s="60"/>
      <c r="AF191" s="60"/>
      <c r="AG191" s="60"/>
      <c r="AH191" s="60"/>
      <c r="AI191" s="60"/>
      <c r="AJ191" s="60"/>
    </row>
    <row r="192" spans="7:36" ht="15" hidden="1" customHeight="1" x14ac:dyDescent="0.2">
      <c r="G192" s="17" t="s">
        <v>4</v>
      </c>
      <c r="H192" s="17"/>
      <c r="I192" s="13"/>
      <c r="J192" s="1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row>
    <row r="193" spans="7:36" ht="15" hidden="1" customHeight="1" x14ac:dyDescent="0.2">
      <c r="G193" s="17" t="s">
        <v>5</v>
      </c>
      <c r="H193" s="17"/>
      <c r="I193" s="13"/>
      <c r="J193" s="1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row>
    <row r="194" spans="7:36" ht="15" hidden="1" customHeight="1" x14ac:dyDescent="0.2">
      <c r="G194" s="17" t="s">
        <v>6</v>
      </c>
      <c r="H194" s="17"/>
      <c r="I194" s="13"/>
      <c r="J194" s="13"/>
      <c r="K194" s="35" t="e">
        <f>IF(K$70&lt;$Q$41,$K$13,$Q$13)</f>
        <v>#DIV/0!</v>
      </c>
      <c r="L194" s="35" t="e">
        <f>IF(L$70&lt;$Q$41,$K$13,$Q$13)</f>
        <v>#DIV/0!</v>
      </c>
      <c r="M194" s="35" t="e">
        <f t="shared" ref="M194:AI194" si="50">IF(M$70&lt;$Q$41,$K$13,$Q$13)</f>
        <v>#DIV/0!</v>
      </c>
      <c r="N194" s="35" t="e">
        <f t="shared" si="50"/>
        <v>#DIV/0!</v>
      </c>
      <c r="O194" s="35" t="e">
        <f t="shared" si="50"/>
        <v>#DIV/0!</v>
      </c>
      <c r="P194" s="35" t="e">
        <f t="shared" si="50"/>
        <v>#DIV/0!</v>
      </c>
      <c r="Q194" s="35" t="e">
        <f t="shared" si="50"/>
        <v>#DIV/0!</v>
      </c>
      <c r="R194" s="35" t="e">
        <f t="shared" si="50"/>
        <v>#DIV/0!</v>
      </c>
      <c r="S194" s="35" t="e">
        <f t="shared" si="50"/>
        <v>#DIV/0!</v>
      </c>
      <c r="T194" s="35" t="e">
        <f t="shared" si="50"/>
        <v>#DIV/0!</v>
      </c>
      <c r="U194" s="35" t="e">
        <f t="shared" si="50"/>
        <v>#DIV/0!</v>
      </c>
      <c r="V194" s="35" t="e">
        <f t="shared" si="50"/>
        <v>#DIV/0!</v>
      </c>
      <c r="W194" s="35" t="e">
        <f t="shared" si="50"/>
        <v>#DIV/0!</v>
      </c>
      <c r="X194" s="35" t="e">
        <f t="shared" si="50"/>
        <v>#DIV/0!</v>
      </c>
      <c r="Y194" s="35" t="e">
        <f t="shared" si="50"/>
        <v>#DIV/0!</v>
      </c>
      <c r="Z194" s="35" t="e">
        <f t="shared" si="50"/>
        <v>#DIV/0!</v>
      </c>
      <c r="AA194" s="35" t="e">
        <f t="shared" si="50"/>
        <v>#DIV/0!</v>
      </c>
      <c r="AB194" s="35" t="e">
        <f t="shared" si="50"/>
        <v>#DIV/0!</v>
      </c>
      <c r="AC194" s="35" t="e">
        <f t="shared" si="50"/>
        <v>#DIV/0!</v>
      </c>
      <c r="AD194" s="35" t="e">
        <f t="shared" si="50"/>
        <v>#DIV/0!</v>
      </c>
      <c r="AE194" s="35" t="e">
        <f t="shared" si="50"/>
        <v>#DIV/0!</v>
      </c>
      <c r="AF194" s="35" t="e">
        <f t="shared" si="50"/>
        <v>#DIV/0!</v>
      </c>
      <c r="AG194" s="35" t="e">
        <f t="shared" si="50"/>
        <v>#DIV/0!</v>
      </c>
      <c r="AH194" s="35" t="e">
        <f t="shared" si="50"/>
        <v>#DIV/0!</v>
      </c>
      <c r="AI194" s="35" t="e">
        <f t="shared" si="50"/>
        <v>#DIV/0!</v>
      </c>
      <c r="AJ194" s="35" t="e">
        <f>IF(AJ$70&lt;$Q$41,$K$13,$Q$13)</f>
        <v>#DIV/0!</v>
      </c>
    </row>
    <row r="195" spans="7:36" ht="15" hidden="1" customHeight="1" x14ac:dyDescent="0.2">
      <c r="G195" s="17"/>
      <c r="H195" s="17"/>
      <c r="I195" s="13"/>
      <c r="J195" s="13"/>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row>
    <row r="196" spans="7:36" ht="15" hidden="1" customHeight="1" x14ac:dyDescent="0.2">
      <c r="G196" s="17" t="s">
        <v>7</v>
      </c>
      <c r="H196" s="17"/>
      <c r="I196" s="13"/>
      <c r="J196" s="1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row>
    <row r="197" spans="7:36" ht="15" hidden="1" customHeight="1" x14ac:dyDescent="0.2">
      <c r="G197" s="17" t="s">
        <v>8</v>
      </c>
      <c r="H197" s="17"/>
      <c r="I197" s="13"/>
      <c r="J197" s="1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row>
    <row r="198" spans="7:36" ht="15" hidden="1" customHeight="1" x14ac:dyDescent="0.2">
      <c r="G198" s="17" t="s">
        <v>9</v>
      </c>
      <c r="H198" s="17"/>
      <c r="I198" s="13"/>
      <c r="J198" s="13"/>
      <c r="K198" s="35" t="e">
        <f>K189*K194</f>
        <v>#DIV/0!</v>
      </c>
      <c r="L198" s="35" t="e">
        <f t="shared" ref="L198:AI198" si="51">L189*L194</f>
        <v>#DIV/0!</v>
      </c>
      <c r="M198" s="35" t="e">
        <f t="shared" si="51"/>
        <v>#DIV/0!</v>
      </c>
      <c r="N198" s="35" t="e">
        <f t="shared" si="51"/>
        <v>#DIV/0!</v>
      </c>
      <c r="O198" s="35" t="e">
        <f t="shared" si="51"/>
        <v>#DIV/0!</v>
      </c>
      <c r="P198" s="35" t="e">
        <f t="shared" si="51"/>
        <v>#DIV/0!</v>
      </c>
      <c r="Q198" s="35" t="e">
        <f t="shared" si="51"/>
        <v>#DIV/0!</v>
      </c>
      <c r="R198" s="35" t="e">
        <f t="shared" si="51"/>
        <v>#DIV/0!</v>
      </c>
      <c r="S198" s="35" t="e">
        <f t="shared" si="51"/>
        <v>#DIV/0!</v>
      </c>
      <c r="T198" s="35" t="e">
        <f t="shared" si="51"/>
        <v>#DIV/0!</v>
      </c>
      <c r="U198" s="35" t="e">
        <f t="shared" si="51"/>
        <v>#DIV/0!</v>
      </c>
      <c r="V198" s="35" t="e">
        <f t="shared" si="51"/>
        <v>#DIV/0!</v>
      </c>
      <c r="W198" s="35" t="e">
        <f t="shared" si="51"/>
        <v>#DIV/0!</v>
      </c>
      <c r="X198" s="35" t="e">
        <f t="shared" si="51"/>
        <v>#DIV/0!</v>
      </c>
      <c r="Y198" s="35" t="e">
        <f t="shared" si="51"/>
        <v>#DIV/0!</v>
      </c>
      <c r="Z198" s="35" t="e">
        <f t="shared" si="51"/>
        <v>#DIV/0!</v>
      </c>
      <c r="AA198" s="35" t="e">
        <f t="shared" si="51"/>
        <v>#DIV/0!</v>
      </c>
      <c r="AB198" s="35" t="e">
        <f t="shared" si="51"/>
        <v>#DIV/0!</v>
      </c>
      <c r="AC198" s="35" t="e">
        <f t="shared" si="51"/>
        <v>#DIV/0!</v>
      </c>
      <c r="AD198" s="35" t="e">
        <f t="shared" si="51"/>
        <v>#DIV/0!</v>
      </c>
      <c r="AE198" s="35" t="e">
        <f t="shared" si="51"/>
        <v>#DIV/0!</v>
      </c>
      <c r="AF198" s="35" t="e">
        <f t="shared" si="51"/>
        <v>#DIV/0!</v>
      </c>
      <c r="AG198" s="35" t="e">
        <f t="shared" si="51"/>
        <v>#DIV/0!</v>
      </c>
      <c r="AH198" s="35" t="e">
        <f t="shared" si="51"/>
        <v>#DIV/0!</v>
      </c>
      <c r="AI198" s="35" t="e">
        <f t="shared" si="51"/>
        <v>#DIV/0!</v>
      </c>
      <c r="AJ198" s="35" t="e">
        <f>AJ189*AJ194</f>
        <v>#DIV/0!</v>
      </c>
    </row>
    <row r="199" spans="7:36" ht="15" hidden="1" customHeight="1" x14ac:dyDescent="0.2">
      <c r="G199" s="17"/>
      <c r="H199" s="17"/>
      <c r="I199" s="13"/>
      <c r="J199" s="13"/>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row>
    <row r="200" spans="7:36" ht="15" hidden="1" customHeight="1" x14ac:dyDescent="0.2">
      <c r="G200" s="17" t="s">
        <v>10</v>
      </c>
      <c r="H200" s="17"/>
      <c r="I200" s="13"/>
      <c r="J200" s="1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row>
    <row r="201" spans="7:36" ht="15" hidden="1" customHeight="1" x14ac:dyDescent="0.2">
      <c r="G201" s="17" t="s">
        <v>11</v>
      </c>
      <c r="H201" s="17"/>
      <c r="I201" s="13"/>
      <c r="J201" s="1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row>
    <row r="202" spans="7:36" ht="15" hidden="1" customHeight="1" x14ac:dyDescent="0.2">
      <c r="G202" s="17" t="s">
        <v>12</v>
      </c>
      <c r="H202" s="17"/>
      <c r="I202" s="13"/>
      <c r="J202" s="13"/>
      <c r="K202" s="35" t="e">
        <f>K190*K194</f>
        <v>#DIV/0!</v>
      </c>
      <c r="L202" s="35" t="e">
        <f t="shared" ref="L202:AI202" si="52">L190*L194</f>
        <v>#DIV/0!</v>
      </c>
      <c r="M202" s="35" t="e">
        <f t="shared" si="52"/>
        <v>#DIV/0!</v>
      </c>
      <c r="N202" s="35" t="e">
        <f t="shared" si="52"/>
        <v>#DIV/0!</v>
      </c>
      <c r="O202" s="35" t="e">
        <f t="shared" si="52"/>
        <v>#DIV/0!</v>
      </c>
      <c r="P202" s="35" t="e">
        <f t="shared" si="52"/>
        <v>#DIV/0!</v>
      </c>
      <c r="Q202" s="35" t="e">
        <f t="shared" si="52"/>
        <v>#DIV/0!</v>
      </c>
      <c r="R202" s="35" t="e">
        <f t="shared" si="52"/>
        <v>#DIV/0!</v>
      </c>
      <c r="S202" s="35" t="e">
        <f t="shared" si="52"/>
        <v>#DIV/0!</v>
      </c>
      <c r="T202" s="35" t="e">
        <f t="shared" si="52"/>
        <v>#DIV/0!</v>
      </c>
      <c r="U202" s="35" t="e">
        <f t="shared" si="52"/>
        <v>#DIV/0!</v>
      </c>
      <c r="V202" s="35" t="e">
        <f t="shared" si="52"/>
        <v>#DIV/0!</v>
      </c>
      <c r="W202" s="35" t="e">
        <f t="shared" si="52"/>
        <v>#DIV/0!</v>
      </c>
      <c r="X202" s="35" t="e">
        <f t="shared" si="52"/>
        <v>#DIV/0!</v>
      </c>
      <c r="Y202" s="35" t="e">
        <f t="shared" si="52"/>
        <v>#DIV/0!</v>
      </c>
      <c r="Z202" s="35" t="e">
        <f t="shared" si="52"/>
        <v>#DIV/0!</v>
      </c>
      <c r="AA202" s="35" t="e">
        <f t="shared" si="52"/>
        <v>#DIV/0!</v>
      </c>
      <c r="AB202" s="35" t="e">
        <f t="shared" si="52"/>
        <v>#DIV/0!</v>
      </c>
      <c r="AC202" s="35" t="e">
        <f t="shared" si="52"/>
        <v>#DIV/0!</v>
      </c>
      <c r="AD202" s="35" t="e">
        <f t="shared" si="52"/>
        <v>#DIV/0!</v>
      </c>
      <c r="AE202" s="35" t="e">
        <f t="shared" si="52"/>
        <v>#DIV/0!</v>
      </c>
      <c r="AF202" s="35" t="e">
        <f t="shared" si="52"/>
        <v>#DIV/0!</v>
      </c>
      <c r="AG202" s="35" t="e">
        <f t="shared" si="52"/>
        <v>#DIV/0!</v>
      </c>
      <c r="AH202" s="35" t="e">
        <f t="shared" si="52"/>
        <v>#DIV/0!</v>
      </c>
      <c r="AI202" s="35" t="e">
        <f t="shared" si="52"/>
        <v>#DIV/0!</v>
      </c>
      <c r="AJ202" s="35" t="e">
        <f>AJ190*AJ194</f>
        <v>#DIV/0!</v>
      </c>
    </row>
    <row r="203" spans="7:36" ht="15" hidden="1" customHeight="1" x14ac:dyDescent="0.2">
      <c r="G203" s="17" t="s">
        <v>13</v>
      </c>
      <c r="H203" s="17"/>
      <c r="I203" s="13"/>
      <c r="J203" s="13"/>
      <c r="K203" s="35" t="e">
        <f t="shared" ref="K203:AJ203" si="53">K$88*K198</f>
        <v>#DIV/0!</v>
      </c>
      <c r="L203" s="35" t="e">
        <f t="shared" si="53"/>
        <v>#DIV/0!</v>
      </c>
      <c r="M203" s="35" t="e">
        <f t="shared" si="53"/>
        <v>#DIV/0!</v>
      </c>
      <c r="N203" s="35" t="e">
        <f t="shared" si="53"/>
        <v>#DIV/0!</v>
      </c>
      <c r="O203" s="35" t="e">
        <f t="shared" si="53"/>
        <v>#DIV/0!</v>
      </c>
      <c r="P203" s="35" t="e">
        <f t="shared" si="53"/>
        <v>#DIV/0!</v>
      </c>
      <c r="Q203" s="35" t="e">
        <f t="shared" si="53"/>
        <v>#DIV/0!</v>
      </c>
      <c r="R203" s="35" t="e">
        <f t="shared" si="53"/>
        <v>#DIV/0!</v>
      </c>
      <c r="S203" s="35" t="e">
        <f t="shared" si="53"/>
        <v>#DIV/0!</v>
      </c>
      <c r="T203" s="35" t="e">
        <f t="shared" si="53"/>
        <v>#DIV/0!</v>
      </c>
      <c r="U203" s="35" t="e">
        <f t="shared" si="53"/>
        <v>#DIV/0!</v>
      </c>
      <c r="V203" s="35" t="e">
        <f t="shared" si="53"/>
        <v>#DIV/0!</v>
      </c>
      <c r="W203" s="35" t="e">
        <f t="shared" si="53"/>
        <v>#DIV/0!</v>
      </c>
      <c r="X203" s="35" t="e">
        <f t="shared" si="53"/>
        <v>#DIV/0!</v>
      </c>
      <c r="Y203" s="35" t="e">
        <f t="shared" si="53"/>
        <v>#DIV/0!</v>
      </c>
      <c r="Z203" s="35" t="e">
        <f t="shared" si="53"/>
        <v>#DIV/0!</v>
      </c>
      <c r="AA203" s="35" t="e">
        <f t="shared" si="53"/>
        <v>#DIV/0!</v>
      </c>
      <c r="AB203" s="35" t="e">
        <f t="shared" si="53"/>
        <v>#DIV/0!</v>
      </c>
      <c r="AC203" s="35" t="e">
        <f t="shared" si="53"/>
        <v>#DIV/0!</v>
      </c>
      <c r="AD203" s="35" t="e">
        <f t="shared" si="53"/>
        <v>#DIV/0!</v>
      </c>
      <c r="AE203" s="35" t="e">
        <f t="shared" si="53"/>
        <v>#DIV/0!</v>
      </c>
      <c r="AF203" s="35" t="e">
        <f t="shared" si="53"/>
        <v>#DIV/0!</v>
      </c>
      <c r="AG203" s="35" t="e">
        <f t="shared" si="53"/>
        <v>#DIV/0!</v>
      </c>
      <c r="AH203" s="35" t="e">
        <f t="shared" si="53"/>
        <v>#DIV/0!</v>
      </c>
      <c r="AI203" s="35" t="e">
        <f t="shared" si="53"/>
        <v>#DIV/0!</v>
      </c>
      <c r="AJ203" s="35" t="e">
        <f t="shared" si="53"/>
        <v>#DIV/0!</v>
      </c>
    </row>
    <row r="204" spans="7:36" ht="15" hidden="1" customHeight="1" x14ac:dyDescent="0.2">
      <c r="G204" s="17"/>
      <c r="H204" s="17"/>
      <c r="I204" s="13"/>
      <c r="J204" s="13"/>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row>
    <row r="205" spans="7:36" ht="15" hidden="1" customHeight="1" x14ac:dyDescent="0.2">
      <c r="G205" s="17" t="s">
        <v>14</v>
      </c>
      <c r="H205" s="17"/>
      <c r="I205" s="13"/>
      <c r="J205" s="13"/>
      <c r="K205" s="35" t="e">
        <f>SUM(K200:K203)</f>
        <v>#DIV/0!</v>
      </c>
      <c r="L205" s="35" t="e">
        <f t="shared" ref="L205:AH205" si="54">SUM(L200:L203)</f>
        <v>#DIV/0!</v>
      </c>
      <c r="M205" s="35" t="e">
        <f t="shared" si="54"/>
        <v>#DIV/0!</v>
      </c>
      <c r="N205" s="35" t="e">
        <f t="shared" si="54"/>
        <v>#DIV/0!</v>
      </c>
      <c r="O205" s="35" t="e">
        <f t="shared" si="54"/>
        <v>#DIV/0!</v>
      </c>
      <c r="P205" s="35" t="e">
        <f t="shared" si="54"/>
        <v>#DIV/0!</v>
      </c>
      <c r="Q205" s="35" t="e">
        <f t="shared" si="54"/>
        <v>#DIV/0!</v>
      </c>
      <c r="R205" s="35" t="e">
        <f t="shared" si="54"/>
        <v>#DIV/0!</v>
      </c>
      <c r="S205" s="35" t="e">
        <f t="shared" si="54"/>
        <v>#DIV/0!</v>
      </c>
      <c r="T205" s="35" t="e">
        <f t="shared" si="54"/>
        <v>#DIV/0!</v>
      </c>
      <c r="U205" s="35" t="e">
        <f t="shared" si="54"/>
        <v>#DIV/0!</v>
      </c>
      <c r="V205" s="35" t="e">
        <f t="shared" si="54"/>
        <v>#DIV/0!</v>
      </c>
      <c r="W205" s="35" t="e">
        <f t="shared" si="54"/>
        <v>#DIV/0!</v>
      </c>
      <c r="X205" s="35" t="e">
        <f t="shared" si="54"/>
        <v>#DIV/0!</v>
      </c>
      <c r="Y205" s="35" t="e">
        <f t="shared" si="54"/>
        <v>#DIV/0!</v>
      </c>
      <c r="Z205" s="35" t="e">
        <f t="shared" si="54"/>
        <v>#DIV/0!</v>
      </c>
      <c r="AA205" s="35" t="e">
        <f t="shared" si="54"/>
        <v>#DIV/0!</v>
      </c>
      <c r="AB205" s="35" t="e">
        <f t="shared" si="54"/>
        <v>#DIV/0!</v>
      </c>
      <c r="AC205" s="35" t="e">
        <f t="shared" si="54"/>
        <v>#DIV/0!</v>
      </c>
      <c r="AD205" s="35" t="e">
        <f t="shared" si="54"/>
        <v>#DIV/0!</v>
      </c>
      <c r="AE205" s="35" t="e">
        <f t="shared" si="54"/>
        <v>#DIV/0!</v>
      </c>
      <c r="AF205" s="35" t="e">
        <f t="shared" si="54"/>
        <v>#DIV/0!</v>
      </c>
      <c r="AG205" s="35" t="e">
        <f t="shared" si="54"/>
        <v>#DIV/0!</v>
      </c>
      <c r="AH205" s="35" t="e">
        <f t="shared" si="54"/>
        <v>#DIV/0!</v>
      </c>
      <c r="AI205" s="35" t="e">
        <f>SUM(AI200:AI203)</f>
        <v>#DIV/0!</v>
      </c>
      <c r="AJ205" s="35" t="e">
        <f>SUM(AJ200:AJ203)</f>
        <v>#DIV/0!</v>
      </c>
    </row>
    <row r="206" spans="7:36" ht="15" hidden="1" customHeight="1" x14ac:dyDescent="0.2">
      <c r="G206" s="17" t="s">
        <v>435</v>
      </c>
      <c r="H206" s="17"/>
      <c r="I206" s="13"/>
      <c r="J206" s="13"/>
      <c r="K206" s="35" t="e">
        <f>K205</f>
        <v>#DIV/0!</v>
      </c>
      <c r="L206" s="35" t="e">
        <f t="shared" ref="L206:AJ206" si="55">K206+L205</f>
        <v>#DIV/0!</v>
      </c>
      <c r="M206" s="35" t="e">
        <f t="shared" si="55"/>
        <v>#DIV/0!</v>
      </c>
      <c r="N206" s="35" t="e">
        <f t="shared" si="55"/>
        <v>#DIV/0!</v>
      </c>
      <c r="O206" s="35" t="e">
        <f t="shared" si="55"/>
        <v>#DIV/0!</v>
      </c>
      <c r="P206" s="35" t="e">
        <f t="shared" si="55"/>
        <v>#DIV/0!</v>
      </c>
      <c r="Q206" s="35" t="e">
        <f t="shared" si="55"/>
        <v>#DIV/0!</v>
      </c>
      <c r="R206" s="35" t="e">
        <f t="shared" si="55"/>
        <v>#DIV/0!</v>
      </c>
      <c r="S206" s="35" t="e">
        <f t="shared" si="55"/>
        <v>#DIV/0!</v>
      </c>
      <c r="T206" s="35" t="e">
        <f t="shared" si="55"/>
        <v>#DIV/0!</v>
      </c>
      <c r="U206" s="35" t="e">
        <f t="shared" si="55"/>
        <v>#DIV/0!</v>
      </c>
      <c r="V206" s="35" t="e">
        <f t="shared" si="55"/>
        <v>#DIV/0!</v>
      </c>
      <c r="W206" s="35" t="e">
        <f t="shared" si="55"/>
        <v>#DIV/0!</v>
      </c>
      <c r="X206" s="35" t="e">
        <f t="shared" si="55"/>
        <v>#DIV/0!</v>
      </c>
      <c r="Y206" s="35" t="e">
        <f t="shared" si="55"/>
        <v>#DIV/0!</v>
      </c>
      <c r="Z206" s="35" t="e">
        <f t="shared" si="55"/>
        <v>#DIV/0!</v>
      </c>
      <c r="AA206" s="35" t="e">
        <f t="shared" si="55"/>
        <v>#DIV/0!</v>
      </c>
      <c r="AB206" s="35" t="e">
        <f t="shared" si="55"/>
        <v>#DIV/0!</v>
      </c>
      <c r="AC206" s="35" t="e">
        <f t="shared" si="55"/>
        <v>#DIV/0!</v>
      </c>
      <c r="AD206" s="35" t="e">
        <f t="shared" si="55"/>
        <v>#DIV/0!</v>
      </c>
      <c r="AE206" s="35" t="e">
        <f t="shared" si="55"/>
        <v>#DIV/0!</v>
      </c>
      <c r="AF206" s="35" t="e">
        <f t="shared" si="55"/>
        <v>#DIV/0!</v>
      </c>
      <c r="AG206" s="35" t="e">
        <f t="shared" si="55"/>
        <v>#DIV/0!</v>
      </c>
      <c r="AH206" s="35" t="e">
        <f t="shared" si="55"/>
        <v>#DIV/0!</v>
      </c>
      <c r="AI206" s="35" t="e">
        <f t="shared" si="55"/>
        <v>#DIV/0!</v>
      </c>
      <c r="AJ206" s="35" t="e">
        <f t="shared" si="55"/>
        <v>#DIV/0!</v>
      </c>
    </row>
    <row r="207" spans="7:36" ht="15" hidden="1" customHeight="1" x14ac:dyDescent="0.2">
      <c r="G207" s="17"/>
      <c r="H207" s="17"/>
      <c r="I207" s="13"/>
      <c r="J207" s="13"/>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row>
    <row r="208" spans="7:36" ht="15" hidden="1" customHeight="1" x14ac:dyDescent="0.2">
      <c r="G208" s="17" t="s">
        <v>17</v>
      </c>
      <c r="H208" s="17"/>
      <c r="I208" s="13"/>
      <c r="J208" s="13"/>
      <c r="K208" s="35" t="e">
        <f>K205/(((Data!$P$186/100)+1)^K$70)</f>
        <v>#DIV/0!</v>
      </c>
      <c r="L208" s="35" t="e">
        <f>L205/(((Data!$P$186/100)+1)^L$70)</f>
        <v>#DIV/0!</v>
      </c>
      <c r="M208" s="35" t="e">
        <f>M205/(((Data!$P$186/100)+1)^M$70)</f>
        <v>#DIV/0!</v>
      </c>
      <c r="N208" s="35" t="e">
        <f>N205/(((Data!$P$186/100)+1)^N$70)</f>
        <v>#DIV/0!</v>
      </c>
      <c r="O208" s="35" t="e">
        <f>O205/(((Data!$P$186/100)+1)^O$70)</f>
        <v>#DIV/0!</v>
      </c>
      <c r="P208" s="35" t="e">
        <f>P205/(((Data!$P$186/100)+1)^P$70)</f>
        <v>#DIV/0!</v>
      </c>
      <c r="Q208" s="35" t="e">
        <f>Q205/(((Data!$P$186/100)+1)^Q$70)</f>
        <v>#DIV/0!</v>
      </c>
      <c r="R208" s="35" t="e">
        <f>R205/(((Data!$P$186/100)+1)^R$70)</f>
        <v>#DIV/0!</v>
      </c>
      <c r="S208" s="35" t="e">
        <f>S205/(((Data!$P$186/100)+1)^S$70)</f>
        <v>#DIV/0!</v>
      </c>
      <c r="T208" s="35" t="e">
        <f>T205/(((Data!$P$186/100)+1)^T$70)</f>
        <v>#DIV/0!</v>
      </c>
      <c r="U208" s="35" t="e">
        <f>U205/(((Data!$P$186/100)+1)^U$70)</f>
        <v>#DIV/0!</v>
      </c>
      <c r="V208" s="35" t="e">
        <f>V205/(((Data!$P$186/100)+1)^V$70)</f>
        <v>#DIV/0!</v>
      </c>
      <c r="W208" s="35" t="e">
        <f>W205/(((Data!$P$186/100)+1)^W$70)</f>
        <v>#DIV/0!</v>
      </c>
      <c r="X208" s="35" t="e">
        <f>X205/(((Data!$P$186/100)+1)^X$70)</f>
        <v>#DIV/0!</v>
      </c>
      <c r="Y208" s="35" t="e">
        <f>Y205/(((Data!$P$186/100)+1)^Y$70)</f>
        <v>#DIV/0!</v>
      </c>
      <c r="Z208" s="35" t="e">
        <f>Z205/(((Data!$P$186/100)+1)^Z$70)</f>
        <v>#DIV/0!</v>
      </c>
      <c r="AA208" s="35" t="e">
        <f>AA205/(((Data!$P$186/100)+1)^AA$70)</f>
        <v>#DIV/0!</v>
      </c>
      <c r="AB208" s="35" t="e">
        <f>AB205/(((Data!$P$186/100)+1)^AB$70)</f>
        <v>#DIV/0!</v>
      </c>
      <c r="AC208" s="35" t="e">
        <f>AC205/(((Data!$P$186/100)+1)^AC$70)</f>
        <v>#DIV/0!</v>
      </c>
      <c r="AD208" s="35" t="e">
        <f>AD205/(((Data!$P$186/100)+1)^AD$70)</f>
        <v>#DIV/0!</v>
      </c>
      <c r="AE208" s="35" t="e">
        <f>AE205/(((Data!$P$186/100)+1)^AE$70)</f>
        <v>#DIV/0!</v>
      </c>
      <c r="AF208" s="35" t="e">
        <f>AF205/(((Data!$P$186/100)+1)^AF$70)</f>
        <v>#DIV/0!</v>
      </c>
      <c r="AG208" s="35" t="e">
        <f>AG205/(((Data!$P$186/100)+1)^AG$70)</f>
        <v>#DIV/0!</v>
      </c>
      <c r="AH208" s="35" t="e">
        <f>AH205/(((Data!$P$186/100)+1)^AH$70)</f>
        <v>#DIV/0!</v>
      </c>
      <c r="AI208" s="35" t="e">
        <f>AI205/(((Data!$P$186/100)+1)^AI$70)</f>
        <v>#DIV/0!</v>
      </c>
      <c r="AJ208" s="35" t="e">
        <f>AJ205/(((Data!$P$186/100)+1)^AJ$70)</f>
        <v>#DIV/0!</v>
      </c>
    </row>
    <row r="209" spans="7:36" ht="15" hidden="1" customHeight="1" x14ac:dyDescent="0.2">
      <c r="G209" s="15" t="s">
        <v>184</v>
      </c>
      <c r="H209" s="15"/>
      <c r="I209" s="13"/>
      <c r="J209" s="13"/>
      <c r="K209" s="36" t="e">
        <f>K208</f>
        <v>#DIV/0!</v>
      </c>
      <c r="L209" s="36" t="e">
        <f t="shared" ref="L209:AJ209" si="56">K209+L208</f>
        <v>#DIV/0!</v>
      </c>
      <c r="M209" s="36" t="e">
        <f t="shared" si="56"/>
        <v>#DIV/0!</v>
      </c>
      <c r="N209" s="36" t="e">
        <f t="shared" si="56"/>
        <v>#DIV/0!</v>
      </c>
      <c r="O209" s="36" t="e">
        <f t="shared" si="56"/>
        <v>#DIV/0!</v>
      </c>
      <c r="P209" s="36" t="e">
        <f t="shared" si="56"/>
        <v>#DIV/0!</v>
      </c>
      <c r="Q209" s="36" t="e">
        <f t="shared" si="56"/>
        <v>#DIV/0!</v>
      </c>
      <c r="R209" s="36" t="e">
        <f t="shared" si="56"/>
        <v>#DIV/0!</v>
      </c>
      <c r="S209" s="36" t="e">
        <f t="shared" si="56"/>
        <v>#DIV/0!</v>
      </c>
      <c r="T209" s="36" t="e">
        <f t="shared" si="56"/>
        <v>#DIV/0!</v>
      </c>
      <c r="U209" s="36" t="e">
        <f t="shared" si="56"/>
        <v>#DIV/0!</v>
      </c>
      <c r="V209" s="36" t="e">
        <f t="shared" si="56"/>
        <v>#DIV/0!</v>
      </c>
      <c r="W209" s="36" t="e">
        <f t="shared" si="56"/>
        <v>#DIV/0!</v>
      </c>
      <c r="X209" s="36" t="e">
        <f t="shared" si="56"/>
        <v>#DIV/0!</v>
      </c>
      <c r="Y209" s="36" t="e">
        <f t="shared" si="56"/>
        <v>#DIV/0!</v>
      </c>
      <c r="Z209" s="36" t="e">
        <f t="shared" si="56"/>
        <v>#DIV/0!</v>
      </c>
      <c r="AA209" s="36" t="e">
        <f t="shared" si="56"/>
        <v>#DIV/0!</v>
      </c>
      <c r="AB209" s="36" t="e">
        <f t="shared" si="56"/>
        <v>#DIV/0!</v>
      </c>
      <c r="AC209" s="36" t="e">
        <f t="shared" si="56"/>
        <v>#DIV/0!</v>
      </c>
      <c r="AD209" s="36" t="e">
        <f t="shared" si="56"/>
        <v>#DIV/0!</v>
      </c>
      <c r="AE209" s="36" t="e">
        <f t="shared" si="56"/>
        <v>#DIV/0!</v>
      </c>
      <c r="AF209" s="36" t="e">
        <f t="shared" si="56"/>
        <v>#DIV/0!</v>
      </c>
      <c r="AG209" s="36" t="e">
        <f t="shared" si="56"/>
        <v>#DIV/0!</v>
      </c>
      <c r="AH209" s="36" t="e">
        <f t="shared" si="56"/>
        <v>#DIV/0!</v>
      </c>
      <c r="AI209" s="36" t="e">
        <f t="shared" si="56"/>
        <v>#DIV/0!</v>
      </c>
      <c r="AJ209" s="36" t="e">
        <f t="shared" si="56"/>
        <v>#DIV/0!</v>
      </c>
    </row>
    <row r="210" spans="7:36" ht="15" hidden="1" customHeight="1" x14ac:dyDescent="0.2">
      <c r="G210" s="8"/>
      <c r="H210" s="8"/>
      <c r="I210" s="8"/>
      <c r="J210" s="8"/>
      <c r="K210" s="8"/>
      <c r="L210" s="8"/>
      <c r="M210" s="8"/>
      <c r="N210" s="8"/>
      <c r="O210" s="8"/>
      <c r="P210" s="8"/>
      <c r="Q210" s="8"/>
      <c r="R210" s="8"/>
      <c r="S210" s="8"/>
      <c r="T210" s="9"/>
      <c r="U210" s="8"/>
      <c r="V210" s="8"/>
      <c r="W210" s="8"/>
      <c r="X210" s="8"/>
      <c r="Y210" s="8"/>
      <c r="Z210" s="8"/>
      <c r="AA210" s="8"/>
      <c r="AB210" s="8"/>
      <c r="AC210" s="8"/>
      <c r="AD210" s="8"/>
      <c r="AE210" s="8"/>
      <c r="AF210" s="8"/>
      <c r="AG210" s="8"/>
      <c r="AH210" s="8"/>
      <c r="AI210" s="8"/>
      <c r="AJ210" s="8"/>
    </row>
    <row r="211" spans="7:36" ht="15" hidden="1" customHeight="1" x14ac:dyDescent="0.2">
      <c r="G211" s="906" t="s">
        <v>516</v>
      </c>
      <c r="H211" s="839"/>
      <c r="I211" s="839"/>
      <c r="J211" s="839"/>
      <c r="K211" s="917"/>
      <c r="L211" s="917"/>
      <c r="M211" s="917"/>
      <c r="N211" s="917"/>
      <c r="O211" s="917"/>
      <c r="P211" s="917"/>
      <c r="Q211" s="917"/>
      <c r="R211" s="917"/>
      <c r="S211" s="917"/>
      <c r="T211" s="917"/>
      <c r="U211" s="917"/>
      <c r="V211" s="917"/>
      <c r="W211" s="917"/>
      <c r="X211" s="917"/>
      <c r="Y211" s="917"/>
      <c r="Z211" s="917"/>
      <c r="AA211" s="917"/>
      <c r="AB211" s="917"/>
      <c r="AC211" s="917"/>
      <c r="AD211" s="917"/>
      <c r="AE211" s="917"/>
      <c r="AF211" s="917"/>
      <c r="AG211" s="917"/>
      <c r="AH211" s="917"/>
      <c r="AI211" s="917"/>
      <c r="AJ211" s="917"/>
    </row>
    <row r="212" spans="7:36" ht="15" hidden="1" customHeight="1" x14ac:dyDescent="0.2">
      <c r="G212" s="839"/>
      <c r="H212" s="839"/>
      <c r="I212" s="839"/>
      <c r="J212" s="839"/>
      <c r="K212" s="917"/>
      <c r="L212" s="917"/>
      <c r="M212" s="917"/>
      <c r="N212" s="917"/>
      <c r="O212" s="917"/>
      <c r="P212" s="917"/>
      <c r="Q212" s="917"/>
      <c r="R212" s="917"/>
      <c r="S212" s="917"/>
      <c r="T212" s="917"/>
      <c r="U212" s="917"/>
      <c r="V212" s="917"/>
      <c r="W212" s="917"/>
      <c r="X212" s="917"/>
      <c r="Y212" s="917"/>
      <c r="Z212" s="917"/>
      <c r="AA212" s="917"/>
      <c r="AB212" s="917"/>
      <c r="AC212" s="917"/>
      <c r="AD212" s="917"/>
      <c r="AE212" s="917"/>
      <c r="AF212" s="917"/>
      <c r="AG212" s="917"/>
      <c r="AH212" s="917"/>
      <c r="AI212" s="917"/>
      <c r="AJ212" s="917"/>
    </row>
    <row r="213" spans="7:36" ht="15" hidden="1" customHeight="1" x14ac:dyDescent="0.2">
      <c r="G213" s="839" t="s">
        <v>2</v>
      </c>
      <c r="H213" s="864"/>
      <c r="I213" s="864"/>
      <c r="J213" s="864"/>
      <c r="K213" s="925">
        <f>K$79</f>
        <v>0.19338</v>
      </c>
      <c r="L213" s="925">
        <f t="shared" ref="L213:AJ213" si="57">L$79</f>
        <v>0.18757859999999998</v>
      </c>
      <c r="M213" s="925">
        <f t="shared" si="57"/>
        <v>0.18195124199999999</v>
      </c>
      <c r="N213" s="925">
        <f t="shared" si="57"/>
        <v>0.17649270473999998</v>
      </c>
      <c r="O213" s="925">
        <f t="shared" si="57"/>
        <v>0.17119792359779998</v>
      </c>
      <c r="P213" s="925">
        <f t="shared" si="57"/>
        <v>0.16606198588986598</v>
      </c>
      <c r="Q213" s="925">
        <f t="shared" si="57"/>
        <v>0.16108012631317001</v>
      </c>
      <c r="R213" s="925">
        <f t="shared" si="57"/>
        <v>0.15624772252377489</v>
      </c>
      <c r="S213" s="925">
        <f t="shared" si="57"/>
        <v>0.15156029084806164</v>
      </c>
      <c r="T213" s="925">
        <f t="shared" si="57"/>
        <v>0.14701348212261978</v>
      </c>
      <c r="U213" s="925">
        <f t="shared" si="57"/>
        <v>0.14260307765894117</v>
      </c>
      <c r="V213" s="925">
        <f t="shared" si="57"/>
        <v>0.13832498532917292</v>
      </c>
      <c r="W213" s="925">
        <f t="shared" si="57"/>
        <v>0.13417523576929774</v>
      </c>
      <c r="X213" s="925">
        <f t="shared" si="57"/>
        <v>0.1301499786962188</v>
      </c>
      <c r="Y213" s="925">
        <f t="shared" si="57"/>
        <v>0.12624547933533223</v>
      </c>
      <c r="Z213" s="925">
        <f t="shared" si="57"/>
        <v>0.12245811495527226</v>
      </c>
      <c r="AA213" s="925">
        <f t="shared" si="57"/>
        <v>0.11878437150661408</v>
      </c>
      <c r="AB213" s="925">
        <f t="shared" si="57"/>
        <v>0.11522084036141565</v>
      </c>
      <c r="AC213" s="925">
        <f t="shared" si="57"/>
        <v>0.11176421515057318</v>
      </c>
      <c r="AD213" s="925">
        <f t="shared" si="57"/>
        <v>0.10841128869605599</v>
      </c>
      <c r="AE213" s="925">
        <f t="shared" si="57"/>
        <v>0.10515895003517431</v>
      </c>
      <c r="AF213" s="925">
        <f t="shared" si="57"/>
        <v>0.10200418153411908</v>
      </c>
      <c r="AG213" s="925">
        <f t="shared" si="57"/>
        <v>9.8944056088095506E-2</v>
      </c>
      <c r="AH213" s="925">
        <f t="shared" si="57"/>
        <v>9.5975734405452637E-2</v>
      </c>
      <c r="AI213" s="925">
        <f t="shared" si="57"/>
        <v>9.3096462373289057E-2</v>
      </c>
      <c r="AJ213" s="925">
        <f t="shared" si="57"/>
        <v>9.0303568502090384E-2</v>
      </c>
    </row>
    <row r="214" spans="7:36" ht="15" hidden="1" customHeight="1" x14ac:dyDescent="0.2">
      <c r="G214" s="839" t="s">
        <v>1</v>
      </c>
      <c r="H214" s="864"/>
      <c r="I214" s="864"/>
      <c r="J214" s="864"/>
      <c r="K214" s="925">
        <f>K$85</f>
        <v>0.31</v>
      </c>
      <c r="L214" s="925">
        <f t="shared" ref="L214:AJ214" si="58">L$85</f>
        <v>0.34100000000000003</v>
      </c>
      <c r="M214" s="925">
        <f t="shared" si="58"/>
        <v>0.37510000000000004</v>
      </c>
      <c r="N214" s="925">
        <f t="shared" si="58"/>
        <v>0.41261000000000009</v>
      </c>
      <c r="O214" s="925">
        <f t="shared" si="58"/>
        <v>0.45387100000000014</v>
      </c>
      <c r="P214" s="925">
        <f t="shared" si="58"/>
        <v>0.4992581000000002</v>
      </c>
      <c r="Q214" s="925">
        <f t="shared" si="58"/>
        <v>0.54918391000000022</v>
      </c>
      <c r="R214" s="925">
        <f t="shared" si="58"/>
        <v>0.60410230100000029</v>
      </c>
      <c r="S214" s="925">
        <f t="shared" si="58"/>
        <v>0.66451253110000041</v>
      </c>
      <c r="T214" s="925">
        <f t="shared" si="58"/>
        <v>0.73096378421000052</v>
      </c>
      <c r="U214" s="925">
        <f t="shared" si="58"/>
        <v>0.80406016263100066</v>
      </c>
      <c r="V214" s="925">
        <f t="shared" si="58"/>
        <v>0.88446617889410084</v>
      </c>
      <c r="W214" s="925">
        <f t="shared" si="58"/>
        <v>0.97291279678351106</v>
      </c>
      <c r="X214" s="925">
        <f t="shared" si="58"/>
        <v>1.0702040764618623</v>
      </c>
      <c r="Y214" s="925">
        <f t="shared" si="58"/>
        <v>1.1772244841080486</v>
      </c>
      <c r="Z214" s="925">
        <f t="shared" si="58"/>
        <v>1.2949469325188536</v>
      </c>
      <c r="AA214" s="925">
        <f t="shared" si="58"/>
        <v>1.4244416257707391</v>
      </c>
      <c r="AB214" s="925">
        <f t="shared" si="58"/>
        <v>1.5668857883478131</v>
      </c>
      <c r="AC214" s="925">
        <f t="shared" si="58"/>
        <v>1.7235743671825945</v>
      </c>
      <c r="AD214" s="925">
        <f t="shared" si="58"/>
        <v>1.8959318039008541</v>
      </c>
      <c r="AE214" s="925">
        <f t="shared" si="58"/>
        <v>2.0855249842909398</v>
      </c>
      <c r="AF214" s="925">
        <f t="shared" si="58"/>
        <v>2.2940774827200339</v>
      </c>
      <c r="AG214" s="925">
        <f t="shared" si="58"/>
        <v>2.5234852309920375</v>
      </c>
      <c r="AH214" s="925">
        <f t="shared" si="58"/>
        <v>2.7758337540912414</v>
      </c>
      <c r="AI214" s="925">
        <f t="shared" si="58"/>
        <v>3.053417129500366</v>
      </c>
      <c r="AJ214" s="925">
        <f t="shared" si="58"/>
        <v>3.3587588424504031</v>
      </c>
    </row>
    <row r="215" spans="7:36" ht="15" hidden="1" customHeight="1" x14ac:dyDescent="0.2">
      <c r="G215" s="864"/>
      <c r="H215" s="864"/>
      <c r="I215" s="864"/>
      <c r="J215" s="864"/>
      <c r="K215" s="864"/>
      <c r="L215" s="864"/>
      <c r="M215" s="864"/>
      <c r="N215" s="864"/>
      <c r="O215" s="864"/>
      <c r="P215" s="864"/>
      <c r="Q215" s="864"/>
      <c r="R215" s="864"/>
      <c r="S215" s="864"/>
      <c r="T215" s="864"/>
      <c r="U215" s="864"/>
      <c r="V215" s="864"/>
      <c r="W215" s="864"/>
      <c r="X215" s="864"/>
      <c r="Y215" s="864"/>
      <c r="Z215" s="864"/>
      <c r="AA215" s="864"/>
      <c r="AB215" s="864"/>
      <c r="AC215" s="864"/>
      <c r="AD215" s="864"/>
      <c r="AE215" s="864"/>
      <c r="AF215" s="864"/>
      <c r="AG215" s="864"/>
      <c r="AH215" s="864"/>
      <c r="AI215" s="864"/>
      <c r="AJ215" s="864"/>
    </row>
    <row r="216" spans="7:36" ht="15" hidden="1" customHeight="1" x14ac:dyDescent="0.2">
      <c r="G216" s="839" t="s">
        <v>4</v>
      </c>
      <c r="H216" s="839"/>
      <c r="I216" s="839"/>
      <c r="J216" s="839"/>
      <c r="K216" s="920"/>
      <c r="L216" s="920"/>
      <c r="M216" s="920"/>
      <c r="N216" s="920"/>
      <c r="O216" s="920"/>
      <c r="P216" s="920"/>
      <c r="Q216" s="920"/>
      <c r="R216" s="920"/>
      <c r="S216" s="920"/>
      <c r="T216" s="920"/>
      <c r="U216" s="920"/>
      <c r="V216" s="920"/>
      <c r="W216" s="920"/>
      <c r="X216" s="920"/>
      <c r="Y216" s="920"/>
      <c r="Z216" s="920"/>
      <c r="AA216" s="920"/>
      <c r="AB216" s="920"/>
      <c r="AC216" s="920"/>
      <c r="AD216" s="920"/>
      <c r="AE216" s="920"/>
      <c r="AF216" s="920"/>
      <c r="AG216" s="920"/>
      <c r="AH216" s="920"/>
      <c r="AI216" s="920"/>
      <c r="AJ216" s="920"/>
    </row>
    <row r="217" spans="7:36" ht="15" hidden="1" customHeight="1" x14ac:dyDescent="0.2">
      <c r="G217" s="839" t="s">
        <v>5</v>
      </c>
      <c r="H217" s="839"/>
      <c r="I217" s="839"/>
      <c r="J217" s="839"/>
      <c r="K217" s="920"/>
      <c r="L217" s="920"/>
      <c r="M217" s="920"/>
      <c r="N217" s="920"/>
      <c r="O217" s="920"/>
      <c r="P217" s="920"/>
      <c r="Q217" s="920"/>
      <c r="R217" s="920"/>
      <c r="S217" s="920"/>
      <c r="T217" s="920"/>
      <c r="U217" s="920"/>
      <c r="V217" s="920"/>
      <c r="W217" s="920"/>
      <c r="X217" s="920"/>
      <c r="Y217" s="920"/>
      <c r="Z217" s="920"/>
      <c r="AA217" s="920"/>
      <c r="AB217" s="920"/>
      <c r="AC217" s="920"/>
      <c r="AD217" s="920"/>
      <c r="AE217" s="920"/>
      <c r="AF217" s="920"/>
      <c r="AG217" s="920"/>
      <c r="AH217" s="920"/>
      <c r="AI217" s="920"/>
      <c r="AJ217" s="920"/>
    </row>
    <row r="218" spans="7:36" ht="15" hidden="1" customHeight="1" x14ac:dyDescent="0.2">
      <c r="G218" s="839" t="s">
        <v>6</v>
      </c>
      <c r="H218" s="839"/>
      <c r="I218" s="839"/>
      <c r="J218" s="839"/>
      <c r="K218" s="917" t="e">
        <f>IF(K$70&lt;$AC$41,$K$13,$AC$13)</f>
        <v>#VALUE!</v>
      </c>
      <c r="L218" s="917" t="e">
        <f t="shared" ref="L218:AI218" si="59">IF(L$70&lt;$AC$41,$K$13,$AC$13)</f>
        <v>#VALUE!</v>
      </c>
      <c r="M218" s="917" t="e">
        <f t="shared" si="59"/>
        <v>#VALUE!</v>
      </c>
      <c r="N218" s="917" t="e">
        <f t="shared" si="59"/>
        <v>#VALUE!</v>
      </c>
      <c r="O218" s="917" t="e">
        <f t="shared" si="59"/>
        <v>#VALUE!</v>
      </c>
      <c r="P218" s="917" t="e">
        <f t="shared" si="59"/>
        <v>#VALUE!</v>
      </c>
      <c r="Q218" s="917" t="e">
        <f t="shared" si="59"/>
        <v>#VALUE!</v>
      </c>
      <c r="R218" s="917" t="e">
        <f t="shared" si="59"/>
        <v>#VALUE!</v>
      </c>
      <c r="S218" s="917" t="e">
        <f t="shared" si="59"/>
        <v>#VALUE!</v>
      </c>
      <c r="T218" s="917" t="e">
        <f t="shared" si="59"/>
        <v>#VALUE!</v>
      </c>
      <c r="U218" s="917" t="e">
        <f t="shared" si="59"/>
        <v>#VALUE!</v>
      </c>
      <c r="V218" s="917" t="e">
        <f t="shared" si="59"/>
        <v>#VALUE!</v>
      </c>
      <c r="W218" s="917" t="e">
        <f t="shared" si="59"/>
        <v>#VALUE!</v>
      </c>
      <c r="X218" s="917" t="e">
        <f t="shared" si="59"/>
        <v>#VALUE!</v>
      </c>
      <c r="Y218" s="917" t="e">
        <f t="shared" si="59"/>
        <v>#VALUE!</v>
      </c>
      <c r="Z218" s="917" t="e">
        <f t="shared" si="59"/>
        <v>#VALUE!</v>
      </c>
      <c r="AA218" s="917" t="e">
        <f t="shared" si="59"/>
        <v>#VALUE!</v>
      </c>
      <c r="AB218" s="917" t="e">
        <f t="shared" si="59"/>
        <v>#VALUE!</v>
      </c>
      <c r="AC218" s="917" t="e">
        <f t="shared" si="59"/>
        <v>#VALUE!</v>
      </c>
      <c r="AD218" s="917" t="e">
        <f t="shared" si="59"/>
        <v>#VALUE!</v>
      </c>
      <c r="AE218" s="917" t="e">
        <f t="shared" si="59"/>
        <v>#VALUE!</v>
      </c>
      <c r="AF218" s="917" t="e">
        <f t="shared" si="59"/>
        <v>#VALUE!</v>
      </c>
      <c r="AG218" s="917" t="e">
        <f t="shared" si="59"/>
        <v>#VALUE!</v>
      </c>
      <c r="AH218" s="917" t="e">
        <f t="shared" si="59"/>
        <v>#VALUE!</v>
      </c>
      <c r="AI218" s="917" t="e">
        <f t="shared" si="59"/>
        <v>#VALUE!</v>
      </c>
      <c r="AJ218" s="917" t="e">
        <f>IF(AJ$70&lt;$AC$41,$K$13,$AC$13)</f>
        <v>#VALUE!</v>
      </c>
    </row>
    <row r="219" spans="7:36" ht="15" hidden="1" customHeight="1" x14ac:dyDescent="0.2">
      <c r="G219" s="839"/>
      <c r="H219" s="839"/>
      <c r="I219" s="839"/>
      <c r="J219" s="839"/>
      <c r="K219" s="917"/>
      <c r="L219" s="917"/>
      <c r="M219" s="917"/>
      <c r="N219" s="917"/>
      <c r="O219" s="917"/>
      <c r="P219" s="917"/>
      <c r="Q219" s="917"/>
      <c r="R219" s="917"/>
      <c r="S219" s="917"/>
      <c r="T219" s="917"/>
      <c r="U219" s="917"/>
      <c r="V219" s="917"/>
      <c r="W219" s="917"/>
      <c r="X219" s="917"/>
      <c r="Y219" s="917"/>
      <c r="Z219" s="917"/>
      <c r="AA219" s="917"/>
      <c r="AB219" s="917"/>
      <c r="AC219" s="917"/>
      <c r="AD219" s="917"/>
      <c r="AE219" s="917"/>
      <c r="AF219" s="917"/>
      <c r="AG219" s="917"/>
      <c r="AH219" s="917"/>
      <c r="AI219" s="917"/>
      <c r="AJ219" s="917"/>
    </row>
    <row r="220" spans="7:36" ht="15" hidden="1" customHeight="1" x14ac:dyDescent="0.2">
      <c r="G220" s="839" t="s">
        <v>7</v>
      </c>
      <c r="H220" s="839"/>
      <c r="I220" s="839"/>
      <c r="J220" s="839"/>
      <c r="K220" s="920"/>
      <c r="L220" s="920"/>
      <c r="M220" s="920"/>
      <c r="N220" s="920"/>
      <c r="O220" s="920"/>
      <c r="P220" s="920"/>
      <c r="Q220" s="920"/>
      <c r="R220" s="920"/>
      <c r="S220" s="920"/>
      <c r="T220" s="920"/>
      <c r="U220" s="920"/>
      <c r="V220" s="920"/>
      <c r="W220" s="920"/>
      <c r="X220" s="920"/>
      <c r="Y220" s="920"/>
      <c r="Z220" s="920"/>
      <c r="AA220" s="920"/>
      <c r="AB220" s="920"/>
      <c r="AC220" s="920"/>
      <c r="AD220" s="920"/>
      <c r="AE220" s="920"/>
      <c r="AF220" s="920"/>
      <c r="AG220" s="920"/>
      <c r="AH220" s="920"/>
      <c r="AI220" s="920"/>
      <c r="AJ220" s="920"/>
    </row>
    <row r="221" spans="7:36" ht="15" hidden="1" customHeight="1" x14ac:dyDescent="0.2">
      <c r="G221" s="839" t="s">
        <v>8</v>
      </c>
      <c r="H221" s="839"/>
      <c r="I221" s="839"/>
      <c r="J221" s="839"/>
      <c r="K221" s="920"/>
      <c r="L221" s="920"/>
      <c r="M221" s="920"/>
      <c r="N221" s="920"/>
      <c r="O221" s="920"/>
      <c r="P221" s="920"/>
      <c r="Q221" s="920"/>
      <c r="R221" s="920"/>
      <c r="S221" s="920"/>
      <c r="T221" s="920"/>
      <c r="U221" s="920"/>
      <c r="V221" s="920"/>
      <c r="W221" s="920"/>
      <c r="X221" s="920"/>
      <c r="Y221" s="920"/>
      <c r="Z221" s="920"/>
      <c r="AA221" s="920"/>
      <c r="AB221" s="920"/>
      <c r="AC221" s="920"/>
      <c r="AD221" s="920"/>
      <c r="AE221" s="920"/>
      <c r="AF221" s="920"/>
      <c r="AG221" s="920"/>
      <c r="AH221" s="920"/>
      <c r="AI221" s="920"/>
      <c r="AJ221" s="920"/>
    </row>
    <row r="222" spans="7:36" ht="15" hidden="1" customHeight="1" x14ac:dyDescent="0.2">
      <c r="G222" s="839" t="s">
        <v>9</v>
      </c>
      <c r="H222" s="839"/>
      <c r="I222" s="839"/>
      <c r="J222" s="839"/>
      <c r="K222" s="917" t="e">
        <f>K213*K218</f>
        <v>#VALUE!</v>
      </c>
      <c r="L222" s="917" t="e">
        <f t="shared" ref="L222:AI222" si="60">L213*L218</f>
        <v>#VALUE!</v>
      </c>
      <c r="M222" s="917" t="e">
        <f t="shared" si="60"/>
        <v>#VALUE!</v>
      </c>
      <c r="N222" s="917" t="e">
        <f t="shared" si="60"/>
        <v>#VALUE!</v>
      </c>
      <c r="O222" s="917" t="e">
        <f t="shared" si="60"/>
        <v>#VALUE!</v>
      </c>
      <c r="P222" s="917" t="e">
        <f t="shared" si="60"/>
        <v>#VALUE!</v>
      </c>
      <c r="Q222" s="917" t="e">
        <f t="shared" si="60"/>
        <v>#VALUE!</v>
      </c>
      <c r="R222" s="917" t="e">
        <f t="shared" si="60"/>
        <v>#VALUE!</v>
      </c>
      <c r="S222" s="917" t="e">
        <f t="shared" si="60"/>
        <v>#VALUE!</v>
      </c>
      <c r="T222" s="917" t="e">
        <f t="shared" si="60"/>
        <v>#VALUE!</v>
      </c>
      <c r="U222" s="917" t="e">
        <f t="shared" si="60"/>
        <v>#VALUE!</v>
      </c>
      <c r="V222" s="917" t="e">
        <f t="shared" si="60"/>
        <v>#VALUE!</v>
      </c>
      <c r="W222" s="917" t="e">
        <f t="shared" si="60"/>
        <v>#VALUE!</v>
      </c>
      <c r="X222" s="917" t="e">
        <f t="shared" si="60"/>
        <v>#VALUE!</v>
      </c>
      <c r="Y222" s="917" t="e">
        <f t="shared" si="60"/>
        <v>#VALUE!</v>
      </c>
      <c r="Z222" s="917" t="e">
        <f t="shared" si="60"/>
        <v>#VALUE!</v>
      </c>
      <c r="AA222" s="917" t="e">
        <f t="shared" si="60"/>
        <v>#VALUE!</v>
      </c>
      <c r="AB222" s="917" t="e">
        <f t="shared" si="60"/>
        <v>#VALUE!</v>
      </c>
      <c r="AC222" s="917" t="e">
        <f t="shared" si="60"/>
        <v>#VALUE!</v>
      </c>
      <c r="AD222" s="917" t="e">
        <f t="shared" si="60"/>
        <v>#VALUE!</v>
      </c>
      <c r="AE222" s="917" t="e">
        <f t="shared" si="60"/>
        <v>#VALUE!</v>
      </c>
      <c r="AF222" s="917" t="e">
        <f t="shared" si="60"/>
        <v>#VALUE!</v>
      </c>
      <c r="AG222" s="917" t="e">
        <f t="shared" si="60"/>
        <v>#VALUE!</v>
      </c>
      <c r="AH222" s="917" t="e">
        <f t="shared" si="60"/>
        <v>#VALUE!</v>
      </c>
      <c r="AI222" s="917" t="e">
        <f t="shared" si="60"/>
        <v>#VALUE!</v>
      </c>
      <c r="AJ222" s="917" t="e">
        <f>AJ213*AJ218</f>
        <v>#VALUE!</v>
      </c>
    </row>
    <row r="223" spans="7:36" ht="15" hidden="1" customHeight="1" x14ac:dyDescent="0.2">
      <c r="G223" s="839"/>
      <c r="H223" s="839"/>
      <c r="I223" s="839"/>
      <c r="J223" s="839"/>
      <c r="K223" s="917"/>
      <c r="L223" s="917"/>
      <c r="M223" s="917"/>
      <c r="N223" s="917"/>
      <c r="O223" s="917"/>
      <c r="P223" s="917"/>
      <c r="Q223" s="917"/>
      <c r="R223" s="917"/>
      <c r="S223" s="917"/>
      <c r="T223" s="917"/>
      <c r="U223" s="917"/>
      <c r="V223" s="917"/>
      <c r="W223" s="917"/>
      <c r="X223" s="917"/>
      <c r="Y223" s="917"/>
      <c r="Z223" s="917"/>
      <c r="AA223" s="917"/>
      <c r="AB223" s="917"/>
      <c r="AC223" s="917"/>
      <c r="AD223" s="917"/>
      <c r="AE223" s="917"/>
      <c r="AF223" s="917"/>
      <c r="AG223" s="917"/>
      <c r="AH223" s="917"/>
      <c r="AI223" s="917"/>
      <c r="AJ223" s="917"/>
    </row>
    <row r="224" spans="7:36" ht="15" hidden="1" customHeight="1" x14ac:dyDescent="0.2">
      <c r="G224" s="839" t="s">
        <v>10</v>
      </c>
      <c r="H224" s="839"/>
      <c r="I224" s="839"/>
      <c r="J224" s="839"/>
      <c r="K224" s="920"/>
      <c r="L224" s="920"/>
      <c r="M224" s="920"/>
      <c r="N224" s="920"/>
      <c r="O224" s="920"/>
      <c r="P224" s="920"/>
      <c r="Q224" s="920"/>
      <c r="R224" s="920"/>
      <c r="S224" s="920"/>
      <c r="T224" s="920"/>
      <c r="U224" s="920"/>
      <c r="V224" s="920"/>
      <c r="W224" s="920"/>
      <c r="X224" s="920"/>
      <c r="Y224" s="920"/>
      <c r="Z224" s="920"/>
      <c r="AA224" s="920"/>
      <c r="AB224" s="920"/>
      <c r="AC224" s="920"/>
      <c r="AD224" s="920"/>
      <c r="AE224" s="920"/>
      <c r="AF224" s="920"/>
      <c r="AG224" s="920"/>
      <c r="AH224" s="920"/>
      <c r="AI224" s="920"/>
      <c r="AJ224" s="920"/>
    </row>
    <row r="225" spans="7:36" ht="15" hidden="1" customHeight="1" x14ac:dyDescent="0.2">
      <c r="G225" s="839" t="s">
        <v>11</v>
      </c>
      <c r="H225" s="839"/>
      <c r="I225" s="839"/>
      <c r="J225" s="839"/>
      <c r="K225" s="920"/>
      <c r="L225" s="920"/>
      <c r="M225" s="920"/>
      <c r="N225" s="920"/>
      <c r="O225" s="920"/>
      <c r="P225" s="920"/>
      <c r="Q225" s="920"/>
      <c r="R225" s="920"/>
      <c r="S225" s="920"/>
      <c r="T225" s="920"/>
      <c r="U225" s="920"/>
      <c r="V225" s="920"/>
      <c r="W225" s="920"/>
      <c r="X225" s="920"/>
      <c r="Y225" s="920"/>
      <c r="Z225" s="920"/>
      <c r="AA225" s="920"/>
      <c r="AB225" s="920"/>
      <c r="AC225" s="920"/>
      <c r="AD225" s="920"/>
      <c r="AE225" s="920"/>
      <c r="AF225" s="920"/>
      <c r="AG225" s="920"/>
      <c r="AH225" s="920"/>
      <c r="AI225" s="920"/>
      <c r="AJ225" s="920"/>
    </row>
    <row r="226" spans="7:36" ht="15" hidden="1" customHeight="1" x14ac:dyDescent="0.2">
      <c r="G226" s="839" t="s">
        <v>12</v>
      </c>
      <c r="H226" s="839"/>
      <c r="I226" s="839"/>
      <c r="J226" s="839"/>
      <c r="K226" s="917" t="e">
        <f>K214*K218</f>
        <v>#VALUE!</v>
      </c>
      <c r="L226" s="917" t="e">
        <f t="shared" ref="L226:AI226" si="61">L214*L218</f>
        <v>#VALUE!</v>
      </c>
      <c r="M226" s="917" t="e">
        <f t="shared" si="61"/>
        <v>#VALUE!</v>
      </c>
      <c r="N226" s="917" t="e">
        <f t="shared" si="61"/>
        <v>#VALUE!</v>
      </c>
      <c r="O226" s="917" t="e">
        <f t="shared" si="61"/>
        <v>#VALUE!</v>
      </c>
      <c r="P226" s="917" t="e">
        <f t="shared" si="61"/>
        <v>#VALUE!</v>
      </c>
      <c r="Q226" s="917" t="e">
        <f t="shared" si="61"/>
        <v>#VALUE!</v>
      </c>
      <c r="R226" s="917" t="e">
        <f t="shared" si="61"/>
        <v>#VALUE!</v>
      </c>
      <c r="S226" s="917" t="e">
        <f t="shared" si="61"/>
        <v>#VALUE!</v>
      </c>
      <c r="T226" s="917" t="e">
        <f t="shared" si="61"/>
        <v>#VALUE!</v>
      </c>
      <c r="U226" s="917" t="e">
        <f t="shared" si="61"/>
        <v>#VALUE!</v>
      </c>
      <c r="V226" s="917" t="e">
        <f t="shared" si="61"/>
        <v>#VALUE!</v>
      </c>
      <c r="W226" s="917" t="e">
        <f t="shared" si="61"/>
        <v>#VALUE!</v>
      </c>
      <c r="X226" s="917" t="e">
        <f t="shared" si="61"/>
        <v>#VALUE!</v>
      </c>
      <c r="Y226" s="917" t="e">
        <f t="shared" si="61"/>
        <v>#VALUE!</v>
      </c>
      <c r="Z226" s="917" t="e">
        <f t="shared" si="61"/>
        <v>#VALUE!</v>
      </c>
      <c r="AA226" s="917" t="e">
        <f t="shared" si="61"/>
        <v>#VALUE!</v>
      </c>
      <c r="AB226" s="917" t="e">
        <f t="shared" si="61"/>
        <v>#VALUE!</v>
      </c>
      <c r="AC226" s="917" t="e">
        <f t="shared" si="61"/>
        <v>#VALUE!</v>
      </c>
      <c r="AD226" s="917" t="e">
        <f t="shared" si="61"/>
        <v>#VALUE!</v>
      </c>
      <c r="AE226" s="917" t="e">
        <f t="shared" si="61"/>
        <v>#VALUE!</v>
      </c>
      <c r="AF226" s="917" t="e">
        <f t="shared" si="61"/>
        <v>#VALUE!</v>
      </c>
      <c r="AG226" s="917" t="e">
        <f t="shared" si="61"/>
        <v>#VALUE!</v>
      </c>
      <c r="AH226" s="917" t="e">
        <f t="shared" si="61"/>
        <v>#VALUE!</v>
      </c>
      <c r="AI226" s="917" t="e">
        <f t="shared" si="61"/>
        <v>#VALUE!</v>
      </c>
      <c r="AJ226" s="917" t="e">
        <f>AJ214*AJ218</f>
        <v>#VALUE!</v>
      </c>
    </row>
    <row r="227" spans="7:36" ht="15" hidden="1" customHeight="1" x14ac:dyDescent="0.2">
      <c r="G227" s="839" t="s">
        <v>13</v>
      </c>
      <c r="H227" s="839"/>
      <c r="I227" s="839"/>
      <c r="J227" s="839"/>
      <c r="K227" s="917" t="e">
        <f t="shared" ref="K227:AJ227" si="62">K$88*K222</f>
        <v>#VALUE!</v>
      </c>
      <c r="L227" s="917" t="e">
        <f t="shared" si="62"/>
        <v>#VALUE!</v>
      </c>
      <c r="M227" s="917" t="e">
        <f t="shared" si="62"/>
        <v>#VALUE!</v>
      </c>
      <c r="N227" s="917" t="e">
        <f t="shared" si="62"/>
        <v>#VALUE!</v>
      </c>
      <c r="O227" s="917" t="e">
        <f t="shared" si="62"/>
        <v>#VALUE!</v>
      </c>
      <c r="P227" s="917" t="e">
        <f t="shared" si="62"/>
        <v>#VALUE!</v>
      </c>
      <c r="Q227" s="917" t="e">
        <f t="shared" si="62"/>
        <v>#VALUE!</v>
      </c>
      <c r="R227" s="917" t="e">
        <f t="shared" si="62"/>
        <v>#VALUE!</v>
      </c>
      <c r="S227" s="917" t="e">
        <f t="shared" si="62"/>
        <v>#VALUE!</v>
      </c>
      <c r="T227" s="917" t="e">
        <f t="shared" si="62"/>
        <v>#VALUE!</v>
      </c>
      <c r="U227" s="917" t="e">
        <f t="shared" si="62"/>
        <v>#VALUE!</v>
      </c>
      <c r="V227" s="917" t="e">
        <f t="shared" si="62"/>
        <v>#VALUE!</v>
      </c>
      <c r="W227" s="917" t="e">
        <f t="shared" si="62"/>
        <v>#VALUE!</v>
      </c>
      <c r="X227" s="917" t="e">
        <f t="shared" si="62"/>
        <v>#VALUE!</v>
      </c>
      <c r="Y227" s="917" t="e">
        <f t="shared" si="62"/>
        <v>#VALUE!</v>
      </c>
      <c r="Z227" s="917" t="e">
        <f t="shared" si="62"/>
        <v>#VALUE!</v>
      </c>
      <c r="AA227" s="917" t="e">
        <f t="shared" si="62"/>
        <v>#VALUE!</v>
      </c>
      <c r="AB227" s="917" t="e">
        <f t="shared" si="62"/>
        <v>#VALUE!</v>
      </c>
      <c r="AC227" s="917" t="e">
        <f t="shared" si="62"/>
        <v>#VALUE!</v>
      </c>
      <c r="AD227" s="917" t="e">
        <f t="shared" si="62"/>
        <v>#VALUE!</v>
      </c>
      <c r="AE227" s="917" t="e">
        <f t="shared" si="62"/>
        <v>#VALUE!</v>
      </c>
      <c r="AF227" s="917" t="e">
        <f t="shared" si="62"/>
        <v>#VALUE!</v>
      </c>
      <c r="AG227" s="917" t="e">
        <f t="shared" si="62"/>
        <v>#VALUE!</v>
      </c>
      <c r="AH227" s="917" t="e">
        <f t="shared" si="62"/>
        <v>#VALUE!</v>
      </c>
      <c r="AI227" s="917" t="e">
        <f t="shared" si="62"/>
        <v>#VALUE!</v>
      </c>
      <c r="AJ227" s="917" t="e">
        <f t="shared" si="62"/>
        <v>#VALUE!</v>
      </c>
    </row>
    <row r="228" spans="7:36" ht="15" hidden="1" customHeight="1" x14ac:dyDescent="0.2">
      <c r="G228" s="839"/>
      <c r="H228" s="839"/>
      <c r="I228" s="839"/>
      <c r="J228" s="839"/>
      <c r="K228" s="917"/>
      <c r="L228" s="917"/>
      <c r="M228" s="917"/>
      <c r="N228" s="917"/>
      <c r="O228" s="917"/>
      <c r="P228" s="917"/>
      <c r="Q228" s="917"/>
      <c r="R228" s="917"/>
      <c r="S228" s="917"/>
      <c r="T228" s="917"/>
      <c r="U228" s="917"/>
      <c r="V228" s="917"/>
      <c r="W228" s="917"/>
      <c r="X228" s="917"/>
      <c r="Y228" s="917"/>
      <c r="Z228" s="917"/>
      <c r="AA228" s="917"/>
      <c r="AB228" s="917"/>
      <c r="AC228" s="917"/>
      <c r="AD228" s="917"/>
      <c r="AE228" s="917"/>
      <c r="AF228" s="917"/>
      <c r="AG228" s="917"/>
      <c r="AH228" s="917"/>
      <c r="AI228" s="917"/>
      <c r="AJ228" s="917"/>
    </row>
    <row r="229" spans="7:36" ht="15" hidden="1" customHeight="1" x14ac:dyDescent="0.2">
      <c r="G229" s="839" t="s">
        <v>14</v>
      </c>
      <c r="H229" s="839"/>
      <c r="I229" s="839"/>
      <c r="J229" s="839"/>
      <c r="K229" s="917" t="e">
        <f>SUM(K224:K227)</f>
        <v>#VALUE!</v>
      </c>
      <c r="L229" s="917" t="e">
        <f t="shared" ref="L229:AH229" si="63">SUM(L224:L227)</f>
        <v>#VALUE!</v>
      </c>
      <c r="M229" s="917" t="e">
        <f t="shared" si="63"/>
        <v>#VALUE!</v>
      </c>
      <c r="N229" s="917" t="e">
        <f t="shared" si="63"/>
        <v>#VALUE!</v>
      </c>
      <c r="O229" s="917" t="e">
        <f t="shared" si="63"/>
        <v>#VALUE!</v>
      </c>
      <c r="P229" s="917" t="e">
        <f t="shared" si="63"/>
        <v>#VALUE!</v>
      </c>
      <c r="Q229" s="917" t="e">
        <f t="shared" si="63"/>
        <v>#VALUE!</v>
      </c>
      <c r="R229" s="917" t="e">
        <f t="shared" si="63"/>
        <v>#VALUE!</v>
      </c>
      <c r="S229" s="917" t="e">
        <f t="shared" si="63"/>
        <v>#VALUE!</v>
      </c>
      <c r="T229" s="917" t="e">
        <f t="shared" si="63"/>
        <v>#VALUE!</v>
      </c>
      <c r="U229" s="917" t="e">
        <f t="shared" si="63"/>
        <v>#VALUE!</v>
      </c>
      <c r="V229" s="917" t="e">
        <f t="shared" si="63"/>
        <v>#VALUE!</v>
      </c>
      <c r="W229" s="917" t="e">
        <f t="shared" si="63"/>
        <v>#VALUE!</v>
      </c>
      <c r="X229" s="917" t="e">
        <f t="shared" si="63"/>
        <v>#VALUE!</v>
      </c>
      <c r="Y229" s="917" t="e">
        <f t="shared" si="63"/>
        <v>#VALUE!</v>
      </c>
      <c r="Z229" s="917" t="e">
        <f t="shared" si="63"/>
        <v>#VALUE!</v>
      </c>
      <c r="AA229" s="917" t="e">
        <f t="shared" si="63"/>
        <v>#VALUE!</v>
      </c>
      <c r="AB229" s="917" t="e">
        <f t="shared" si="63"/>
        <v>#VALUE!</v>
      </c>
      <c r="AC229" s="917" t="e">
        <f t="shared" si="63"/>
        <v>#VALUE!</v>
      </c>
      <c r="AD229" s="917" t="e">
        <f t="shared" si="63"/>
        <v>#VALUE!</v>
      </c>
      <c r="AE229" s="917" t="e">
        <f t="shared" si="63"/>
        <v>#VALUE!</v>
      </c>
      <c r="AF229" s="917" t="e">
        <f t="shared" si="63"/>
        <v>#VALUE!</v>
      </c>
      <c r="AG229" s="917" t="e">
        <f t="shared" si="63"/>
        <v>#VALUE!</v>
      </c>
      <c r="AH229" s="917" t="e">
        <f t="shared" si="63"/>
        <v>#VALUE!</v>
      </c>
      <c r="AI229" s="917" t="e">
        <f>SUM(AI224:AI227)</f>
        <v>#VALUE!</v>
      </c>
      <c r="AJ229" s="917" t="e">
        <f>SUM(AJ224:AJ227)</f>
        <v>#VALUE!</v>
      </c>
    </row>
    <row r="230" spans="7:36" ht="15" hidden="1" customHeight="1" x14ac:dyDescent="0.2">
      <c r="G230" s="839" t="s">
        <v>435</v>
      </c>
      <c r="H230" s="839"/>
      <c r="I230" s="839"/>
      <c r="J230" s="839"/>
      <c r="K230" s="917" t="e">
        <f>K229</f>
        <v>#VALUE!</v>
      </c>
      <c r="L230" s="917" t="e">
        <f t="shared" ref="L230:AI230" si="64">K230+L229</f>
        <v>#VALUE!</v>
      </c>
      <c r="M230" s="917" t="e">
        <f t="shared" si="64"/>
        <v>#VALUE!</v>
      </c>
      <c r="N230" s="917" t="e">
        <f t="shared" si="64"/>
        <v>#VALUE!</v>
      </c>
      <c r="O230" s="917" t="e">
        <f t="shared" si="64"/>
        <v>#VALUE!</v>
      </c>
      <c r="P230" s="917" t="e">
        <f t="shared" si="64"/>
        <v>#VALUE!</v>
      </c>
      <c r="Q230" s="917" t="e">
        <f t="shared" si="64"/>
        <v>#VALUE!</v>
      </c>
      <c r="R230" s="917" t="e">
        <f t="shared" si="64"/>
        <v>#VALUE!</v>
      </c>
      <c r="S230" s="917" t="e">
        <f t="shared" si="64"/>
        <v>#VALUE!</v>
      </c>
      <c r="T230" s="917" t="e">
        <f t="shared" si="64"/>
        <v>#VALUE!</v>
      </c>
      <c r="U230" s="917" t="e">
        <f t="shared" si="64"/>
        <v>#VALUE!</v>
      </c>
      <c r="V230" s="917" t="e">
        <f t="shared" si="64"/>
        <v>#VALUE!</v>
      </c>
      <c r="W230" s="917" t="e">
        <f t="shared" si="64"/>
        <v>#VALUE!</v>
      </c>
      <c r="X230" s="917" t="e">
        <f t="shared" si="64"/>
        <v>#VALUE!</v>
      </c>
      <c r="Y230" s="917" t="e">
        <f t="shared" si="64"/>
        <v>#VALUE!</v>
      </c>
      <c r="Z230" s="917" t="e">
        <f t="shared" si="64"/>
        <v>#VALUE!</v>
      </c>
      <c r="AA230" s="917" t="e">
        <f t="shared" si="64"/>
        <v>#VALUE!</v>
      </c>
      <c r="AB230" s="917" t="e">
        <f t="shared" si="64"/>
        <v>#VALUE!</v>
      </c>
      <c r="AC230" s="917" t="e">
        <f t="shared" si="64"/>
        <v>#VALUE!</v>
      </c>
      <c r="AD230" s="917" t="e">
        <f t="shared" si="64"/>
        <v>#VALUE!</v>
      </c>
      <c r="AE230" s="917" t="e">
        <f t="shared" si="64"/>
        <v>#VALUE!</v>
      </c>
      <c r="AF230" s="917" t="e">
        <f t="shared" si="64"/>
        <v>#VALUE!</v>
      </c>
      <c r="AG230" s="917" t="e">
        <f t="shared" si="64"/>
        <v>#VALUE!</v>
      </c>
      <c r="AH230" s="917" t="e">
        <f t="shared" si="64"/>
        <v>#VALUE!</v>
      </c>
      <c r="AI230" s="917" t="e">
        <f t="shared" si="64"/>
        <v>#VALUE!</v>
      </c>
      <c r="AJ230" s="917" t="e">
        <f>AI230+AJ229</f>
        <v>#VALUE!</v>
      </c>
    </row>
    <row r="231" spans="7:36" ht="15" hidden="1" customHeight="1" x14ac:dyDescent="0.2">
      <c r="G231" s="839"/>
      <c r="H231" s="839"/>
      <c r="I231" s="839"/>
      <c r="J231" s="839"/>
      <c r="K231" s="839"/>
      <c r="L231" s="839"/>
      <c r="M231" s="839"/>
      <c r="N231" s="839"/>
      <c r="O231" s="839"/>
      <c r="P231" s="839"/>
      <c r="Q231" s="839"/>
      <c r="R231" s="839"/>
      <c r="S231" s="839"/>
      <c r="T231" s="839"/>
      <c r="U231" s="839"/>
      <c r="V231" s="839"/>
      <c r="W231" s="839"/>
      <c r="X231" s="839"/>
      <c r="Y231" s="839"/>
      <c r="Z231" s="839"/>
      <c r="AA231" s="839"/>
      <c r="AB231" s="839"/>
      <c r="AC231" s="839"/>
      <c r="AD231" s="839"/>
      <c r="AE231" s="839"/>
      <c r="AF231" s="839"/>
      <c r="AG231" s="839"/>
      <c r="AH231" s="839"/>
      <c r="AI231" s="839"/>
      <c r="AJ231" s="839"/>
    </row>
    <row r="232" spans="7:36" ht="15" hidden="1" customHeight="1" x14ac:dyDescent="0.2">
      <c r="G232" s="839" t="s">
        <v>17</v>
      </c>
      <c r="H232" s="839"/>
      <c r="I232" s="839"/>
      <c r="J232" s="839"/>
      <c r="K232" s="917" t="e">
        <f>K229/(((Data!$P$186/100)+1)^K$70)</f>
        <v>#VALUE!</v>
      </c>
      <c r="L232" s="917" t="e">
        <f>L229/(((Data!$P$186/100)+1)^L$70)</f>
        <v>#VALUE!</v>
      </c>
      <c r="M232" s="917" t="e">
        <f>M229/(((Data!$P$186/100)+1)^M$70)</f>
        <v>#VALUE!</v>
      </c>
      <c r="N232" s="917" t="e">
        <f>N229/(((Data!$P$186/100)+1)^N$70)</f>
        <v>#VALUE!</v>
      </c>
      <c r="O232" s="917" t="e">
        <f>O229/(((Data!$P$186/100)+1)^O$70)</f>
        <v>#VALUE!</v>
      </c>
      <c r="P232" s="917" t="e">
        <f>P229/(((Data!$P$186/100)+1)^P$70)</f>
        <v>#VALUE!</v>
      </c>
      <c r="Q232" s="917" t="e">
        <f>Q229/(((Data!$P$186/100)+1)^Q$70)</f>
        <v>#VALUE!</v>
      </c>
      <c r="R232" s="917" t="e">
        <f>R229/(((Data!$P$186/100)+1)^R$70)</f>
        <v>#VALUE!</v>
      </c>
      <c r="S232" s="917" t="e">
        <f>S229/(((Data!$P$186/100)+1)^S$70)</f>
        <v>#VALUE!</v>
      </c>
      <c r="T232" s="917" t="e">
        <f>T229/(((Data!$P$186/100)+1)^T$70)</f>
        <v>#VALUE!</v>
      </c>
      <c r="U232" s="917" t="e">
        <f>U229/(((Data!$P$186/100)+1)^U$70)</f>
        <v>#VALUE!</v>
      </c>
      <c r="V232" s="917" t="e">
        <f>V229/(((Data!$P$186/100)+1)^V$70)</f>
        <v>#VALUE!</v>
      </c>
      <c r="W232" s="917" t="e">
        <f>W229/(((Data!$P$186/100)+1)^W$70)</f>
        <v>#VALUE!</v>
      </c>
      <c r="X232" s="917" t="e">
        <f>X229/(((Data!$P$186/100)+1)^X$70)</f>
        <v>#VALUE!</v>
      </c>
      <c r="Y232" s="917" t="e">
        <f>Y229/(((Data!$P$186/100)+1)^Y$70)</f>
        <v>#VALUE!</v>
      </c>
      <c r="Z232" s="917" t="e">
        <f>Z229/(((Data!$P$186/100)+1)^Z$70)</f>
        <v>#VALUE!</v>
      </c>
      <c r="AA232" s="917" t="e">
        <f>AA229/(((Data!$P$186/100)+1)^AA$70)</f>
        <v>#VALUE!</v>
      </c>
      <c r="AB232" s="917" t="e">
        <f>AB229/(((Data!$P$186/100)+1)^AB$70)</f>
        <v>#VALUE!</v>
      </c>
      <c r="AC232" s="917" t="e">
        <f>AC229/(((Data!$P$186/100)+1)^AC$70)</f>
        <v>#VALUE!</v>
      </c>
      <c r="AD232" s="917" t="e">
        <f>AD229/(((Data!$P$186/100)+1)^AD$70)</f>
        <v>#VALUE!</v>
      </c>
      <c r="AE232" s="917" t="e">
        <f>AE229/(((Data!$P$186/100)+1)^AE$70)</f>
        <v>#VALUE!</v>
      </c>
      <c r="AF232" s="917" t="e">
        <f>AF229/(((Data!$P$186/100)+1)^AF$70)</f>
        <v>#VALUE!</v>
      </c>
      <c r="AG232" s="917" t="e">
        <f>AG229/(((Data!$P$186/100)+1)^AG$70)</f>
        <v>#VALUE!</v>
      </c>
      <c r="AH232" s="917" t="e">
        <f>AH229/(((Data!$P$186/100)+1)^AH$70)</f>
        <v>#VALUE!</v>
      </c>
      <c r="AI232" s="917" t="e">
        <f>AI229/(((Data!$P$186/100)+1)^AI$70)</f>
        <v>#VALUE!</v>
      </c>
      <c r="AJ232" s="917" t="e">
        <f>AJ229/(((Data!$P$186/100)+1)^AJ$70)</f>
        <v>#VALUE!</v>
      </c>
    </row>
    <row r="233" spans="7:36" ht="15" hidden="1" customHeight="1" x14ac:dyDescent="0.2">
      <c r="G233" s="859" t="s">
        <v>185</v>
      </c>
      <c r="H233" s="859"/>
      <c r="I233" s="839"/>
      <c r="J233" s="839"/>
      <c r="K233" s="923" t="e">
        <f>K232</f>
        <v>#VALUE!</v>
      </c>
      <c r="L233" s="923" t="e">
        <f t="shared" ref="L233:AJ233" si="65">K233+L232</f>
        <v>#VALUE!</v>
      </c>
      <c r="M233" s="923" t="e">
        <f t="shared" si="65"/>
        <v>#VALUE!</v>
      </c>
      <c r="N233" s="923" t="e">
        <f t="shared" si="65"/>
        <v>#VALUE!</v>
      </c>
      <c r="O233" s="923" t="e">
        <f t="shared" si="65"/>
        <v>#VALUE!</v>
      </c>
      <c r="P233" s="923" t="e">
        <f t="shared" si="65"/>
        <v>#VALUE!</v>
      </c>
      <c r="Q233" s="923" t="e">
        <f t="shared" si="65"/>
        <v>#VALUE!</v>
      </c>
      <c r="R233" s="923" t="e">
        <f t="shared" si="65"/>
        <v>#VALUE!</v>
      </c>
      <c r="S233" s="923" t="e">
        <f t="shared" si="65"/>
        <v>#VALUE!</v>
      </c>
      <c r="T233" s="923" t="e">
        <f t="shared" si="65"/>
        <v>#VALUE!</v>
      </c>
      <c r="U233" s="923" t="e">
        <f t="shared" si="65"/>
        <v>#VALUE!</v>
      </c>
      <c r="V233" s="923" t="e">
        <f t="shared" si="65"/>
        <v>#VALUE!</v>
      </c>
      <c r="W233" s="923" t="e">
        <f t="shared" si="65"/>
        <v>#VALUE!</v>
      </c>
      <c r="X233" s="923" t="e">
        <f t="shared" si="65"/>
        <v>#VALUE!</v>
      </c>
      <c r="Y233" s="923" t="e">
        <f t="shared" si="65"/>
        <v>#VALUE!</v>
      </c>
      <c r="Z233" s="923" t="e">
        <f t="shared" si="65"/>
        <v>#VALUE!</v>
      </c>
      <c r="AA233" s="923" t="e">
        <f t="shared" si="65"/>
        <v>#VALUE!</v>
      </c>
      <c r="AB233" s="923" t="e">
        <f t="shared" si="65"/>
        <v>#VALUE!</v>
      </c>
      <c r="AC233" s="923" t="e">
        <f t="shared" si="65"/>
        <v>#VALUE!</v>
      </c>
      <c r="AD233" s="923" t="e">
        <f t="shared" si="65"/>
        <v>#VALUE!</v>
      </c>
      <c r="AE233" s="923" t="e">
        <f t="shared" si="65"/>
        <v>#VALUE!</v>
      </c>
      <c r="AF233" s="923" t="e">
        <f t="shared" si="65"/>
        <v>#VALUE!</v>
      </c>
      <c r="AG233" s="923" t="e">
        <f t="shared" si="65"/>
        <v>#VALUE!</v>
      </c>
      <c r="AH233" s="923" t="e">
        <f t="shared" si="65"/>
        <v>#VALUE!</v>
      </c>
      <c r="AI233" s="923" t="e">
        <f t="shared" si="65"/>
        <v>#VALUE!</v>
      </c>
      <c r="AJ233" s="923" t="e">
        <f t="shared" si="65"/>
        <v>#VALUE!</v>
      </c>
    </row>
    <row r="234" spans="7:36" ht="15" hidden="1" customHeight="1" x14ac:dyDescent="0.2"/>
    <row r="235" spans="7:36" ht="15" hidden="1" customHeight="1" x14ac:dyDescent="0.2"/>
    <row r="236" spans="7:36" ht="15" hidden="1" customHeight="1" x14ac:dyDescent="0.2">
      <c r="G236" s="489" t="s">
        <v>297</v>
      </c>
      <c r="H236" s="14"/>
      <c r="I236" s="13"/>
      <c r="J236" s="13"/>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row>
    <row r="237" spans="7:36" ht="15" hidden="1" customHeight="1" x14ac:dyDescent="0.2">
      <c r="G237" s="14"/>
      <c r="H237" s="14"/>
      <c r="I237" s="13"/>
      <c r="J237" s="13"/>
      <c r="K237" s="31"/>
      <c r="L237" s="31"/>
      <c r="M237" s="31"/>
      <c r="N237" s="31"/>
      <c r="O237" s="31"/>
      <c r="P237" s="31"/>
      <c r="Q237" s="31"/>
      <c r="R237" s="31"/>
      <c r="S237" s="31"/>
      <c r="T237" s="31"/>
      <c r="U237" s="31"/>
      <c r="V237" s="31"/>
      <c r="W237" s="31"/>
      <c r="X237" s="31"/>
      <c r="Y237" s="31"/>
      <c r="Z237" s="31"/>
      <c r="AA237" s="31"/>
      <c r="AB237" s="31"/>
      <c r="AC237" s="31"/>
      <c r="AD237" s="31"/>
      <c r="AE237" s="31"/>
      <c r="AF237" s="31"/>
      <c r="AG237" s="31"/>
      <c r="AH237" s="31"/>
      <c r="AI237" s="31"/>
      <c r="AJ237" s="31"/>
    </row>
    <row r="238" spans="7:36" ht="15" hidden="1" customHeight="1" x14ac:dyDescent="0.2">
      <c r="G238" s="14" t="s">
        <v>2</v>
      </c>
      <c r="H238" s="60"/>
      <c r="I238" s="60"/>
      <c r="J238" s="60"/>
      <c r="K238" s="39">
        <f>K$79</f>
        <v>0.19338</v>
      </c>
      <c r="L238" s="39">
        <f t="shared" ref="L238:AJ238" si="66">L$79</f>
        <v>0.18757859999999998</v>
      </c>
      <c r="M238" s="39">
        <f t="shared" si="66"/>
        <v>0.18195124199999999</v>
      </c>
      <c r="N238" s="39">
        <f t="shared" si="66"/>
        <v>0.17649270473999998</v>
      </c>
      <c r="O238" s="39">
        <f t="shared" si="66"/>
        <v>0.17119792359779998</v>
      </c>
      <c r="P238" s="39">
        <f t="shared" si="66"/>
        <v>0.16606198588986598</v>
      </c>
      <c r="Q238" s="39">
        <f t="shared" si="66"/>
        <v>0.16108012631317001</v>
      </c>
      <c r="R238" s="39">
        <f t="shared" si="66"/>
        <v>0.15624772252377489</v>
      </c>
      <c r="S238" s="39">
        <f t="shared" si="66"/>
        <v>0.15156029084806164</v>
      </c>
      <c r="T238" s="39">
        <f t="shared" si="66"/>
        <v>0.14701348212261978</v>
      </c>
      <c r="U238" s="39">
        <f t="shared" si="66"/>
        <v>0.14260307765894117</v>
      </c>
      <c r="V238" s="39">
        <f t="shared" si="66"/>
        <v>0.13832498532917292</v>
      </c>
      <c r="W238" s="39">
        <f t="shared" si="66"/>
        <v>0.13417523576929774</v>
      </c>
      <c r="X238" s="39">
        <f t="shared" si="66"/>
        <v>0.1301499786962188</v>
      </c>
      <c r="Y238" s="39">
        <f t="shared" si="66"/>
        <v>0.12624547933533223</v>
      </c>
      <c r="Z238" s="39">
        <f t="shared" si="66"/>
        <v>0.12245811495527226</v>
      </c>
      <c r="AA238" s="39">
        <f t="shared" si="66"/>
        <v>0.11878437150661408</v>
      </c>
      <c r="AB238" s="39">
        <f t="shared" si="66"/>
        <v>0.11522084036141565</v>
      </c>
      <c r="AC238" s="39">
        <f t="shared" si="66"/>
        <v>0.11176421515057318</v>
      </c>
      <c r="AD238" s="39">
        <f t="shared" si="66"/>
        <v>0.10841128869605599</v>
      </c>
      <c r="AE238" s="39">
        <f t="shared" si="66"/>
        <v>0.10515895003517431</v>
      </c>
      <c r="AF238" s="39">
        <f t="shared" si="66"/>
        <v>0.10200418153411908</v>
      </c>
      <c r="AG238" s="39">
        <f t="shared" si="66"/>
        <v>9.8944056088095506E-2</v>
      </c>
      <c r="AH238" s="39">
        <f t="shared" si="66"/>
        <v>9.5975734405452637E-2</v>
      </c>
      <c r="AI238" s="39">
        <f t="shared" si="66"/>
        <v>9.3096462373289057E-2</v>
      </c>
      <c r="AJ238" s="39">
        <f t="shared" si="66"/>
        <v>9.0303568502090384E-2</v>
      </c>
    </row>
    <row r="239" spans="7:36" ht="15" hidden="1" customHeight="1" x14ac:dyDescent="0.2">
      <c r="G239" s="14" t="s">
        <v>1</v>
      </c>
      <c r="H239" s="60"/>
      <c r="I239" s="60"/>
      <c r="J239" s="60"/>
      <c r="K239" s="39">
        <f>K$85</f>
        <v>0.31</v>
      </c>
      <c r="L239" s="39">
        <f t="shared" ref="L239:AJ239" si="67">L$85</f>
        <v>0.34100000000000003</v>
      </c>
      <c r="M239" s="39">
        <f t="shared" si="67"/>
        <v>0.37510000000000004</v>
      </c>
      <c r="N239" s="39">
        <f t="shared" si="67"/>
        <v>0.41261000000000009</v>
      </c>
      <c r="O239" s="39">
        <f t="shared" si="67"/>
        <v>0.45387100000000014</v>
      </c>
      <c r="P239" s="39">
        <f t="shared" si="67"/>
        <v>0.4992581000000002</v>
      </c>
      <c r="Q239" s="39">
        <f t="shared" si="67"/>
        <v>0.54918391000000022</v>
      </c>
      <c r="R239" s="39">
        <f t="shared" si="67"/>
        <v>0.60410230100000029</v>
      </c>
      <c r="S239" s="39">
        <f t="shared" si="67"/>
        <v>0.66451253110000041</v>
      </c>
      <c r="T239" s="39">
        <f t="shared" si="67"/>
        <v>0.73096378421000052</v>
      </c>
      <c r="U239" s="39">
        <f t="shared" si="67"/>
        <v>0.80406016263100066</v>
      </c>
      <c r="V239" s="39">
        <f t="shared" si="67"/>
        <v>0.88446617889410084</v>
      </c>
      <c r="W239" s="39">
        <f t="shared" si="67"/>
        <v>0.97291279678351106</v>
      </c>
      <c r="X239" s="39">
        <f t="shared" si="67"/>
        <v>1.0702040764618623</v>
      </c>
      <c r="Y239" s="39">
        <f t="shared" si="67"/>
        <v>1.1772244841080486</v>
      </c>
      <c r="Z239" s="39">
        <f t="shared" si="67"/>
        <v>1.2949469325188536</v>
      </c>
      <c r="AA239" s="39">
        <f t="shared" si="67"/>
        <v>1.4244416257707391</v>
      </c>
      <c r="AB239" s="39">
        <f t="shared" si="67"/>
        <v>1.5668857883478131</v>
      </c>
      <c r="AC239" s="39">
        <f t="shared" si="67"/>
        <v>1.7235743671825945</v>
      </c>
      <c r="AD239" s="39">
        <f t="shared" si="67"/>
        <v>1.8959318039008541</v>
      </c>
      <c r="AE239" s="39">
        <f t="shared" si="67"/>
        <v>2.0855249842909398</v>
      </c>
      <c r="AF239" s="39">
        <f t="shared" si="67"/>
        <v>2.2940774827200339</v>
      </c>
      <c r="AG239" s="39">
        <f t="shared" si="67"/>
        <v>2.5234852309920375</v>
      </c>
      <c r="AH239" s="39">
        <f t="shared" si="67"/>
        <v>2.7758337540912414</v>
      </c>
      <c r="AI239" s="39">
        <f t="shared" si="67"/>
        <v>3.053417129500366</v>
      </c>
      <c r="AJ239" s="39">
        <f t="shared" si="67"/>
        <v>3.3587588424504031</v>
      </c>
    </row>
    <row r="240" spans="7:36" ht="15" hidden="1" customHeight="1" x14ac:dyDescent="0.2">
      <c r="G240" s="60"/>
      <c r="H240" s="60"/>
      <c r="I240" s="60"/>
      <c r="J240" s="60"/>
      <c r="K240" s="60"/>
      <c r="L240" s="60"/>
      <c r="M240" s="60"/>
      <c r="N240" s="60"/>
      <c r="O240" s="60"/>
      <c r="P240" s="60"/>
      <c r="Q240" s="60"/>
      <c r="R240" s="61"/>
      <c r="S240" s="60"/>
      <c r="T240" s="60"/>
      <c r="U240" s="60"/>
      <c r="V240" s="60"/>
      <c r="W240" s="60"/>
      <c r="X240" s="60"/>
      <c r="Y240" s="60"/>
      <c r="Z240" s="60"/>
      <c r="AA240" s="60"/>
      <c r="AB240" s="60"/>
      <c r="AC240" s="60"/>
      <c r="AD240" s="60"/>
      <c r="AE240" s="60"/>
      <c r="AF240" s="60"/>
      <c r="AG240" s="60"/>
      <c r="AH240" s="60"/>
      <c r="AI240" s="60"/>
      <c r="AJ240" s="60"/>
    </row>
    <row r="241" spans="7:38" ht="15" hidden="1" customHeight="1" x14ac:dyDescent="0.2">
      <c r="G241" s="14" t="s">
        <v>4</v>
      </c>
      <c r="H241" s="14"/>
      <c r="I241" s="13"/>
      <c r="J241" s="13"/>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c r="AI241" s="42"/>
      <c r="AJ241" s="42"/>
    </row>
    <row r="242" spans="7:38" ht="15" hidden="1" customHeight="1" x14ac:dyDescent="0.2">
      <c r="G242" s="14" t="s">
        <v>5</v>
      </c>
      <c r="H242" s="14"/>
      <c r="I242" s="13"/>
      <c r="J242" s="13"/>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c r="AI242" s="42"/>
      <c r="AJ242" s="42"/>
    </row>
    <row r="243" spans="7:38" ht="15" hidden="1" customHeight="1" x14ac:dyDescent="0.2">
      <c r="G243" s="14" t="s">
        <v>6</v>
      </c>
      <c r="H243" s="14"/>
      <c r="I243" s="13"/>
      <c r="J243" s="13"/>
      <c r="K243" s="75">
        <f>$J$29+$J$33</f>
        <v>0</v>
      </c>
      <c r="L243" s="75">
        <f t="shared" ref="L243:AJ243" si="68">$J$29+$J$33</f>
        <v>0</v>
      </c>
      <c r="M243" s="75">
        <f t="shared" si="68"/>
        <v>0</v>
      </c>
      <c r="N243" s="75">
        <f t="shared" si="68"/>
        <v>0</v>
      </c>
      <c r="O243" s="75">
        <f t="shared" si="68"/>
        <v>0</v>
      </c>
      <c r="P243" s="75">
        <f t="shared" si="68"/>
        <v>0</v>
      </c>
      <c r="Q243" s="75">
        <f t="shared" si="68"/>
        <v>0</v>
      </c>
      <c r="R243" s="75">
        <f t="shared" si="68"/>
        <v>0</v>
      </c>
      <c r="S243" s="75">
        <f t="shared" si="68"/>
        <v>0</v>
      </c>
      <c r="T243" s="75">
        <f t="shared" si="68"/>
        <v>0</v>
      </c>
      <c r="U243" s="75">
        <f t="shared" si="68"/>
        <v>0</v>
      </c>
      <c r="V243" s="75">
        <f t="shared" si="68"/>
        <v>0</v>
      </c>
      <c r="W243" s="75">
        <f t="shared" si="68"/>
        <v>0</v>
      </c>
      <c r="X243" s="75">
        <f t="shared" si="68"/>
        <v>0</v>
      </c>
      <c r="Y243" s="75">
        <f t="shared" si="68"/>
        <v>0</v>
      </c>
      <c r="Z243" s="75">
        <f t="shared" si="68"/>
        <v>0</v>
      </c>
      <c r="AA243" s="75">
        <f t="shared" si="68"/>
        <v>0</v>
      </c>
      <c r="AB243" s="75">
        <f t="shared" si="68"/>
        <v>0</v>
      </c>
      <c r="AC243" s="75">
        <f t="shared" si="68"/>
        <v>0</v>
      </c>
      <c r="AD243" s="75">
        <f t="shared" si="68"/>
        <v>0</v>
      </c>
      <c r="AE243" s="75">
        <f t="shared" si="68"/>
        <v>0</v>
      </c>
      <c r="AF243" s="75">
        <f t="shared" si="68"/>
        <v>0</v>
      </c>
      <c r="AG243" s="75">
        <f t="shared" si="68"/>
        <v>0</v>
      </c>
      <c r="AH243" s="75">
        <f t="shared" si="68"/>
        <v>0</v>
      </c>
      <c r="AI243" s="75">
        <f t="shared" si="68"/>
        <v>0</v>
      </c>
      <c r="AJ243" s="75">
        <f t="shared" si="68"/>
        <v>0</v>
      </c>
      <c r="AK243" s="663"/>
      <c r="AL243" s="534"/>
    </row>
    <row r="244" spans="7:38" ht="15" hidden="1" customHeight="1" x14ac:dyDescent="0.2">
      <c r="G244" s="14"/>
      <c r="H244" s="14"/>
      <c r="I244" s="13"/>
      <c r="J244" s="13"/>
      <c r="K244" s="31"/>
      <c r="L244" s="31"/>
      <c r="M244" s="31"/>
      <c r="N244" s="31"/>
      <c r="O244" s="31"/>
      <c r="P244" s="31"/>
      <c r="Q244" s="31"/>
      <c r="R244" s="31"/>
      <c r="S244" s="31"/>
      <c r="T244" s="31"/>
      <c r="U244" s="31"/>
      <c r="V244" s="31"/>
      <c r="W244" s="31"/>
      <c r="X244" s="31"/>
      <c r="Y244" s="31"/>
      <c r="Z244" s="31"/>
      <c r="AA244" s="31"/>
      <c r="AB244" s="31"/>
      <c r="AC244" s="31"/>
      <c r="AD244" s="31"/>
      <c r="AE244" s="31"/>
      <c r="AF244" s="31"/>
      <c r="AG244" s="31"/>
      <c r="AH244" s="31"/>
      <c r="AI244" s="31"/>
      <c r="AJ244" s="31"/>
    </row>
    <row r="245" spans="7:38" ht="15" hidden="1" customHeight="1" x14ac:dyDescent="0.2">
      <c r="G245" s="14" t="s">
        <v>7</v>
      </c>
      <c r="H245" s="14"/>
      <c r="I245" s="13"/>
      <c r="J245" s="13"/>
      <c r="K245" s="42"/>
      <c r="L245" s="42"/>
      <c r="M245" s="42"/>
      <c r="N245" s="42"/>
      <c r="O245" s="42"/>
      <c r="P245" s="42"/>
      <c r="Q245" s="42"/>
      <c r="R245" s="42"/>
      <c r="S245" s="42"/>
      <c r="T245" s="42"/>
      <c r="U245" s="42"/>
      <c r="V245" s="42"/>
      <c r="W245" s="42"/>
      <c r="X245" s="42"/>
      <c r="Y245" s="42"/>
      <c r="Z245" s="42"/>
      <c r="AA245" s="42"/>
      <c r="AB245" s="42"/>
      <c r="AC245" s="42"/>
      <c r="AD245" s="42"/>
      <c r="AE245" s="42"/>
      <c r="AF245" s="42"/>
      <c r="AG245" s="42"/>
      <c r="AH245" s="42"/>
      <c r="AI245" s="42"/>
      <c r="AJ245" s="42"/>
    </row>
    <row r="246" spans="7:38" ht="15" hidden="1" customHeight="1" x14ac:dyDescent="0.2">
      <c r="G246" s="14" t="s">
        <v>8</v>
      </c>
      <c r="H246" s="14"/>
      <c r="I246" s="13"/>
      <c r="J246" s="13"/>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c r="AI246" s="42"/>
      <c r="AJ246" s="42"/>
    </row>
    <row r="247" spans="7:38" ht="15" hidden="1" customHeight="1" x14ac:dyDescent="0.2">
      <c r="G247" s="14" t="s">
        <v>9</v>
      </c>
      <c r="H247" s="14"/>
      <c r="I247" s="13"/>
      <c r="J247" s="13"/>
      <c r="K247" s="31">
        <f>K238*K243</f>
        <v>0</v>
      </c>
      <c r="L247" s="31">
        <f t="shared" ref="L247:AJ247" si="69">L238*L243</f>
        <v>0</v>
      </c>
      <c r="M247" s="31">
        <f t="shared" si="69"/>
        <v>0</v>
      </c>
      <c r="N247" s="31">
        <f t="shared" si="69"/>
        <v>0</v>
      </c>
      <c r="O247" s="31">
        <f t="shared" si="69"/>
        <v>0</v>
      </c>
      <c r="P247" s="31">
        <f t="shared" si="69"/>
        <v>0</v>
      </c>
      <c r="Q247" s="31">
        <f t="shared" si="69"/>
        <v>0</v>
      </c>
      <c r="R247" s="31">
        <f t="shared" si="69"/>
        <v>0</v>
      </c>
      <c r="S247" s="31">
        <f t="shared" si="69"/>
        <v>0</v>
      </c>
      <c r="T247" s="31">
        <f t="shared" si="69"/>
        <v>0</v>
      </c>
      <c r="U247" s="31">
        <f t="shared" si="69"/>
        <v>0</v>
      </c>
      <c r="V247" s="31">
        <f t="shared" si="69"/>
        <v>0</v>
      </c>
      <c r="W247" s="31">
        <f t="shared" si="69"/>
        <v>0</v>
      </c>
      <c r="X247" s="31">
        <f t="shared" si="69"/>
        <v>0</v>
      </c>
      <c r="Y247" s="31">
        <f t="shared" si="69"/>
        <v>0</v>
      </c>
      <c r="Z247" s="31">
        <f t="shared" si="69"/>
        <v>0</v>
      </c>
      <c r="AA247" s="31">
        <f t="shared" si="69"/>
        <v>0</v>
      </c>
      <c r="AB247" s="31">
        <f t="shared" si="69"/>
        <v>0</v>
      </c>
      <c r="AC247" s="31">
        <f t="shared" si="69"/>
        <v>0</v>
      </c>
      <c r="AD247" s="31">
        <f t="shared" si="69"/>
        <v>0</v>
      </c>
      <c r="AE247" s="31">
        <f t="shared" si="69"/>
        <v>0</v>
      </c>
      <c r="AF247" s="31">
        <f t="shared" si="69"/>
        <v>0</v>
      </c>
      <c r="AG247" s="31">
        <f t="shared" si="69"/>
        <v>0</v>
      </c>
      <c r="AH247" s="31">
        <f t="shared" si="69"/>
        <v>0</v>
      </c>
      <c r="AI247" s="31">
        <f t="shared" si="69"/>
        <v>0</v>
      </c>
      <c r="AJ247" s="31">
        <f t="shared" si="69"/>
        <v>0</v>
      </c>
    </row>
    <row r="248" spans="7:38" ht="15" hidden="1" customHeight="1" x14ac:dyDescent="0.2">
      <c r="G248" s="14"/>
      <c r="H248" s="14"/>
      <c r="I248" s="13"/>
      <c r="J248" s="13"/>
      <c r="K248" s="31"/>
      <c r="L248" s="31"/>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c r="AJ248" s="31"/>
    </row>
    <row r="249" spans="7:38" ht="15" hidden="1" customHeight="1" x14ac:dyDescent="0.2">
      <c r="G249" s="14" t="s">
        <v>10</v>
      </c>
      <c r="H249" s="14"/>
      <c r="I249" s="13"/>
      <c r="J249" s="13"/>
      <c r="K249" s="42"/>
      <c r="L249" s="42"/>
      <c r="M249" s="42"/>
      <c r="N249" s="42"/>
      <c r="O249" s="42"/>
      <c r="P249" s="42"/>
      <c r="Q249" s="42"/>
      <c r="R249" s="42"/>
      <c r="S249" s="42"/>
      <c r="T249" s="42"/>
      <c r="U249" s="42"/>
      <c r="V249" s="42"/>
      <c r="W249" s="42"/>
      <c r="X249" s="42"/>
      <c r="Y249" s="42"/>
      <c r="Z249" s="42"/>
      <c r="AA249" s="42"/>
      <c r="AB249" s="42"/>
      <c r="AC249" s="42"/>
      <c r="AD249" s="42"/>
      <c r="AE249" s="42"/>
      <c r="AF249" s="42"/>
      <c r="AG249" s="42"/>
      <c r="AH249" s="42"/>
      <c r="AI249" s="42"/>
      <c r="AJ249" s="42"/>
    </row>
    <row r="250" spans="7:38" ht="15" hidden="1" customHeight="1" x14ac:dyDescent="0.2">
      <c r="G250" s="14" t="s">
        <v>11</v>
      </c>
      <c r="H250" s="14"/>
      <c r="I250" s="13"/>
      <c r="J250" s="13"/>
      <c r="K250" s="42"/>
      <c r="L250" s="42"/>
      <c r="M250" s="42"/>
      <c r="N250" s="42"/>
      <c r="O250" s="42"/>
      <c r="P250" s="42"/>
      <c r="Q250" s="42"/>
      <c r="R250" s="42"/>
      <c r="S250" s="42"/>
      <c r="T250" s="42"/>
      <c r="U250" s="42"/>
      <c r="V250" s="42"/>
      <c r="W250" s="42"/>
      <c r="X250" s="42"/>
      <c r="Y250" s="42"/>
      <c r="Z250" s="42"/>
      <c r="AA250" s="42"/>
      <c r="AB250" s="42"/>
      <c r="AC250" s="42"/>
      <c r="AD250" s="42"/>
      <c r="AE250" s="42"/>
      <c r="AF250" s="42"/>
      <c r="AG250" s="42"/>
      <c r="AH250" s="42"/>
      <c r="AI250" s="42"/>
      <c r="AJ250" s="42"/>
    </row>
    <row r="251" spans="7:38" ht="15" hidden="1" customHeight="1" x14ac:dyDescent="0.2">
      <c r="G251" s="14" t="s">
        <v>12</v>
      </c>
      <c r="H251" s="14"/>
      <c r="I251" s="13"/>
      <c r="J251" s="13"/>
      <c r="K251" s="31">
        <f>K$239*K243</f>
        <v>0</v>
      </c>
      <c r="L251" s="31">
        <f t="shared" ref="L251:AI251" si="70">L$239*L243</f>
        <v>0</v>
      </c>
      <c r="M251" s="31">
        <f t="shared" si="70"/>
        <v>0</v>
      </c>
      <c r="N251" s="31">
        <f t="shared" si="70"/>
        <v>0</v>
      </c>
      <c r="O251" s="31">
        <f t="shared" si="70"/>
        <v>0</v>
      </c>
      <c r="P251" s="31">
        <f t="shared" si="70"/>
        <v>0</v>
      </c>
      <c r="Q251" s="31">
        <f t="shared" si="70"/>
        <v>0</v>
      </c>
      <c r="R251" s="31">
        <f t="shared" si="70"/>
        <v>0</v>
      </c>
      <c r="S251" s="31">
        <f t="shared" si="70"/>
        <v>0</v>
      </c>
      <c r="T251" s="31">
        <f t="shared" si="70"/>
        <v>0</v>
      </c>
      <c r="U251" s="31">
        <f t="shared" si="70"/>
        <v>0</v>
      </c>
      <c r="V251" s="31">
        <f t="shared" si="70"/>
        <v>0</v>
      </c>
      <c r="W251" s="31">
        <f t="shared" si="70"/>
        <v>0</v>
      </c>
      <c r="X251" s="31">
        <f t="shared" si="70"/>
        <v>0</v>
      </c>
      <c r="Y251" s="31">
        <f t="shared" si="70"/>
        <v>0</v>
      </c>
      <c r="Z251" s="31">
        <f t="shared" si="70"/>
        <v>0</v>
      </c>
      <c r="AA251" s="31">
        <f t="shared" si="70"/>
        <v>0</v>
      </c>
      <c r="AB251" s="31">
        <f t="shared" si="70"/>
        <v>0</v>
      </c>
      <c r="AC251" s="31">
        <f t="shared" si="70"/>
        <v>0</v>
      </c>
      <c r="AD251" s="31">
        <f t="shared" si="70"/>
        <v>0</v>
      </c>
      <c r="AE251" s="31">
        <f t="shared" si="70"/>
        <v>0</v>
      </c>
      <c r="AF251" s="31">
        <f t="shared" si="70"/>
        <v>0</v>
      </c>
      <c r="AG251" s="31">
        <f t="shared" si="70"/>
        <v>0</v>
      </c>
      <c r="AH251" s="31">
        <f t="shared" si="70"/>
        <v>0</v>
      </c>
      <c r="AI251" s="31">
        <f t="shared" si="70"/>
        <v>0</v>
      </c>
      <c r="AJ251" s="31">
        <f>AJ$239*AJ243</f>
        <v>0</v>
      </c>
    </row>
    <row r="252" spans="7:38" ht="15" hidden="1" customHeight="1" x14ac:dyDescent="0.2">
      <c r="G252" s="14" t="s">
        <v>13</v>
      </c>
      <c r="H252" s="14"/>
      <c r="I252" s="13"/>
      <c r="J252" s="13"/>
      <c r="K252" s="31">
        <f t="shared" ref="K252:AJ252" si="71">K$88*K247</f>
        <v>0</v>
      </c>
      <c r="L252" s="31">
        <f t="shared" si="71"/>
        <v>0</v>
      </c>
      <c r="M252" s="31">
        <f t="shared" si="71"/>
        <v>0</v>
      </c>
      <c r="N252" s="31">
        <f t="shared" si="71"/>
        <v>0</v>
      </c>
      <c r="O252" s="31">
        <f t="shared" si="71"/>
        <v>0</v>
      </c>
      <c r="P252" s="31">
        <f t="shared" si="71"/>
        <v>0</v>
      </c>
      <c r="Q252" s="31">
        <f t="shared" si="71"/>
        <v>0</v>
      </c>
      <c r="R252" s="31">
        <f t="shared" si="71"/>
        <v>0</v>
      </c>
      <c r="S252" s="31">
        <f t="shared" si="71"/>
        <v>0</v>
      </c>
      <c r="T252" s="31">
        <f t="shared" si="71"/>
        <v>0</v>
      </c>
      <c r="U252" s="31">
        <f t="shared" si="71"/>
        <v>0</v>
      </c>
      <c r="V252" s="31">
        <f t="shared" si="71"/>
        <v>0</v>
      </c>
      <c r="W252" s="31">
        <f t="shared" si="71"/>
        <v>0</v>
      </c>
      <c r="X252" s="31">
        <f t="shared" si="71"/>
        <v>0</v>
      </c>
      <c r="Y252" s="31">
        <f t="shared" si="71"/>
        <v>0</v>
      </c>
      <c r="Z252" s="31">
        <f t="shared" si="71"/>
        <v>0</v>
      </c>
      <c r="AA252" s="31">
        <f t="shared" si="71"/>
        <v>0</v>
      </c>
      <c r="AB252" s="31">
        <f t="shared" si="71"/>
        <v>0</v>
      </c>
      <c r="AC252" s="31">
        <f t="shared" si="71"/>
        <v>0</v>
      </c>
      <c r="AD252" s="31">
        <f t="shared" si="71"/>
        <v>0</v>
      </c>
      <c r="AE252" s="31">
        <f t="shared" si="71"/>
        <v>0</v>
      </c>
      <c r="AF252" s="31">
        <f t="shared" si="71"/>
        <v>0</v>
      </c>
      <c r="AG252" s="31">
        <f t="shared" si="71"/>
        <v>0</v>
      </c>
      <c r="AH252" s="31">
        <f t="shared" si="71"/>
        <v>0</v>
      </c>
      <c r="AI252" s="31">
        <f t="shared" si="71"/>
        <v>0</v>
      </c>
      <c r="AJ252" s="31">
        <f t="shared" si="71"/>
        <v>0</v>
      </c>
    </row>
    <row r="253" spans="7:38" ht="15" hidden="1" customHeight="1" x14ac:dyDescent="0.2">
      <c r="G253" s="14"/>
      <c r="H253" s="14"/>
      <c r="I253" s="13"/>
      <c r="J253" s="13"/>
      <c r="K253" s="31"/>
      <c r="L253" s="31"/>
      <c r="M253" s="31"/>
      <c r="N253" s="31"/>
      <c r="O253" s="31"/>
      <c r="P253" s="31"/>
      <c r="Q253" s="31"/>
      <c r="R253" s="31"/>
      <c r="S253" s="31"/>
      <c r="T253" s="31"/>
      <c r="U253" s="31"/>
      <c r="V253" s="31"/>
      <c r="W253" s="31"/>
      <c r="X253" s="31"/>
      <c r="Y253" s="31"/>
      <c r="Z253" s="31"/>
      <c r="AA253" s="31"/>
      <c r="AB253" s="31"/>
      <c r="AC253" s="31"/>
      <c r="AD253" s="31"/>
      <c r="AE253" s="31"/>
      <c r="AF253" s="31"/>
      <c r="AG253" s="31"/>
      <c r="AH253" s="31"/>
      <c r="AI253" s="31"/>
      <c r="AJ253" s="31"/>
    </row>
    <row r="254" spans="7:38" ht="15" hidden="1" customHeight="1" x14ac:dyDescent="0.2">
      <c r="G254" s="14" t="s">
        <v>14</v>
      </c>
      <c r="H254" s="14"/>
      <c r="I254" s="13"/>
      <c r="J254" s="13"/>
      <c r="K254" s="31">
        <f t="shared" ref="K254:AI254" si="72">SUM(K249:K252)</f>
        <v>0</v>
      </c>
      <c r="L254" s="31">
        <f t="shared" si="72"/>
        <v>0</v>
      </c>
      <c r="M254" s="31">
        <f t="shared" si="72"/>
        <v>0</v>
      </c>
      <c r="N254" s="31">
        <f t="shared" si="72"/>
        <v>0</v>
      </c>
      <c r="O254" s="31">
        <f t="shared" si="72"/>
        <v>0</v>
      </c>
      <c r="P254" s="31">
        <f t="shared" si="72"/>
        <v>0</v>
      </c>
      <c r="Q254" s="31">
        <f t="shared" si="72"/>
        <v>0</v>
      </c>
      <c r="R254" s="31">
        <f t="shared" si="72"/>
        <v>0</v>
      </c>
      <c r="S254" s="31">
        <f t="shared" si="72"/>
        <v>0</v>
      </c>
      <c r="T254" s="31">
        <f t="shared" si="72"/>
        <v>0</v>
      </c>
      <c r="U254" s="31">
        <f t="shared" si="72"/>
        <v>0</v>
      </c>
      <c r="V254" s="31">
        <f t="shared" si="72"/>
        <v>0</v>
      </c>
      <c r="W254" s="31">
        <f t="shared" si="72"/>
        <v>0</v>
      </c>
      <c r="X254" s="31">
        <f t="shared" si="72"/>
        <v>0</v>
      </c>
      <c r="Y254" s="31">
        <f t="shared" si="72"/>
        <v>0</v>
      </c>
      <c r="Z254" s="31">
        <f t="shared" si="72"/>
        <v>0</v>
      </c>
      <c r="AA254" s="31">
        <f t="shared" si="72"/>
        <v>0</v>
      </c>
      <c r="AB254" s="31">
        <f t="shared" si="72"/>
        <v>0</v>
      </c>
      <c r="AC254" s="31">
        <f t="shared" si="72"/>
        <v>0</v>
      </c>
      <c r="AD254" s="31">
        <f t="shared" si="72"/>
        <v>0</v>
      </c>
      <c r="AE254" s="31">
        <f t="shared" si="72"/>
        <v>0</v>
      </c>
      <c r="AF254" s="31">
        <f t="shared" si="72"/>
        <v>0</v>
      </c>
      <c r="AG254" s="31">
        <f t="shared" si="72"/>
        <v>0</v>
      </c>
      <c r="AH254" s="31">
        <f t="shared" si="72"/>
        <v>0</v>
      </c>
      <c r="AI254" s="31">
        <f t="shared" si="72"/>
        <v>0</v>
      </c>
      <c r="AJ254" s="31">
        <f>SUM(AJ249:AJ252)</f>
        <v>0</v>
      </c>
    </row>
    <row r="255" spans="7:38" ht="15" hidden="1" customHeight="1" x14ac:dyDescent="0.2">
      <c r="G255" s="14" t="s">
        <v>15</v>
      </c>
      <c r="H255" s="14"/>
      <c r="I255" s="13"/>
      <c r="J255" s="13"/>
      <c r="K255" s="31">
        <f>K254</f>
        <v>0</v>
      </c>
      <c r="L255" s="31">
        <f t="shared" ref="L255:AI255" si="73">K255+L254</f>
        <v>0</v>
      </c>
      <c r="M255" s="31">
        <f t="shared" si="73"/>
        <v>0</v>
      </c>
      <c r="N255" s="31">
        <f t="shared" si="73"/>
        <v>0</v>
      </c>
      <c r="O255" s="31">
        <f t="shared" si="73"/>
        <v>0</v>
      </c>
      <c r="P255" s="31">
        <f t="shared" si="73"/>
        <v>0</v>
      </c>
      <c r="Q255" s="31">
        <f t="shared" si="73"/>
        <v>0</v>
      </c>
      <c r="R255" s="31">
        <f t="shared" si="73"/>
        <v>0</v>
      </c>
      <c r="S255" s="31">
        <f t="shared" si="73"/>
        <v>0</v>
      </c>
      <c r="T255" s="31">
        <f t="shared" si="73"/>
        <v>0</v>
      </c>
      <c r="U255" s="31">
        <f t="shared" si="73"/>
        <v>0</v>
      </c>
      <c r="V255" s="31">
        <f t="shared" si="73"/>
        <v>0</v>
      </c>
      <c r="W255" s="31">
        <f t="shared" si="73"/>
        <v>0</v>
      </c>
      <c r="X255" s="31">
        <f t="shared" si="73"/>
        <v>0</v>
      </c>
      <c r="Y255" s="31">
        <f t="shared" si="73"/>
        <v>0</v>
      </c>
      <c r="Z255" s="31">
        <f t="shared" si="73"/>
        <v>0</v>
      </c>
      <c r="AA255" s="31">
        <f t="shared" si="73"/>
        <v>0</v>
      </c>
      <c r="AB255" s="31">
        <f t="shared" si="73"/>
        <v>0</v>
      </c>
      <c r="AC255" s="31">
        <f t="shared" si="73"/>
        <v>0</v>
      </c>
      <c r="AD255" s="31">
        <f t="shared" si="73"/>
        <v>0</v>
      </c>
      <c r="AE255" s="31">
        <f t="shared" si="73"/>
        <v>0</v>
      </c>
      <c r="AF255" s="31">
        <f t="shared" si="73"/>
        <v>0</v>
      </c>
      <c r="AG255" s="31">
        <f t="shared" si="73"/>
        <v>0</v>
      </c>
      <c r="AH255" s="31">
        <f t="shared" si="73"/>
        <v>0</v>
      </c>
      <c r="AI255" s="31">
        <f t="shared" si="73"/>
        <v>0</v>
      </c>
      <c r="AJ255" s="31">
        <f>AI255+AJ254</f>
        <v>0</v>
      </c>
    </row>
    <row r="256" spans="7:38" ht="15" hidden="1" customHeight="1" x14ac:dyDescent="0.2">
      <c r="G256" s="13"/>
      <c r="H256" s="13"/>
      <c r="I256" s="13"/>
      <c r="J256" s="13"/>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row>
    <row r="257" spans="7:36" ht="15" hidden="1" customHeight="1" x14ac:dyDescent="0.2">
      <c r="G257" s="14" t="s">
        <v>17</v>
      </c>
      <c r="H257" s="13"/>
      <c r="I257" s="13"/>
      <c r="J257" s="13"/>
      <c r="K257" s="31">
        <f>K254/(((Data!$P$186/100)+1)^K$70)</f>
        <v>0</v>
      </c>
      <c r="L257" s="31">
        <f>L254/(((Data!$P$186/100)+1)^L$70)</f>
        <v>0</v>
      </c>
      <c r="M257" s="31">
        <f>M254/(((Data!$P$186/100)+1)^M$70)</f>
        <v>0</v>
      </c>
      <c r="N257" s="31">
        <f>N254/(((Data!$P$186/100)+1)^N$70)</f>
        <v>0</v>
      </c>
      <c r="O257" s="31">
        <f>O254/(((Data!$P$186/100)+1)^O$70)</f>
        <v>0</v>
      </c>
      <c r="P257" s="31">
        <f>P254/(((Data!$P$186/100)+1)^P$70)</f>
        <v>0</v>
      </c>
      <c r="Q257" s="31">
        <f>Q254/(((Data!$P$186/100)+1)^Q$70)</f>
        <v>0</v>
      </c>
      <c r="R257" s="31">
        <f>R254/(((Data!$P$186/100)+1)^R$70)</f>
        <v>0</v>
      </c>
      <c r="S257" s="31">
        <f>S254/(((Data!$P$186/100)+1)^S$70)</f>
        <v>0</v>
      </c>
      <c r="T257" s="31">
        <f>T254/(((Data!$P$186/100)+1)^T$70)</f>
        <v>0</v>
      </c>
      <c r="U257" s="31">
        <f>U254/(((Data!$P$186/100)+1)^U$70)</f>
        <v>0</v>
      </c>
      <c r="V257" s="31">
        <f>V254/(((Data!$P$186/100)+1)^V$70)</f>
        <v>0</v>
      </c>
      <c r="W257" s="31">
        <f>W254/(((Data!$P$186/100)+1)^W$70)</f>
        <v>0</v>
      </c>
      <c r="X257" s="31">
        <f>X254/(((Data!$P$186/100)+1)^X$70)</f>
        <v>0</v>
      </c>
      <c r="Y257" s="31">
        <f>Y254/(((Data!$P$186/100)+1)^Y$70)</f>
        <v>0</v>
      </c>
      <c r="Z257" s="31">
        <f>Z254/(((Data!$P$186/100)+1)^Z$70)</f>
        <v>0</v>
      </c>
      <c r="AA257" s="31">
        <f>AA254/(((Data!$P$186/100)+1)^AA$70)</f>
        <v>0</v>
      </c>
      <c r="AB257" s="31">
        <f>AB254/(((Data!$P$186/100)+1)^AB$70)</f>
        <v>0</v>
      </c>
      <c r="AC257" s="31">
        <f>AC254/(((Data!$P$186/100)+1)^AC$70)</f>
        <v>0</v>
      </c>
      <c r="AD257" s="31">
        <f>AD254/(((Data!$P$186/100)+1)^AD$70)</f>
        <v>0</v>
      </c>
      <c r="AE257" s="31">
        <f>AE254/(((Data!$P$186/100)+1)^AE$70)</f>
        <v>0</v>
      </c>
      <c r="AF257" s="31">
        <f>AF254/(((Data!$P$186/100)+1)^AF$70)</f>
        <v>0</v>
      </c>
      <c r="AG257" s="31">
        <f>AG254/(((Data!$P$186/100)+1)^AG$70)</f>
        <v>0</v>
      </c>
      <c r="AH257" s="31">
        <f>AH254/(((Data!$P$186/100)+1)^AH$70)</f>
        <v>0</v>
      </c>
      <c r="AI257" s="31">
        <f>AI254/(((Data!$P$186/100)+1)^AI$70)</f>
        <v>0</v>
      </c>
      <c r="AJ257" s="31">
        <f>AJ254/(((Data!$P$186/100)+1)^AJ$70)</f>
        <v>0</v>
      </c>
    </row>
    <row r="258" spans="7:36" ht="15" hidden="1" customHeight="1" x14ac:dyDescent="0.2">
      <c r="G258" s="30" t="s">
        <v>186</v>
      </c>
      <c r="H258" s="33"/>
      <c r="I258" s="13"/>
      <c r="J258" s="13"/>
      <c r="K258" s="34">
        <f>K257</f>
        <v>0</v>
      </c>
      <c r="L258" s="34">
        <f t="shared" ref="L258:AJ258" si="74">K258+L257</f>
        <v>0</v>
      </c>
      <c r="M258" s="34">
        <f t="shared" si="74"/>
        <v>0</v>
      </c>
      <c r="N258" s="34">
        <f t="shared" si="74"/>
        <v>0</v>
      </c>
      <c r="O258" s="34">
        <f t="shared" si="74"/>
        <v>0</v>
      </c>
      <c r="P258" s="34">
        <f t="shared" si="74"/>
        <v>0</v>
      </c>
      <c r="Q258" s="34">
        <f t="shared" si="74"/>
        <v>0</v>
      </c>
      <c r="R258" s="34">
        <f t="shared" si="74"/>
        <v>0</v>
      </c>
      <c r="S258" s="34">
        <f t="shared" si="74"/>
        <v>0</v>
      </c>
      <c r="T258" s="34">
        <f t="shared" si="74"/>
        <v>0</v>
      </c>
      <c r="U258" s="34">
        <f t="shared" si="74"/>
        <v>0</v>
      </c>
      <c r="V258" s="34">
        <f t="shared" si="74"/>
        <v>0</v>
      </c>
      <c r="W258" s="34">
        <f t="shared" si="74"/>
        <v>0</v>
      </c>
      <c r="X258" s="34">
        <f t="shared" si="74"/>
        <v>0</v>
      </c>
      <c r="Y258" s="34">
        <f t="shared" si="74"/>
        <v>0</v>
      </c>
      <c r="Z258" s="34">
        <f t="shared" si="74"/>
        <v>0</v>
      </c>
      <c r="AA258" s="34">
        <f t="shared" si="74"/>
        <v>0</v>
      </c>
      <c r="AB258" s="34">
        <f t="shared" si="74"/>
        <v>0</v>
      </c>
      <c r="AC258" s="34">
        <f t="shared" si="74"/>
        <v>0</v>
      </c>
      <c r="AD258" s="34">
        <f t="shared" si="74"/>
        <v>0</v>
      </c>
      <c r="AE258" s="34">
        <f t="shared" si="74"/>
        <v>0</v>
      </c>
      <c r="AF258" s="34">
        <f t="shared" si="74"/>
        <v>0</v>
      </c>
      <c r="AG258" s="34">
        <f t="shared" si="74"/>
        <v>0</v>
      </c>
      <c r="AH258" s="34">
        <f t="shared" si="74"/>
        <v>0</v>
      </c>
      <c r="AI258" s="34">
        <f t="shared" si="74"/>
        <v>0</v>
      </c>
      <c r="AJ258" s="34">
        <f t="shared" si="74"/>
        <v>0</v>
      </c>
    </row>
    <row r="259" spans="7:36" ht="15" hidden="1" customHeight="1" x14ac:dyDescent="0.2">
      <c r="G259" s="8"/>
      <c r="H259" s="8"/>
      <c r="I259" s="8"/>
      <c r="J259" s="8"/>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row>
    <row r="260" spans="7:36" ht="15" hidden="1" customHeight="1" x14ac:dyDescent="0.2">
      <c r="G260" s="532" t="s">
        <v>514</v>
      </c>
      <c r="H260" s="17"/>
      <c r="I260" s="13"/>
      <c r="J260" s="13"/>
      <c r="K260" s="35"/>
      <c r="L260" s="35"/>
      <c r="M260" s="35"/>
      <c r="N260" s="35"/>
      <c r="O260" s="35"/>
      <c r="P260" s="35"/>
      <c r="Q260" s="35"/>
      <c r="R260" s="35"/>
      <c r="S260" s="35"/>
      <c r="T260" s="35"/>
      <c r="U260" s="35"/>
      <c r="V260" s="35"/>
      <c r="W260" s="35"/>
      <c r="X260" s="35"/>
      <c r="Y260" s="35"/>
      <c r="Z260" s="35"/>
      <c r="AA260" s="35"/>
      <c r="AB260" s="35"/>
      <c r="AC260" s="35"/>
      <c r="AD260" s="35"/>
      <c r="AE260" s="35"/>
      <c r="AF260" s="35"/>
      <c r="AG260" s="35"/>
      <c r="AH260" s="35"/>
      <c r="AI260" s="35"/>
      <c r="AJ260" s="35"/>
    </row>
    <row r="261" spans="7:36" ht="15" hidden="1" customHeight="1" x14ac:dyDescent="0.2">
      <c r="G261" s="17"/>
      <c r="H261" s="17"/>
      <c r="I261" s="13"/>
      <c r="J261" s="13"/>
      <c r="K261" s="35"/>
      <c r="L261" s="35"/>
      <c r="M261" s="35"/>
      <c r="N261" s="35"/>
      <c r="O261" s="35"/>
      <c r="P261" s="35"/>
      <c r="Q261" s="35"/>
      <c r="R261" s="35"/>
      <c r="S261" s="35"/>
      <c r="T261" s="35"/>
      <c r="U261" s="35"/>
      <c r="V261" s="35"/>
      <c r="W261" s="35"/>
      <c r="X261" s="35"/>
      <c r="Y261" s="35"/>
      <c r="Z261" s="35"/>
      <c r="AA261" s="35"/>
      <c r="AB261" s="35"/>
      <c r="AC261" s="35"/>
      <c r="AD261" s="35"/>
      <c r="AE261" s="35"/>
      <c r="AF261" s="35"/>
      <c r="AG261" s="35"/>
      <c r="AH261" s="35"/>
      <c r="AI261" s="35"/>
      <c r="AJ261" s="35"/>
    </row>
    <row r="262" spans="7:36" ht="15" hidden="1" customHeight="1" x14ac:dyDescent="0.2">
      <c r="G262" s="17" t="s">
        <v>2</v>
      </c>
      <c r="H262" s="60"/>
      <c r="I262" s="60"/>
      <c r="J262" s="60"/>
      <c r="K262" s="101">
        <f>K$79</f>
        <v>0.19338</v>
      </c>
      <c r="L262" s="101">
        <f t="shared" ref="L262:AJ262" si="75">L$79</f>
        <v>0.18757859999999998</v>
      </c>
      <c r="M262" s="101">
        <f t="shared" si="75"/>
        <v>0.18195124199999999</v>
      </c>
      <c r="N262" s="101">
        <f t="shared" si="75"/>
        <v>0.17649270473999998</v>
      </c>
      <c r="O262" s="101">
        <f t="shared" si="75"/>
        <v>0.17119792359779998</v>
      </c>
      <c r="P262" s="101">
        <f t="shared" si="75"/>
        <v>0.16606198588986598</v>
      </c>
      <c r="Q262" s="101">
        <f t="shared" si="75"/>
        <v>0.16108012631317001</v>
      </c>
      <c r="R262" s="101">
        <f t="shared" si="75"/>
        <v>0.15624772252377489</v>
      </c>
      <c r="S262" s="101">
        <f t="shared" si="75"/>
        <v>0.15156029084806164</v>
      </c>
      <c r="T262" s="101">
        <f t="shared" si="75"/>
        <v>0.14701348212261978</v>
      </c>
      <c r="U262" s="101">
        <f t="shared" si="75"/>
        <v>0.14260307765894117</v>
      </c>
      <c r="V262" s="101">
        <f t="shared" si="75"/>
        <v>0.13832498532917292</v>
      </c>
      <c r="W262" s="101">
        <f t="shared" si="75"/>
        <v>0.13417523576929774</v>
      </c>
      <c r="X262" s="101">
        <f t="shared" si="75"/>
        <v>0.1301499786962188</v>
      </c>
      <c r="Y262" s="101">
        <f t="shared" si="75"/>
        <v>0.12624547933533223</v>
      </c>
      <c r="Z262" s="101">
        <f t="shared" si="75"/>
        <v>0.12245811495527226</v>
      </c>
      <c r="AA262" s="101">
        <f t="shared" si="75"/>
        <v>0.11878437150661408</v>
      </c>
      <c r="AB262" s="101">
        <f t="shared" si="75"/>
        <v>0.11522084036141565</v>
      </c>
      <c r="AC262" s="101">
        <f t="shared" si="75"/>
        <v>0.11176421515057318</v>
      </c>
      <c r="AD262" s="101">
        <f t="shared" si="75"/>
        <v>0.10841128869605599</v>
      </c>
      <c r="AE262" s="101">
        <f t="shared" si="75"/>
        <v>0.10515895003517431</v>
      </c>
      <c r="AF262" s="101">
        <f t="shared" si="75"/>
        <v>0.10200418153411908</v>
      </c>
      <c r="AG262" s="101">
        <f t="shared" si="75"/>
        <v>9.8944056088095506E-2</v>
      </c>
      <c r="AH262" s="101">
        <f t="shared" si="75"/>
        <v>9.5975734405452637E-2</v>
      </c>
      <c r="AI262" s="101">
        <f t="shared" si="75"/>
        <v>9.3096462373289057E-2</v>
      </c>
      <c r="AJ262" s="101">
        <f t="shared" si="75"/>
        <v>9.0303568502090384E-2</v>
      </c>
    </row>
    <row r="263" spans="7:36" ht="15" hidden="1" customHeight="1" x14ac:dyDescent="0.2">
      <c r="G263" s="17" t="s">
        <v>1</v>
      </c>
      <c r="H263" s="60"/>
      <c r="I263" s="60"/>
      <c r="J263" s="60"/>
      <c r="K263" s="101">
        <f>K$85</f>
        <v>0.31</v>
      </c>
      <c r="L263" s="101">
        <f t="shared" ref="L263:AJ263" si="76">L$85</f>
        <v>0.34100000000000003</v>
      </c>
      <c r="M263" s="101">
        <f t="shared" si="76"/>
        <v>0.37510000000000004</v>
      </c>
      <c r="N263" s="101">
        <f t="shared" si="76"/>
        <v>0.41261000000000009</v>
      </c>
      <c r="O263" s="101">
        <f t="shared" si="76"/>
        <v>0.45387100000000014</v>
      </c>
      <c r="P263" s="101">
        <f t="shared" si="76"/>
        <v>0.4992581000000002</v>
      </c>
      <c r="Q263" s="101">
        <f t="shared" si="76"/>
        <v>0.54918391000000022</v>
      </c>
      <c r="R263" s="101">
        <f t="shared" si="76"/>
        <v>0.60410230100000029</v>
      </c>
      <c r="S263" s="101">
        <f t="shared" si="76"/>
        <v>0.66451253110000041</v>
      </c>
      <c r="T263" s="101">
        <f t="shared" si="76"/>
        <v>0.73096378421000052</v>
      </c>
      <c r="U263" s="101">
        <f t="shared" si="76"/>
        <v>0.80406016263100066</v>
      </c>
      <c r="V263" s="101">
        <f t="shared" si="76"/>
        <v>0.88446617889410084</v>
      </c>
      <c r="W263" s="101">
        <f t="shared" si="76"/>
        <v>0.97291279678351106</v>
      </c>
      <c r="X263" s="101">
        <f t="shared" si="76"/>
        <v>1.0702040764618623</v>
      </c>
      <c r="Y263" s="101">
        <f t="shared" si="76"/>
        <v>1.1772244841080486</v>
      </c>
      <c r="Z263" s="101">
        <f t="shared" si="76"/>
        <v>1.2949469325188536</v>
      </c>
      <c r="AA263" s="101">
        <f t="shared" si="76"/>
        <v>1.4244416257707391</v>
      </c>
      <c r="AB263" s="101">
        <f t="shared" si="76"/>
        <v>1.5668857883478131</v>
      </c>
      <c r="AC263" s="101">
        <f t="shared" si="76"/>
        <v>1.7235743671825945</v>
      </c>
      <c r="AD263" s="101">
        <f t="shared" si="76"/>
        <v>1.8959318039008541</v>
      </c>
      <c r="AE263" s="101">
        <f t="shared" si="76"/>
        <v>2.0855249842909398</v>
      </c>
      <c r="AF263" s="101">
        <f t="shared" si="76"/>
        <v>2.2940774827200339</v>
      </c>
      <c r="AG263" s="101">
        <f t="shared" si="76"/>
        <v>2.5234852309920375</v>
      </c>
      <c r="AH263" s="101">
        <f t="shared" si="76"/>
        <v>2.7758337540912414</v>
      </c>
      <c r="AI263" s="101">
        <f t="shared" si="76"/>
        <v>3.053417129500366</v>
      </c>
      <c r="AJ263" s="101">
        <f t="shared" si="76"/>
        <v>3.3587588424504031</v>
      </c>
    </row>
    <row r="264" spans="7:36" ht="15" hidden="1" customHeight="1" x14ac:dyDescent="0.2">
      <c r="G264" s="60"/>
      <c r="H264" s="60"/>
      <c r="I264" s="60"/>
      <c r="J264" s="60"/>
      <c r="K264" s="60"/>
      <c r="L264" s="60"/>
      <c r="M264" s="60"/>
      <c r="N264" s="60"/>
      <c r="O264" s="60"/>
      <c r="P264" s="60"/>
      <c r="Q264" s="60"/>
      <c r="R264" s="61"/>
      <c r="S264" s="60"/>
      <c r="T264" s="60"/>
      <c r="U264" s="60"/>
      <c r="V264" s="60"/>
      <c r="W264" s="60"/>
      <c r="X264" s="60"/>
      <c r="Y264" s="60"/>
      <c r="Z264" s="60"/>
      <c r="AA264" s="60"/>
      <c r="AB264" s="60"/>
      <c r="AC264" s="60"/>
      <c r="AD264" s="60"/>
      <c r="AE264" s="60"/>
      <c r="AF264" s="60"/>
      <c r="AG264" s="60"/>
      <c r="AH264" s="60"/>
      <c r="AI264" s="60"/>
      <c r="AJ264" s="60"/>
    </row>
    <row r="265" spans="7:36" ht="15" hidden="1" customHeight="1" x14ac:dyDescent="0.2">
      <c r="G265" s="17" t="s">
        <v>4</v>
      </c>
      <c r="H265" s="17"/>
      <c r="I265" s="13"/>
      <c r="J265" s="13"/>
      <c r="K265" s="43"/>
      <c r="L265" s="43"/>
      <c r="M265" s="43"/>
      <c r="N265" s="43"/>
      <c r="O265" s="43"/>
      <c r="P265" s="43"/>
      <c r="Q265" s="43"/>
      <c r="R265" s="43"/>
      <c r="S265" s="43"/>
      <c r="T265" s="43"/>
      <c r="U265" s="43"/>
      <c r="V265" s="43"/>
      <c r="W265" s="43"/>
      <c r="X265" s="43"/>
      <c r="Y265" s="43"/>
      <c r="Z265" s="43"/>
      <c r="AA265" s="43"/>
      <c r="AB265" s="43"/>
      <c r="AC265" s="43"/>
      <c r="AD265" s="43"/>
      <c r="AE265" s="43"/>
      <c r="AF265" s="43"/>
      <c r="AG265" s="43"/>
      <c r="AH265" s="43"/>
      <c r="AI265" s="43"/>
      <c r="AJ265" s="43"/>
    </row>
    <row r="266" spans="7:36" ht="15" hidden="1" customHeight="1" x14ac:dyDescent="0.2">
      <c r="G266" s="17" t="s">
        <v>5</v>
      </c>
      <c r="H266" s="17"/>
      <c r="I266" s="13"/>
      <c r="J266" s="13"/>
      <c r="K266" s="43"/>
      <c r="L266" s="43"/>
      <c r="M266" s="43"/>
      <c r="N266" s="43"/>
      <c r="O266" s="43"/>
      <c r="P266" s="43"/>
      <c r="Q266" s="43"/>
      <c r="R266" s="43"/>
      <c r="S266" s="43"/>
      <c r="T266" s="43"/>
      <c r="U266" s="43"/>
      <c r="V266" s="43"/>
      <c r="W266" s="43"/>
      <c r="X266" s="43"/>
      <c r="Y266" s="43"/>
      <c r="Z266" s="43"/>
      <c r="AA266" s="43"/>
      <c r="AB266" s="43"/>
      <c r="AC266" s="43"/>
      <c r="AD266" s="43"/>
      <c r="AE266" s="43"/>
      <c r="AF266" s="43"/>
      <c r="AG266" s="43"/>
      <c r="AH266" s="43"/>
      <c r="AI266" s="43"/>
      <c r="AJ266" s="43"/>
    </row>
    <row r="267" spans="7:36" ht="15" hidden="1" customHeight="1" x14ac:dyDescent="0.2">
      <c r="G267" s="17" t="s">
        <v>6</v>
      </c>
      <c r="H267" s="17"/>
      <c r="I267" s="13"/>
      <c r="J267" s="13"/>
      <c r="K267" s="80">
        <f>IF(K$70&lt;$Q$41,$J$29+$J$33,$P$29+$P$33)</f>
        <v>0</v>
      </c>
      <c r="L267" s="80">
        <f t="shared" ref="L267:AJ267" si="77">IF(L$70&lt;$Q$41,$J$29+$J$33,$P$29+$P$33)</f>
        <v>0</v>
      </c>
      <c r="M267" s="80">
        <f t="shared" si="77"/>
        <v>0</v>
      </c>
      <c r="N267" s="80">
        <f t="shared" si="77"/>
        <v>0</v>
      </c>
      <c r="O267" s="80">
        <f t="shared" si="77"/>
        <v>0</v>
      </c>
      <c r="P267" s="80">
        <f t="shared" si="77"/>
        <v>0</v>
      </c>
      <c r="Q267" s="80">
        <f t="shared" si="77"/>
        <v>0</v>
      </c>
      <c r="R267" s="80">
        <f t="shared" si="77"/>
        <v>0</v>
      </c>
      <c r="S267" s="80">
        <f t="shared" si="77"/>
        <v>0</v>
      </c>
      <c r="T267" s="80">
        <f t="shared" si="77"/>
        <v>0</v>
      </c>
      <c r="U267" s="80">
        <f t="shared" si="77"/>
        <v>0</v>
      </c>
      <c r="V267" s="80">
        <f t="shared" si="77"/>
        <v>0</v>
      </c>
      <c r="W267" s="80">
        <f t="shared" si="77"/>
        <v>0</v>
      </c>
      <c r="X267" s="80">
        <f t="shared" si="77"/>
        <v>0</v>
      </c>
      <c r="Y267" s="80">
        <f t="shared" si="77"/>
        <v>0</v>
      </c>
      <c r="Z267" s="80">
        <f t="shared" si="77"/>
        <v>0</v>
      </c>
      <c r="AA267" s="80">
        <f t="shared" si="77"/>
        <v>0</v>
      </c>
      <c r="AB267" s="80">
        <f t="shared" si="77"/>
        <v>0</v>
      </c>
      <c r="AC267" s="80">
        <f t="shared" si="77"/>
        <v>0</v>
      </c>
      <c r="AD267" s="80">
        <f t="shared" si="77"/>
        <v>0</v>
      </c>
      <c r="AE267" s="80">
        <f t="shared" si="77"/>
        <v>0</v>
      </c>
      <c r="AF267" s="80">
        <f t="shared" si="77"/>
        <v>0</v>
      </c>
      <c r="AG267" s="80">
        <f t="shared" si="77"/>
        <v>0</v>
      </c>
      <c r="AH267" s="80">
        <f t="shared" si="77"/>
        <v>0</v>
      </c>
      <c r="AI267" s="80">
        <f t="shared" si="77"/>
        <v>0</v>
      </c>
      <c r="AJ267" s="80">
        <f t="shared" si="77"/>
        <v>0</v>
      </c>
    </row>
    <row r="268" spans="7:36" ht="15" hidden="1" customHeight="1" x14ac:dyDescent="0.2">
      <c r="G268" s="17"/>
      <c r="H268" s="17"/>
      <c r="I268" s="13"/>
      <c r="J268" s="13"/>
      <c r="K268" s="35"/>
      <c r="L268" s="35"/>
      <c r="M268" s="35"/>
      <c r="N268" s="35"/>
      <c r="O268" s="35"/>
      <c r="P268" s="35"/>
      <c r="Q268" s="35"/>
      <c r="R268" s="35"/>
      <c r="S268" s="35"/>
      <c r="T268" s="35"/>
      <c r="U268" s="35"/>
      <c r="V268" s="35"/>
      <c r="W268" s="35"/>
      <c r="X268" s="35"/>
      <c r="Y268" s="35"/>
      <c r="Z268" s="35"/>
      <c r="AA268" s="35"/>
      <c r="AB268" s="35"/>
      <c r="AC268" s="35"/>
      <c r="AD268" s="35"/>
      <c r="AE268" s="35"/>
      <c r="AF268" s="35"/>
      <c r="AG268" s="35"/>
      <c r="AH268" s="35"/>
      <c r="AI268" s="35"/>
      <c r="AJ268" s="35"/>
    </row>
    <row r="269" spans="7:36" ht="15" hidden="1" customHeight="1" x14ac:dyDescent="0.2">
      <c r="G269" s="17" t="s">
        <v>7</v>
      </c>
      <c r="H269" s="17"/>
      <c r="I269" s="13"/>
      <c r="J269" s="13"/>
      <c r="K269" s="43"/>
      <c r="L269" s="43"/>
      <c r="M269" s="43"/>
      <c r="N269" s="43"/>
      <c r="O269" s="43"/>
      <c r="P269" s="43"/>
      <c r="Q269" s="43"/>
      <c r="R269" s="43"/>
      <c r="S269" s="43"/>
      <c r="T269" s="43"/>
      <c r="U269" s="43"/>
      <c r="V269" s="43"/>
      <c r="W269" s="43"/>
      <c r="X269" s="43"/>
      <c r="Y269" s="43"/>
      <c r="Z269" s="43"/>
      <c r="AA269" s="43"/>
      <c r="AB269" s="43"/>
      <c r="AC269" s="43"/>
      <c r="AD269" s="43"/>
      <c r="AE269" s="43"/>
      <c r="AF269" s="43"/>
      <c r="AG269" s="43"/>
      <c r="AH269" s="43"/>
      <c r="AI269" s="43"/>
      <c r="AJ269" s="43"/>
    </row>
    <row r="270" spans="7:36" ht="15" hidden="1" customHeight="1" x14ac:dyDescent="0.2">
      <c r="G270" s="17" t="s">
        <v>8</v>
      </c>
      <c r="H270" s="17"/>
      <c r="I270" s="13"/>
      <c r="J270" s="13"/>
      <c r="K270" s="43"/>
      <c r="L270" s="43"/>
      <c r="M270" s="43"/>
      <c r="N270" s="43"/>
      <c r="O270" s="43"/>
      <c r="P270" s="43"/>
      <c r="Q270" s="43"/>
      <c r="R270" s="43"/>
      <c r="S270" s="43"/>
      <c r="T270" s="43"/>
      <c r="U270" s="43"/>
      <c r="V270" s="43"/>
      <c r="W270" s="43"/>
      <c r="X270" s="43"/>
      <c r="Y270" s="43"/>
      <c r="Z270" s="43"/>
      <c r="AA270" s="43"/>
      <c r="AB270" s="43"/>
      <c r="AC270" s="43"/>
      <c r="AD270" s="43"/>
      <c r="AE270" s="43"/>
      <c r="AF270" s="43"/>
      <c r="AG270" s="43"/>
      <c r="AH270" s="43"/>
      <c r="AI270" s="43"/>
      <c r="AJ270" s="43"/>
    </row>
    <row r="271" spans="7:36" ht="15" hidden="1" customHeight="1" x14ac:dyDescent="0.2">
      <c r="G271" s="17" t="s">
        <v>9</v>
      </c>
      <c r="H271" s="17"/>
      <c r="I271" s="13"/>
      <c r="J271" s="13"/>
      <c r="K271" s="35">
        <f>K262*K267</f>
        <v>0</v>
      </c>
      <c r="L271" s="35">
        <f t="shared" ref="L271:AI271" si="78">L262*L267</f>
        <v>0</v>
      </c>
      <c r="M271" s="35">
        <f t="shared" si="78"/>
        <v>0</v>
      </c>
      <c r="N271" s="35">
        <f t="shared" si="78"/>
        <v>0</v>
      </c>
      <c r="O271" s="35">
        <f t="shared" si="78"/>
        <v>0</v>
      </c>
      <c r="P271" s="35">
        <f t="shared" si="78"/>
        <v>0</v>
      </c>
      <c r="Q271" s="35">
        <f t="shared" si="78"/>
        <v>0</v>
      </c>
      <c r="R271" s="35">
        <f t="shared" si="78"/>
        <v>0</v>
      </c>
      <c r="S271" s="35">
        <f t="shared" si="78"/>
        <v>0</v>
      </c>
      <c r="T271" s="35">
        <f t="shared" si="78"/>
        <v>0</v>
      </c>
      <c r="U271" s="35">
        <f t="shared" si="78"/>
        <v>0</v>
      </c>
      <c r="V271" s="35">
        <f t="shared" si="78"/>
        <v>0</v>
      </c>
      <c r="W271" s="35">
        <f t="shared" si="78"/>
        <v>0</v>
      </c>
      <c r="X271" s="35">
        <f t="shared" si="78"/>
        <v>0</v>
      </c>
      <c r="Y271" s="35">
        <f t="shared" si="78"/>
        <v>0</v>
      </c>
      <c r="Z271" s="35">
        <f t="shared" si="78"/>
        <v>0</v>
      </c>
      <c r="AA271" s="35">
        <f t="shared" si="78"/>
        <v>0</v>
      </c>
      <c r="AB271" s="35">
        <f t="shared" si="78"/>
        <v>0</v>
      </c>
      <c r="AC271" s="35">
        <f t="shared" si="78"/>
        <v>0</v>
      </c>
      <c r="AD271" s="35">
        <f t="shared" si="78"/>
        <v>0</v>
      </c>
      <c r="AE271" s="35">
        <f t="shared" si="78"/>
        <v>0</v>
      </c>
      <c r="AF271" s="35">
        <f t="shared" si="78"/>
        <v>0</v>
      </c>
      <c r="AG271" s="35">
        <f t="shared" si="78"/>
        <v>0</v>
      </c>
      <c r="AH271" s="35">
        <f t="shared" si="78"/>
        <v>0</v>
      </c>
      <c r="AI271" s="35">
        <f t="shared" si="78"/>
        <v>0</v>
      </c>
      <c r="AJ271" s="35">
        <f>AJ262*AJ267</f>
        <v>0</v>
      </c>
    </row>
    <row r="272" spans="7:36" ht="15" hidden="1" customHeight="1" x14ac:dyDescent="0.2">
      <c r="G272" s="17"/>
      <c r="H272" s="17"/>
      <c r="I272" s="13"/>
      <c r="J272" s="13"/>
      <c r="K272" s="35"/>
      <c r="L272" s="35"/>
      <c r="M272" s="35"/>
      <c r="N272" s="35"/>
      <c r="O272" s="35"/>
      <c r="P272" s="35"/>
      <c r="Q272" s="35"/>
      <c r="R272" s="35"/>
      <c r="S272" s="35"/>
      <c r="T272" s="35"/>
      <c r="U272" s="35"/>
      <c r="V272" s="35"/>
      <c r="W272" s="35"/>
      <c r="X272" s="35"/>
      <c r="Y272" s="35"/>
      <c r="Z272" s="35"/>
      <c r="AA272" s="35"/>
      <c r="AB272" s="35"/>
      <c r="AC272" s="35"/>
      <c r="AD272" s="35"/>
      <c r="AE272" s="35"/>
      <c r="AF272" s="35"/>
      <c r="AG272" s="35"/>
      <c r="AH272" s="35"/>
      <c r="AI272" s="35"/>
      <c r="AJ272" s="35"/>
    </row>
    <row r="273" spans="7:36" ht="15" hidden="1" customHeight="1" x14ac:dyDescent="0.2">
      <c r="G273" s="17" t="s">
        <v>10</v>
      </c>
      <c r="H273" s="17"/>
      <c r="I273" s="13"/>
      <c r="J273" s="13"/>
      <c r="K273" s="43"/>
      <c r="L273" s="43"/>
      <c r="M273" s="43"/>
      <c r="N273" s="43"/>
      <c r="O273" s="43"/>
      <c r="P273" s="43"/>
      <c r="Q273" s="43"/>
      <c r="R273" s="43"/>
      <c r="S273" s="43"/>
      <c r="T273" s="43"/>
      <c r="U273" s="43"/>
      <c r="V273" s="43"/>
      <c r="W273" s="43"/>
      <c r="X273" s="43"/>
      <c r="Y273" s="43"/>
      <c r="Z273" s="43"/>
      <c r="AA273" s="43"/>
      <c r="AB273" s="43"/>
      <c r="AC273" s="43"/>
      <c r="AD273" s="43"/>
      <c r="AE273" s="43"/>
      <c r="AF273" s="43"/>
      <c r="AG273" s="43"/>
      <c r="AH273" s="43"/>
      <c r="AI273" s="43"/>
      <c r="AJ273" s="43"/>
    </row>
    <row r="274" spans="7:36" ht="15" hidden="1" customHeight="1" x14ac:dyDescent="0.2">
      <c r="G274" s="17" t="s">
        <v>11</v>
      </c>
      <c r="H274" s="17"/>
      <c r="I274" s="13"/>
      <c r="J274" s="13"/>
      <c r="K274" s="43"/>
      <c r="L274" s="43"/>
      <c r="M274" s="43"/>
      <c r="N274" s="43"/>
      <c r="O274" s="43"/>
      <c r="P274" s="43"/>
      <c r="Q274" s="43"/>
      <c r="R274" s="43"/>
      <c r="S274" s="43"/>
      <c r="T274" s="43"/>
      <c r="U274" s="43"/>
      <c r="V274" s="43"/>
      <c r="W274" s="43"/>
      <c r="X274" s="43"/>
      <c r="Y274" s="43"/>
      <c r="Z274" s="43"/>
      <c r="AA274" s="43"/>
      <c r="AB274" s="43"/>
      <c r="AC274" s="43"/>
      <c r="AD274" s="43"/>
      <c r="AE274" s="43"/>
      <c r="AF274" s="43"/>
      <c r="AG274" s="43"/>
      <c r="AH274" s="43"/>
      <c r="AI274" s="43"/>
      <c r="AJ274" s="43"/>
    </row>
    <row r="275" spans="7:36" ht="15" hidden="1" customHeight="1" x14ac:dyDescent="0.2">
      <c r="G275" s="17" t="s">
        <v>12</v>
      </c>
      <c r="H275" s="17"/>
      <c r="I275" s="13"/>
      <c r="J275" s="13"/>
      <c r="K275" s="35">
        <f>K$263*K267</f>
        <v>0</v>
      </c>
      <c r="L275" s="35">
        <f t="shared" ref="L275:AI275" si="79">L$263*L267</f>
        <v>0</v>
      </c>
      <c r="M275" s="35">
        <f t="shared" si="79"/>
        <v>0</v>
      </c>
      <c r="N275" s="35">
        <f t="shared" si="79"/>
        <v>0</v>
      </c>
      <c r="O275" s="35">
        <f t="shared" si="79"/>
        <v>0</v>
      </c>
      <c r="P275" s="35">
        <f t="shared" si="79"/>
        <v>0</v>
      </c>
      <c r="Q275" s="35">
        <f t="shared" si="79"/>
        <v>0</v>
      </c>
      <c r="R275" s="35">
        <f t="shared" si="79"/>
        <v>0</v>
      </c>
      <c r="S275" s="35">
        <f t="shared" si="79"/>
        <v>0</v>
      </c>
      <c r="T275" s="35">
        <f t="shared" si="79"/>
        <v>0</v>
      </c>
      <c r="U275" s="35">
        <f t="shared" si="79"/>
        <v>0</v>
      </c>
      <c r="V275" s="35">
        <f t="shared" si="79"/>
        <v>0</v>
      </c>
      <c r="W275" s="35">
        <f t="shared" si="79"/>
        <v>0</v>
      </c>
      <c r="X275" s="35">
        <f t="shared" si="79"/>
        <v>0</v>
      </c>
      <c r="Y275" s="35">
        <f t="shared" si="79"/>
        <v>0</v>
      </c>
      <c r="Z275" s="35">
        <f t="shared" si="79"/>
        <v>0</v>
      </c>
      <c r="AA275" s="35">
        <f t="shared" si="79"/>
        <v>0</v>
      </c>
      <c r="AB275" s="35">
        <f t="shared" si="79"/>
        <v>0</v>
      </c>
      <c r="AC275" s="35">
        <f t="shared" si="79"/>
        <v>0</v>
      </c>
      <c r="AD275" s="35">
        <f t="shared" si="79"/>
        <v>0</v>
      </c>
      <c r="AE275" s="35">
        <f t="shared" si="79"/>
        <v>0</v>
      </c>
      <c r="AF275" s="35">
        <f t="shared" si="79"/>
        <v>0</v>
      </c>
      <c r="AG275" s="35">
        <f t="shared" si="79"/>
        <v>0</v>
      </c>
      <c r="AH275" s="35">
        <f t="shared" si="79"/>
        <v>0</v>
      </c>
      <c r="AI275" s="35">
        <f t="shared" si="79"/>
        <v>0</v>
      </c>
      <c r="AJ275" s="35">
        <f>AJ$263*AJ267</f>
        <v>0</v>
      </c>
    </row>
    <row r="276" spans="7:36" ht="15" hidden="1" customHeight="1" x14ac:dyDescent="0.2">
      <c r="G276" s="17" t="s">
        <v>13</v>
      </c>
      <c r="H276" s="17"/>
      <c r="I276" s="13"/>
      <c r="J276" s="13"/>
      <c r="K276" s="35">
        <f>K$88*K271</f>
        <v>0</v>
      </c>
      <c r="L276" s="35">
        <f t="shared" ref="L276:AJ276" si="80">L$88*L271</f>
        <v>0</v>
      </c>
      <c r="M276" s="35">
        <f t="shared" si="80"/>
        <v>0</v>
      </c>
      <c r="N276" s="35">
        <f t="shared" si="80"/>
        <v>0</v>
      </c>
      <c r="O276" s="35">
        <f t="shared" si="80"/>
        <v>0</v>
      </c>
      <c r="P276" s="35">
        <f t="shared" si="80"/>
        <v>0</v>
      </c>
      <c r="Q276" s="35">
        <f t="shared" si="80"/>
        <v>0</v>
      </c>
      <c r="R276" s="35">
        <f t="shared" si="80"/>
        <v>0</v>
      </c>
      <c r="S276" s="35">
        <f t="shared" si="80"/>
        <v>0</v>
      </c>
      <c r="T276" s="35">
        <f t="shared" si="80"/>
        <v>0</v>
      </c>
      <c r="U276" s="35">
        <f t="shared" si="80"/>
        <v>0</v>
      </c>
      <c r="V276" s="35">
        <f t="shared" si="80"/>
        <v>0</v>
      </c>
      <c r="W276" s="35">
        <f t="shared" si="80"/>
        <v>0</v>
      </c>
      <c r="X276" s="35">
        <f t="shared" si="80"/>
        <v>0</v>
      </c>
      <c r="Y276" s="35">
        <f t="shared" si="80"/>
        <v>0</v>
      </c>
      <c r="Z276" s="35">
        <f t="shared" si="80"/>
        <v>0</v>
      </c>
      <c r="AA276" s="35">
        <f t="shared" si="80"/>
        <v>0</v>
      </c>
      <c r="AB276" s="35">
        <f t="shared" si="80"/>
        <v>0</v>
      </c>
      <c r="AC276" s="35">
        <f t="shared" si="80"/>
        <v>0</v>
      </c>
      <c r="AD276" s="35">
        <f t="shared" si="80"/>
        <v>0</v>
      </c>
      <c r="AE276" s="35">
        <f t="shared" si="80"/>
        <v>0</v>
      </c>
      <c r="AF276" s="35">
        <f t="shared" si="80"/>
        <v>0</v>
      </c>
      <c r="AG276" s="35">
        <f t="shared" si="80"/>
        <v>0</v>
      </c>
      <c r="AH276" s="35">
        <f t="shared" si="80"/>
        <v>0</v>
      </c>
      <c r="AI276" s="35">
        <f t="shared" si="80"/>
        <v>0</v>
      </c>
      <c r="AJ276" s="35">
        <f t="shared" si="80"/>
        <v>0</v>
      </c>
    </row>
    <row r="277" spans="7:36" ht="15" hidden="1" customHeight="1" x14ac:dyDescent="0.2">
      <c r="G277" s="17"/>
      <c r="H277" s="17"/>
      <c r="I277" s="13"/>
      <c r="J277" s="13"/>
      <c r="K277" s="35"/>
      <c r="L277" s="35"/>
      <c r="M277" s="35"/>
      <c r="N277" s="35"/>
      <c r="O277" s="35"/>
      <c r="P277" s="35"/>
      <c r="Q277" s="35"/>
      <c r="R277" s="35"/>
      <c r="S277" s="35"/>
      <c r="T277" s="35"/>
      <c r="U277" s="35"/>
      <c r="V277" s="35"/>
      <c r="W277" s="35"/>
      <c r="X277" s="35"/>
      <c r="Y277" s="35"/>
      <c r="Z277" s="35"/>
      <c r="AA277" s="35"/>
      <c r="AB277" s="35"/>
      <c r="AC277" s="35"/>
      <c r="AD277" s="35"/>
      <c r="AE277" s="35"/>
      <c r="AF277" s="35"/>
      <c r="AG277" s="35"/>
      <c r="AH277" s="35"/>
      <c r="AI277" s="35"/>
      <c r="AJ277" s="35"/>
    </row>
    <row r="278" spans="7:36" ht="15" hidden="1" customHeight="1" x14ac:dyDescent="0.2">
      <c r="G278" s="17" t="s">
        <v>14</v>
      </c>
      <c r="H278" s="17"/>
      <c r="I278" s="13"/>
      <c r="J278" s="13"/>
      <c r="K278" s="35">
        <f>SUM(K273:K276)</f>
        <v>0</v>
      </c>
      <c r="L278" s="35">
        <f t="shared" ref="L278:AH278" si="81">SUM(L273:L276)</f>
        <v>0</v>
      </c>
      <c r="M278" s="35">
        <f t="shared" si="81"/>
        <v>0</v>
      </c>
      <c r="N278" s="35">
        <f t="shared" si="81"/>
        <v>0</v>
      </c>
      <c r="O278" s="35">
        <f t="shared" si="81"/>
        <v>0</v>
      </c>
      <c r="P278" s="35">
        <f t="shared" si="81"/>
        <v>0</v>
      </c>
      <c r="Q278" s="35">
        <f t="shared" si="81"/>
        <v>0</v>
      </c>
      <c r="R278" s="35">
        <f t="shared" si="81"/>
        <v>0</v>
      </c>
      <c r="S278" s="35">
        <f t="shared" si="81"/>
        <v>0</v>
      </c>
      <c r="T278" s="35">
        <f t="shared" si="81"/>
        <v>0</v>
      </c>
      <c r="U278" s="35">
        <f t="shared" si="81"/>
        <v>0</v>
      </c>
      <c r="V278" s="35">
        <f t="shared" si="81"/>
        <v>0</v>
      </c>
      <c r="W278" s="35">
        <f t="shared" si="81"/>
        <v>0</v>
      </c>
      <c r="X278" s="35">
        <f t="shared" si="81"/>
        <v>0</v>
      </c>
      <c r="Y278" s="35">
        <f t="shared" si="81"/>
        <v>0</v>
      </c>
      <c r="Z278" s="35">
        <f t="shared" si="81"/>
        <v>0</v>
      </c>
      <c r="AA278" s="35">
        <f t="shared" si="81"/>
        <v>0</v>
      </c>
      <c r="AB278" s="35">
        <f t="shared" si="81"/>
        <v>0</v>
      </c>
      <c r="AC278" s="35">
        <f t="shared" si="81"/>
        <v>0</v>
      </c>
      <c r="AD278" s="35">
        <f t="shared" si="81"/>
        <v>0</v>
      </c>
      <c r="AE278" s="35">
        <f t="shared" si="81"/>
        <v>0</v>
      </c>
      <c r="AF278" s="35">
        <f t="shared" si="81"/>
        <v>0</v>
      </c>
      <c r="AG278" s="35">
        <f t="shared" si="81"/>
        <v>0</v>
      </c>
      <c r="AH278" s="35">
        <f t="shared" si="81"/>
        <v>0</v>
      </c>
      <c r="AI278" s="35">
        <f>SUM(AI273:AI276)</f>
        <v>0</v>
      </c>
      <c r="AJ278" s="35">
        <f>SUM(AJ273:AJ276)</f>
        <v>0</v>
      </c>
    </row>
    <row r="279" spans="7:36" ht="15" hidden="1" customHeight="1" x14ac:dyDescent="0.2">
      <c r="G279" s="17" t="s">
        <v>435</v>
      </c>
      <c r="H279" s="17"/>
      <c r="I279" s="13"/>
      <c r="J279" s="13"/>
      <c r="K279" s="35">
        <f>K278</f>
        <v>0</v>
      </c>
      <c r="L279" s="35">
        <f t="shared" ref="L279:AI279" si="82">K279+L278</f>
        <v>0</v>
      </c>
      <c r="M279" s="35">
        <f t="shared" si="82"/>
        <v>0</v>
      </c>
      <c r="N279" s="35">
        <f t="shared" si="82"/>
        <v>0</v>
      </c>
      <c r="O279" s="35">
        <f t="shared" si="82"/>
        <v>0</v>
      </c>
      <c r="P279" s="35">
        <f t="shared" si="82"/>
        <v>0</v>
      </c>
      <c r="Q279" s="35">
        <f t="shared" si="82"/>
        <v>0</v>
      </c>
      <c r="R279" s="35">
        <f t="shared" si="82"/>
        <v>0</v>
      </c>
      <c r="S279" s="35">
        <f t="shared" si="82"/>
        <v>0</v>
      </c>
      <c r="T279" s="35">
        <f t="shared" si="82"/>
        <v>0</v>
      </c>
      <c r="U279" s="35">
        <f t="shared" si="82"/>
        <v>0</v>
      </c>
      <c r="V279" s="35">
        <f t="shared" si="82"/>
        <v>0</v>
      </c>
      <c r="W279" s="35">
        <f t="shared" si="82"/>
        <v>0</v>
      </c>
      <c r="X279" s="35">
        <f t="shared" si="82"/>
        <v>0</v>
      </c>
      <c r="Y279" s="35">
        <f t="shared" si="82"/>
        <v>0</v>
      </c>
      <c r="Z279" s="35">
        <f t="shared" si="82"/>
        <v>0</v>
      </c>
      <c r="AA279" s="35">
        <f t="shared" si="82"/>
        <v>0</v>
      </c>
      <c r="AB279" s="35">
        <f t="shared" si="82"/>
        <v>0</v>
      </c>
      <c r="AC279" s="35">
        <f t="shared" si="82"/>
        <v>0</v>
      </c>
      <c r="AD279" s="35">
        <f t="shared" si="82"/>
        <v>0</v>
      </c>
      <c r="AE279" s="35">
        <f t="shared" si="82"/>
        <v>0</v>
      </c>
      <c r="AF279" s="35">
        <f t="shared" si="82"/>
        <v>0</v>
      </c>
      <c r="AG279" s="35">
        <f t="shared" si="82"/>
        <v>0</v>
      </c>
      <c r="AH279" s="35">
        <f t="shared" si="82"/>
        <v>0</v>
      </c>
      <c r="AI279" s="35">
        <f t="shared" si="82"/>
        <v>0</v>
      </c>
      <c r="AJ279" s="35">
        <f>AI279+AJ278</f>
        <v>0</v>
      </c>
    </row>
    <row r="280" spans="7:36" ht="15" hidden="1" customHeight="1" x14ac:dyDescent="0.2">
      <c r="G280" s="17"/>
      <c r="H280" s="17"/>
      <c r="I280" s="13"/>
      <c r="J280" s="13"/>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row>
    <row r="281" spans="7:36" ht="15" hidden="1" customHeight="1" x14ac:dyDescent="0.2">
      <c r="G281" s="17" t="s">
        <v>17</v>
      </c>
      <c r="H281" s="17"/>
      <c r="I281" s="13"/>
      <c r="J281" s="13"/>
      <c r="K281" s="35">
        <f>K278/(((Data!$P$186/100)+1)^K$70)</f>
        <v>0</v>
      </c>
      <c r="L281" s="35">
        <f>L278/(((Data!$P$186/100)+1)^L$70)</f>
        <v>0</v>
      </c>
      <c r="M281" s="35">
        <f>M278/(((Data!$P$186/100)+1)^M$70)</f>
        <v>0</v>
      </c>
      <c r="N281" s="35">
        <f>N278/(((Data!$P$186/100)+1)^N$70)</f>
        <v>0</v>
      </c>
      <c r="O281" s="35">
        <f>O278/(((Data!$P$186/100)+1)^O$70)</f>
        <v>0</v>
      </c>
      <c r="P281" s="35">
        <f>P278/(((Data!$P$186/100)+1)^P$70)</f>
        <v>0</v>
      </c>
      <c r="Q281" s="35">
        <f>Q278/(((Data!$P$186/100)+1)^Q$70)</f>
        <v>0</v>
      </c>
      <c r="R281" s="35">
        <f>R278/(((Data!$P$186/100)+1)^R$70)</f>
        <v>0</v>
      </c>
      <c r="S281" s="35">
        <f>S278/(((Data!$P$186/100)+1)^S$70)</f>
        <v>0</v>
      </c>
      <c r="T281" s="35">
        <f>T278/(((Data!$P$186/100)+1)^T$70)</f>
        <v>0</v>
      </c>
      <c r="U281" s="35">
        <f>U278/(((Data!$P$186/100)+1)^U$70)</f>
        <v>0</v>
      </c>
      <c r="V281" s="35">
        <f>V278/(((Data!$P$186/100)+1)^V$70)</f>
        <v>0</v>
      </c>
      <c r="W281" s="35">
        <f>W278/(((Data!$P$186/100)+1)^W$70)</f>
        <v>0</v>
      </c>
      <c r="X281" s="35">
        <f>X278/(((Data!$P$186/100)+1)^X$70)</f>
        <v>0</v>
      </c>
      <c r="Y281" s="35">
        <f>Y278/(((Data!$P$186/100)+1)^Y$70)</f>
        <v>0</v>
      </c>
      <c r="Z281" s="35">
        <f>Z278/(((Data!$P$186/100)+1)^Z$70)</f>
        <v>0</v>
      </c>
      <c r="AA281" s="35">
        <f>AA278/(((Data!$P$186/100)+1)^AA$70)</f>
        <v>0</v>
      </c>
      <c r="AB281" s="35">
        <f>AB278/(((Data!$P$186/100)+1)^AB$70)</f>
        <v>0</v>
      </c>
      <c r="AC281" s="35">
        <f>AC278/(((Data!$P$186/100)+1)^AC$70)</f>
        <v>0</v>
      </c>
      <c r="AD281" s="35">
        <f>AD278/(((Data!$P$186/100)+1)^AD$70)</f>
        <v>0</v>
      </c>
      <c r="AE281" s="35">
        <f>AE278/(((Data!$P$186/100)+1)^AE$70)</f>
        <v>0</v>
      </c>
      <c r="AF281" s="35">
        <f>AF278/(((Data!$P$186/100)+1)^AF$70)</f>
        <v>0</v>
      </c>
      <c r="AG281" s="35">
        <f>AG278/(((Data!$P$186/100)+1)^AG$70)</f>
        <v>0</v>
      </c>
      <c r="AH281" s="35">
        <f>AH278/(((Data!$P$186/100)+1)^AH$70)</f>
        <v>0</v>
      </c>
      <c r="AI281" s="35">
        <f>AI278/(((Data!$P$186/100)+1)^AI$70)</f>
        <v>0</v>
      </c>
      <c r="AJ281" s="35">
        <f>AJ278/(((Data!$P$186/100)+1)^AJ$70)</f>
        <v>0</v>
      </c>
    </row>
    <row r="282" spans="7:36" ht="15" hidden="1" customHeight="1" x14ac:dyDescent="0.2">
      <c r="G282" s="15" t="s">
        <v>184</v>
      </c>
      <c r="H282" s="15"/>
      <c r="I282" s="13"/>
      <c r="J282" s="13"/>
      <c r="K282" s="36">
        <f>K281</f>
        <v>0</v>
      </c>
      <c r="L282" s="36">
        <f t="shared" ref="L282:AJ282" si="83">K282+L281</f>
        <v>0</v>
      </c>
      <c r="M282" s="36">
        <f t="shared" si="83"/>
        <v>0</v>
      </c>
      <c r="N282" s="36">
        <f t="shared" si="83"/>
        <v>0</v>
      </c>
      <c r="O282" s="36">
        <f t="shared" si="83"/>
        <v>0</v>
      </c>
      <c r="P282" s="36">
        <f t="shared" si="83"/>
        <v>0</v>
      </c>
      <c r="Q282" s="36">
        <f t="shared" si="83"/>
        <v>0</v>
      </c>
      <c r="R282" s="36">
        <f t="shared" si="83"/>
        <v>0</v>
      </c>
      <c r="S282" s="36">
        <f t="shared" si="83"/>
        <v>0</v>
      </c>
      <c r="T282" s="36">
        <f t="shared" si="83"/>
        <v>0</v>
      </c>
      <c r="U282" s="36">
        <f t="shared" si="83"/>
        <v>0</v>
      </c>
      <c r="V282" s="36">
        <f t="shared" si="83"/>
        <v>0</v>
      </c>
      <c r="W282" s="36">
        <f t="shared" si="83"/>
        <v>0</v>
      </c>
      <c r="X282" s="36">
        <f t="shared" si="83"/>
        <v>0</v>
      </c>
      <c r="Y282" s="36">
        <f t="shared" si="83"/>
        <v>0</v>
      </c>
      <c r="Z282" s="36">
        <f t="shared" si="83"/>
        <v>0</v>
      </c>
      <c r="AA282" s="36">
        <f t="shared" si="83"/>
        <v>0</v>
      </c>
      <c r="AB282" s="36">
        <f t="shared" si="83"/>
        <v>0</v>
      </c>
      <c r="AC282" s="36">
        <f t="shared" si="83"/>
        <v>0</v>
      </c>
      <c r="AD282" s="36">
        <f t="shared" si="83"/>
        <v>0</v>
      </c>
      <c r="AE282" s="36">
        <f t="shared" si="83"/>
        <v>0</v>
      </c>
      <c r="AF282" s="36">
        <f t="shared" si="83"/>
        <v>0</v>
      </c>
      <c r="AG282" s="36">
        <f t="shared" si="83"/>
        <v>0</v>
      </c>
      <c r="AH282" s="36">
        <f t="shared" si="83"/>
        <v>0</v>
      </c>
      <c r="AI282" s="36">
        <f t="shared" si="83"/>
        <v>0</v>
      </c>
      <c r="AJ282" s="36">
        <f t="shared" si="83"/>
        <v>0</v>
      </c>
    </row>
    <row r="283" spans="7:36" ht="15" hidden="1" customHeight="1" x14ac:dyDescent="0.2">
      <c r="G283" s="8"/>
      <c r="H283" s="8"/>
      <c r="I283" s="8"/>
      <c r="J283" s="8"/>
      <c r="K283" s="8"/>
      <c r="L283" s="8"/>
      <c r="M283" s="8"/>
      <c r="N283" s="8"/>
      <c r="O283" s="8"/>
      <c r="P283" s="8"/>
      <c r="Q283" s="8"/>
      <c r="R283" s="8"/>
      <c r="S283" s="8"/>
      <c r="T283" s="9"/>
      <c r="U283" s="8"/>
      <c r="V283" s="8"/>
      <c r="W283" s="8"/>
      <c r="X283" s="8"/>
      <c r="Y283" s="8"/>
      <c r="Z283" s="8"/>
      <c r="AA283" s="8"/>
      <c r="AB283" s="8"/>
      <c r="AC283" s="8"/>
      <c r="AD283" s="8"/>
      <c r="AE283" s="8"/>
      <c r="AF283" s="8"/>
      <c r="AG283" s="8"/>
      <c r="AH283" s="8"/>
      <c r="AI283" s="8"/>
      <c r="AJ283" s="8"/>
    </row>
    <row r="284" spans="7:36" ht="15" hidden="1" customHeight="1" x14ac:dyDescent="0.2">
      <c r="G284" s="906" t="s">
        <v>515</v>
      </c>
      <c r="H284" s="839"/>
      <c r="I284" s="839"/>
      <c r="J284" s="839"/>
      <c r="K284" s="917"/>
      <c r="L284" s="917"/>
      <c r="M284" s="917"/>
      <c r="N284" s="917"/>
      <c r="O284" s="917"/>
      <c r="P284" s="917"/>
      <c r="Q284" s="917"/>
      <c r="R284" s="917"/>
      <c r="S284" s="917"/>
      <c r="T284" s="917"/>
      <c r="U284" s="917"/>
      <c r="V284" s="917"/>
      <c r="W284" s="917"/>
      <c r="X284" s="917"/>
      <c r="Y284" s="917"/>
      <c r="Z284" s="917"/>
      <c r="AA284" s="917"/>
      <c r="AB284" s="917"/>
      <c r="AC284" s="917"/>
      <c r="AD284" s="917"/>
      <c r="AE284" s="917"/>
      <c r="AF284" s="917"/>
      <c r="AG284" s="917"/>
      <c r="AH284" s="917"/>
      <c r="AI284" s="917"/>
      <c r="AJ284" s="917"/>
    </row>
    <row r="285" spans="7:36" ht="15" hidden="1" customHeight="1" x14ac:dyDescent="0.2">
      <c r="G285" s="839"/>
      <c r="H285" s="839"/>
      <c r="I285" s="839"/>
      <c r="J285" s="839"/>
      <c r="K285" s="917"/>
      <c r="L285" s="917"/>
      <c r="M285" s="917"/>
      <c r="N285" s="917"/>
      <c r="O285" s="917"/>
      <c r="P285" s="917"/>
      <c r="Q285" s="917"/>
      <c r="R285" s="917"/>
      <c r="S285" s="917"/>
      <c r="T285" s="917"/>
      <c r="U285" s="917"/>
      <c r="V285" s="917"/>
      <c r="W285" s="917"/>
      <c r="X285" s="917"/>
      <c r="Y285" s="917"/>
      <c r="Z285" s="917"/>
      <c r="AA285" s="917"/>
      <c r="AB285" s="917"/>
      <c r="AC285" s="917"/>
      <c r="AD285" s="917"/>
      <c r="AE285" s="917"/>
      <c r="AF285" s="917"/>
      <c r="AG285" s="917"/>
      <c r="AH285" s="917"/>
      <c r="AI285" s="917"/>
      <c r="AJ285" s="917"/>
    </row>
    <row r="286" spans="7:36" ht="15" hidden="1" customHeight="1" x14ac:dyDescent="0.2">
      <c r="G286" s="839" t="s">
        <v>2</v>
      </c>
      <c r="H286" s="864"/>
      <c r="I286" s="864"/>
      <c r="J286" s="864"/>
      <c r="K286" s="925">
        <f>K$79</f>
        <v>0.19338</v>
      </c>
      <c r="L286" s="925">
        <f t="shared" ref="L286:AJ286" si="84">L$79</f>
        <v>0.18757859999999998</v>
      </c>
      <c r="M286" s="925">
        <f t="shared" si="84"/>
        <v>0.18195124199999999</v>
      </c>
      <c r="N286" s="925">
        <f t="shared" si="84"/>
        <v>0.17649270473999998</v>
      </c>
      <c r="O286" s="925">
        <f t="shared" si="84"/>
        <v>0.17119792359779998</v>
      </c>
      <c r="P286" s="925">
        <f t="shared" si="84"/>
        <v>0.16606198588986598</v>
      </c>
      <c r="Q286" s="925">
        <f t="shared" si="84"/>
        <v>0.16108012631317001</v>
      </c>
      <c r="R286" s="925">
        <f t="shared" si="84"/>
        <v>0.15624772252377489</v>
      </c>
      <c r="S286" s="925">
        <f t="shared" si="84"/>
        <v>0.15156029084806164</v>
      </c>
      <c r="T286" s="925">
        <f t="shared" si="84"/>
        <v>0.14701348212261978</v>
      </c>
      <c r="U286" s="925">
        <f t="shared" si="84"/>
        <v>0.14260307765894117</v>
      </c>
      <c r="V286" s="925">
        <f t="shared" si="84"/>
        <v>0.13832498532917292</v>
      </c>
      <c r="W286" s="925">
        <f t="shared" si="84"/>
        <v>0.13417523576929774</v>
      </c>
      <c r="X286" s="925">
        <f t="shared" si="84"/>
        <v>0.1301499786962188</v>
      </c>
      <c r="Y286" s="925">
        <f t="shared" si="84"/>
        <v>0.12624547933533223</v>
      </c>
      <c r="Z286" s="925">
        <f t="shared" si="84"/>
        <v>0.12245811495527226</v>
      </c>
      <c r="AA286" s="925">
        <f t="shared" si="84"/>
        <v>0.11878437150661408</v>
      </c>
      <c r="AB286" s="925">
        <f t="shared" si="84"/>
        <v>0.11522084036141565</v>
      </c>
      <c r="AC286" s="925">
        <f t="shared" si="84"/>
        <v>0.11176421515057318</v>
      </c>
      <c r="AD286" s="925">
        <f t="shared" si="84"/>
        <v>0.10841128869605599</v>
      </c>
      <c r="AE286" s="925">
        <f t="shared" si="84"/>
        <v>0.10515895003517431</v>
      </c>
      <c r="AF286" s="925">
        <f t="shared" si="84"/>
        <v>0.10200418153411908</v>
      </c>
      <c r="AG286" s="925">
        <f t="shared" si="84"/>
        <v>9.8944056088095506E-2</v>
      </c>
      <c r="AH286" s="925">
        <f t="shared" si="84"/>
        <v>9.5975734405452637E-2</v>
      </c>
      <c r="AI286" s="925">
        <f t="shared" si="84"/>
        <v>9.3096462373289057E-2</v>
      </c>
      <c r="AJ286" s="925">
        <f t="shared" si="84"/>
        <v>9.0303568502090384E-2</v>
      </c>
    </row>
    <row r="287" spans="7:36" ht="15" hidden="1" customHeight="1" x14ac:dyDescent="0.2">
      <c r="G287" s="839" t="s">
        <v>1</v>
      </c>
      <c r="H287" s="864"/>
      <c r="I287" s="864"/>
      <c r="J287" s="864"/>
      <c r="K287" s="925">
        <f>K$85</f>
        <v>0.31</v>
      </c>
      <c r="L287" s="925">
        <f t="shared" ref="L287:AJ287" si="85">L$85</f>
        <v>0.34100000000000003</v>
      </c>
      <c r="M287" s="925">
        <f t="shared" si="85"/>
        <v>0.37510000000000004</v>
      </c>
      <c r="N287" s="925">
        <f t="shared" si="85"/>
        <v>0.41261000000000009</v>
      </c>
      <c r="O287" s="925">
        <f t="shared" si="85"/>
        <v>0.45387100000000014</v>
      </c>
      <c r="P287" s="925">
        <f t="shared" si="85"/>
        <v>0.4992581000000002</v>
      </c>
      <c r="Q287" s="925">
        <f t="shared" si="85"/>
        <v>0.54918391000000022</v>
      </c>
      <c r="R287" s="925">
        <f t="shared" si="85"/>
        <v>0.60410230100000029</v>
      </c>
      <c r="S287" s="925">
        <f t="shared" si="85"/>
        <v>0.66451253110000041</v>
      </c>
      <c r="T287" s="925">
        <f t="shared" si="85"/>
        <v>0.73096378421000052</v>
      </c>
      <c r="U287" s="925">
        <f t="shared" si="85"/>
        <v>0.80406016263100066</v>
      </c>
      <c r="V287" s="925">
        <f t="shared" si="85"/>
        <v>0.88446617889410084</v>
      </c>
      <c r="W287" s="925">
        <f t="shared" si="85"/>
        <v>0.97291279678351106</v>
      </c>
      <c r="X287" s="925">
        <f t="shared" si="85"/>
        <v>1.0702040764618623</v>
      </c>
      <c r="Y287" s="925">
        <f t="shared" si="85"/>
        <v>1.1772244841080486</v>
      </c>
      <c r="Z287" s="925">
        <f t="shared" si="85"/>
        <v>1.2949469325188536</v>
      </c>
      <c r="AA287" s="925">
        <f t="shared" si="85"/>
        <v>1.4244416257707391</v>
      </c>
      <c r="AB287" s="925">
        <f t="shared" si="85"/>
        <v>1.5668857883478131</v>
      </c>
      <c r="AC287" s="925">
        <f t="shared" si="85"/>
        <v>1.7235743671825945</v>
      </c>
      <c r="AD287" s="925">
        <f t="shared" si="85"/>
        <v>1.8959318039008541</v>
      </c>
      <c r="AE287" s="925">
        <f t="shared" si="85"/>
        <v>2.0855249842909398</v>
      </c>
      <c r="AF287" s="925">
        <f t="shared" si="85"/>
        <v>2.2940774827200339</v>
      </c>
      <c r="AG287" s="925">
        <f t="shared" si="85"/>
        <v>2.5234852309920375</v>
      </c>
      <c r="AH287" s="925">
        <f t="shared" si="85"/>
        <v>2.7758337540912414</v>
      </c>
      <c r="AI287" s="925">
        <f t="shared" si="85"/>
        <v>3.053417129500366</v>
      </c>
      <c r="AJ287" s="925">
        <f t="shared" si="85"/>
        <v>3.3587588424504031</v>
      </c>
    </row>
    <row r="288" spans="7:36" ht="15" hidden="1" customHeight="1" x14ac:dyDescent="0.2">
      <c r="G288" s="864"/>
      <c r="H288" s="864"/>
      <c r="I288" s="864"/>
      <c r="J288" s="864"/>
      <c r="K288" s="864"/>
      <c r="L288" s="864"/>
      <c r="M288" s="864"/>
      <c r="N288" s="864"/>
      <c r="O288" s="864"/>
      <c r="P288" s="864"/>
      <c r="Q288" s="864"/>
      <c r="R288" s="864"/>
      <c r="S288" s="864"/>
      <c r="T288" s="864"/>
      <c r="U288" s="864"/>
      <c r="V288" s="864"/>
      <c r="W288" s="864"/>
      <c r="X288" s="864"/>
      <c r="Y288" s="864"/>
      <c r="Z288" s="864"/>
      <c r="AA288" s="864"/>
      <c r="AB288" s="864"/>
      <c r="AC288" s="864"/>
      <c r="AD288" s="864"/>
      <c r="AE288" s="864"/>
      <c r="AF288" s="864"/>
      <c r="AG288" s="864"/>
      <c r="AH288" s="864"/>
      <c r="AI288" s="864"/>
      <c r="AJ288" s="864"/>
    </row>
    <row r="289" spans="7:36" ht="15" hidden="1" customHeight="1" x14ac:dyDescent="0.2">
      <c r="G289" s="839" t="s">
        <v>4</v>
      </c>
      <c r="H289" s="839"/>
      <c r="I289" s="839"/>
      <c r="J289" s="839"/>
      <c r="K289" s="920"/>
      <c r="L289" s="920"/>
      <c r="M289" s="920"/>
      <c r="N289" s="920"/>
      <c r="O289" s="920"/>
      <c r="P289" s="920"/>
      <c r="Q289" s="920"/>
      <c r="R289" s="920"/>
      <c r="S289" s="920"/>
      <c r="T289" s="920"/>
      <c r="U289" s="920"/>
      <c r="V289" s="920"/>
      <c r="W289" s="920"/>
      <c r="X289" s="920"/>
      <c r="Y289" s="920"/>
      <c r="Z289" s="920"/>
      <c r="AA289" s="920"/>
      <c r="AB289" s="920"/>
      <c r="AC289" s="920"/>
      <c r="AD289" s="920"/>
      <c r="AE289" s="920"/>
      <c r="AF289" s="920"/>
      <c r="AG289" s="920"/>
      <c r="AH289" s="920"/>
      <c r="AI289" s="920"/>
      <c r="AJ289" s="920"/>
    </row>
    <row r="290" spans="7:36" ht="15" hidden="1" customHeight="1" x14ac:dyDescent="0.2">
      <c r="G290" s="839" t="s">
        <v>5</v>
      </c>
      <c r="H290" s="839"/>
      <c r="I290" s="839"/>
      <c r="J290" s="839"/>
      <c r="K290" s="920"/>
      <c r="L290" s="920"/>
      <c r="M290" s="920"/>
      <c r="N290" s="920"/>
      <c r="O290" s="920"/>
      <c r="P290" s="920"/>
      <c r="Q290" s="920"/>
      <c r="R290" s="920"/>
      <c r="S290" s="920"/>
      <c r="T290" s="920"/>
      <c r="U290" s="920"/>
      <c r="V290" s="920"/>
      <c r="W290" s="920"/>
      <c r="X290" s="920"/>
      <c r="Y290" s="920"/>
      <c r="Z290" s="920"/>
      <c r="AA290" s="920"/>
      <c r="AB290" s="920"/>
      <c r="AC290" s="920"/>
      <c r="AD290" s="920"/>
      <c r="AE290" s="920"/>
      <c r="AF290" s="920"/>
      <c r="AG290" s="920"/>
      <c r="AH290" s="920"/>
      <c r="AI290" s="920"/>
      <c r="AJ290" s="920"/>
    </row>
    <row r="291" spans="7:36" ht="15" hidden="1" customHeight="1" x14ac:dyDescent="0.2">
      <c r="G291" s="839" t="s">
        <v>6</v>
      </c>
      <c r="H291" s="839"/>
      <c r="I291" s="839"/>
      <c r="J291" s="839"/>
      <c r="K291" s="917">
        <f>IF(K$70&lt;$AC$41,$J$29+$J$33,$AB$29+$AB$33)</f>
        <v>0</v>
      </c>
      <c r="L291" s="917">
        <f t="shared" ref="L291:AJ291" si="86">IF(L$70&lt;$AC$41,$J$29+$J$33,$AB$29+$AB$33)</f>
        <v>0</v>
      </c>
      <c r="M291" s="917">
        <f t="shared" si="86"/>
        <v>0</v>
      </c>
      <c r="N291" s="917">
        <f t="shared" si="86"/>
        <v>0</v>
      </c>
      <c r="O291" s="917">
        <f t="shared" si="86"/>
        <v>0</v>
      </c>
      <c r="P291" s="917">
        <f t="shared" si="86"/>
        <v>0</v>
      </c>
      <c r="Q291" s="917">
        <f t="shared" si="86"/>
        <v>0</v>
      </c>
      <c r="R291" s="917">
        <f t="shared" si="86"/>
        <v>0</v>
      </c>
      <c r="S291" s="917">
        <f t="shared" si="86"/>
        <v>0</v>
      </c>
      <c r="T291" s="917">
        <f t="shared" si="86"/>
        <v>0</v>
      </c>
      <c r="U291" s="917">
        <f t="shared" si="86"/>
        <v>0</v>
      </c>
      <c r="V291" s="917">
        <f t="shared" si="86"/>
        <v>0</v>
      </c>
      <c r="W291" s="917">
        <f t="shared" si="86"/>
        <v>0</v>
      </c>
      <c r="X291" s="917">
        <f t="shared" si="86"/>
        <v>0</v>
      </c>
      <c r="Y291" s="917">
        <f t="shared" si="86"/>
        <v>0</v>
      </c>
      <c r="Z291" s="917">
        <f t="shared" si="86"/>
        <v>0</v>
      </c>
      <c r="AA291" s="917">
        <f t="shared" si="86"/>
        <v>0</v>
      </c>
      <c r="AB291" s="917">
        <f t="shared" si="86"/>
        <v>0</v>
      </c>
      <c r="AC291" s="917">
        <f t="shared" si="86"/>
        <v>0</v>
      </c>
      <c r="AD291" s="917">
        <f t="shared" si="86"/>
        <v>0</v>
      </c>
      <c r="AE291" s="917">
        <f t="shared" si="86"/>
        <v>0</v>
      </c>
      <c r="AF291" s="917">
        <f t="shared" si="86"/>
        <v>0</v>
      </c>
      <c r="AG291" s="917">
        <f t="shared" si="86"/>
        <v>0</v>
      </c>
      <c r="AH291" s="917">
        <f t="shared" si="86"/>
        <v>0</v>
      </c>
      <c r="AI291" s="917">
        <f t="shared" si="86"/>
        <v>0</v>
      </c>
      <c r="AJ291" s="917">
        <f t="shared" si="86"/>
        <v>0</v>
      </c>
    </row>
    <row r="292" spans="7:36" ht="15" hidden="1" customHeight="1" x14ac:dyDescent="0.2">
      <c r="G292" s="839"/>
      <c r="H292" s="839"/>
      <c r="I292" s="839"/>
      <c r="J292" s="839"/>
      <c r="K292" s="917"/>
      <c r="L292" s="917"/>
      <c r="M292" s="917"/>
      <c r="N292" s="917"/>
      <c r="O292" s="917"/>
      <c r="P292" s="917"/>
      <c r="Q292" s="917"/>
      <c r="R292" s="917"/>
      <c r="S292" s="917"/>
      <c r="T292" s="917"/>
      <c r="U292" s="917"/>
      <c r="V292" s="917"/>
      <c r="W292" s="917"/>
      <c r="X292" s="917"/>
      <c r="Y292" s="917"/>
      <c r="Z292" s="917"/>
      <c r="AA292" s="917"/>
      <c r="AB292" s="917"/>
      <c r="AC292" s="917"/>
      <c r="AD292" s="917"/>
      <c r="AE292" s="917"/>
      <c r="AF292" s="917"/>
      <c r="AG292" s="917"/>
      <c r="AH292" s="917"/>
      <c r="AI292" s="917"/>
      <c r="AJ292" s="917"/>
    </row>
    <row r="293" spans="7:36" ht="15" hidden="1" customHeight="1" x14ac:dyDescent="0.2">
      <c r="G293" s="839" t="s">
        <v>7</v>
      </c>
      <c r="H293" s="839"/>
      <c r="I293" s="839"/>
      <c r="J293" s="839"/>
      <c r="K293" s="920"/>
      <c r="L293" s="920"/>
      <c r="M293" s="920"/>
      <c r="N293" s="920"/>
      <c r="O293" s="920"/>
      <c r="P293" s="920"/>
      <c r="Q293" s="920"/>
      <c r="R293" s="920"/>
      <c r="S293" s="920"/>
      <c r="T293" s="920"/>
      <c r="U293" s="920"/>
      <c r="V293" s="920"/>
      <c r="W293" s="920"/>
      <c r="X293" s="920"/>
      <c r="Y293" s="920"/>
      <c r="Z293" s="920"/>
      <c r="AA293" s="920"/>
      <c r="AB293" s="920"/>
      <c r="AC293" s="920"/>
      <c r="AD293" s="920"/>
      <c r="AE293" s="920"/>
      <c r="AF293" s="920"/>
      <c r="AG293" s="920"/>
      <c r="AH293" s="920"/>
      <c r="AI293" s="920"/>
      <c r="AJ293" s="920"/>
    </row>
    <row r="294" spans="7:36" ht="15" hidden="1" customHeight="1" x14ac:dyDescent="0.2">
      <c r="G294" s="839" t="s">
        <v>8</v>
      </c>
      <c r="H294" s="839"/>
      <c r="I294" s="839"/>
      <c r="J294" s="839"/>
      <c r="K294" s="920"/>
      <c r="L294" s="920"/>
      <c r="M294" s="920"/>
      <c r="N294" s="920"/>
      <c r="O294" s="920"/>
      <c r="P294" s="920"/>
      <c r="Q294" s="920"/>
      <c r="R294" s="920"/>
      <c r="S294" s="920"/>
      <c r="T294" s="920"/>
      <c r="U294" s="920"/>
      <c r="V294" s="920"/>
      <c r="W294" s="920"/>
      <c r="X294" s="920"/>
      <c r="Y294" s="920"/>
      <c r="Z294" s="920"/>
      <c r="AA294" s="920"/>
      <c r="AB294" s="920"/>
      <c r="AC294" s="920"/>
      <c r="AD294" s="920"/>
      <c r="AE294" s="920"/>
      <c r="AF294" s="920"/>
      <c r="AG294" s="920"/>
      <c r="AH294" s="920"/>
      <c r="AI294" s="920"/>
      <c r="AJ294" s="920"/>
    </row>
    <row r="295" spans="7:36" ht="15" hidden="1" customHeight="1" x14ac:dyDescent="0.2">
      <c r="G295" s="839" t="s">
        <v>9</v>
      </c>
      <c r="H295" s="839"/>
      <c r="I295" s="839"/>
      <c r="J295" s="839"/>
      <c r="K295" s="917">
        <f>K$286*K291</f>
        <v>0</v>
      </c>
      <c r="L295" s="917">
        <f t="shared" ref="L295:AI295" si="87">L$286*L291</f>
        <v>0</v>
      </c>
      <c r="M295" s="917">
        <f t="shared" si="87"/>
        <v>0</v>
      </c>
      <c r="N295" s="917">
        <f t="shared" si="87"/>
        <v>0</v>
      </c>
      <c r="O295" s="917">
        <f t="shared" si="87"/>
        <v>0</v>
      </c>
      <c r="P295" s="917">
        <f t="shared" si="87"/>
        <v>0</v>
      </c>
      <c r="Q295" s="917">
        <f t="shared" si="87"/>
        <v>0</v>
      </c>
      <c r="R295" s="917">
        <f t="shared" si="87"/>
        <v>0</v>
      </c>
      <c r="S295" s="917">
        <f t="shared" si="87"/>
        <v>0</v>
      </c>
      <c r="T295" s="917">
        <f t="shared" si="87"/>
        <v>0</v>
      </c>
      <c r="U295" s="917">
        <f t="shared" si="87"/>
        <v>0</v>
      </c>
      <c r="V295" s="917">
        <f t="shared" si="87"/>
        <v>0</v>
      </c>
      <c r="W295" s="917">
        <f t="shared" si="87"/>
        <v>0</v>
      </c>
      <c r="X295" s="917">
        <f t="shared" si="87"/>
        <v>0</v>
      </c>
      <c r="Y295" s="917">
        <f t="shared" si="87"/>
        <v>0</v>
      </c>
      <c r="Z295" s="917">
        <f t="shared" si="87"/>
        <v>0</v>
      </c>
      <c r="AA295" s="917">
        <f t="shared" si="87"/>
        <v>0</v>
      </c>
      <c r="AB295" s="917">
        <f t="shared" si="87"/>
        <v>0</v>
      </c>
      <c r="AC295" s="917">
        <f t="shared" si="87"/>
        <v>0</v>
      </c>
      <c r="AD295" s="917">
        <f t="shared" si="87"/>
        <v>0</v>
      </c>
      <c r="AE295" s="917">
        <f t="shared" si="87"/>
        <v>0</v>
      </c>
      <c r="AF295" s="917">
        <f t="shared" si="87"/>
        <v>0</v>
      </c>
      <c r="AG295" s="917">
        <f t="shared" si="87"/>
        <v>0</v>
      </c>
      <c r="AH295" s="917">
        <f t="shared" si="87"/>
        <v>0</v>
      </c>
      <c r="AI295" s="917">
        <f t="shared" si="87"/>
        <v>0</v>
      </c>
      <c r="AJ295" s="917">
        <f>AJ$286*AJ291</f>
        <v>0</v>
      </c>
    </row>
    <row r="296" spans="7:36" ht="15" hidden="1" customHeight="1" x14ac:dyDescent="0.2">
      <c r="G296" s="839"/>
      <c r="H296" s="839"/>
      <c r="I296" s="839"/>
      <c r="J296" s="839"/>
      <c r="K296" s="917"/>
      <c r="L296" s="917"/>
      <c r="M296" s="917"/>
      <c r="N296" s="917"/>
      <c r="O296" s="917"/>
      <c r="P296" s="917"/>
      <c r="Q296" s="917"/>
      <c r="R296" s="917"/>
      <c r="S296" s="917"/>
      <c r="T296" s="917"/>
      <c r="U296" s="917"/>
      <c r="V296" s="917"/>
      <c r="W296" s="917"/>
      <c r="X296" s="917"/>
      <c r="Y296" s="917"/>
      <c r="Z296" s="917"/>
      <c r="AA296" s="917"/>
      <c r="AB296" s="917"/>
      <c r="AC296" s="917"/>
      <c r="AD296" s="917"/>
      <c r="AE296" s="917"/>
      <c r="AF296" s="917"/>
      <c r="AG296" s="917"/>
      <c r="AH296" s="917"/>
      <c r="AI296" s="917"/>
      <c r="AJ296" s="917"/>
    </row>
    <row r="297" spans="7:36" ht="15" hidden="1" customHeight="1" x14ac:dyDescent="0.2">
      <c r="G297" s="839" t="s">
        <v>10</v>
      </c>
      <c r="H297" s="839"/>
      <c r="I297" s="839"/>
      <c r="J297" s="839"/>
      <c r="K297" s="920"/>
      <c r="L297" s="920"/>
      <c r="M297" s="920"/>
      <c r="N297" s="920"/>
      <c r="O297" s="920"/>
      <c r="P297" s="920"/>
      <c r="Q297" s="920"/>
      <c r="R297" s="920"/>
      <c r="S297" s="920"/>
      <c r="T297" s="920"/>
      <c r="U297" s="920"/>
      <c r="V297" s="920"/>
      <c r="W297" s="920"/>
      <c r="X297" s="920"/>
      <c r="Y297" s="920"/>
      <c r="Z297" s="920"/>
      <c r="AA297" s="920"/>
      <c r="AB297" s="920"/>
      <c r="AC297" s="920"/>
      <c r="AD297" s="920"/>
      <c r="AE297" s="920"/>
      <c r="AF297" s="920"/>
      <c r="AG297" s="920"/>
      <c r="AH297" s="920"/>
      <c r="AI297" s="920"/>
      <c r="AJ297" s="920"/>
    </row>
    <row r="298" spans="7:36" ht="15" hidden="1" customHeight="1" x14ac:dyDescent="0.2">
      <c r="G298" s="839" t="s">
        <v>11</v>
      </c>
      <c r="H298" s="839"/>
      <c r="I298" s="839"/>
      <c r="J298" s="839"/>
      <c r="K298" s="920"/>
      <c r="L298" s="920"/>
      <c r="M298" s="920"/>
      <c r="N298" s="920"/>
      <c r="O298" s="920"/>
      <c r="P298" s="920"/>
      <c r="Q298" s="920"/>
      <c r="R298" s="920"/>
      <c r="S298" s="920"/>
      <c r="T298" s="920"/>
      <c r="U298" s="920"/>
      <c r="V298" s="920"/>
      <c r="W298" s="920"/>
      <c r="X298" s="920"/>
      <c r="Y298" s="920"/>
      <c r="Z298" s="920"/>
      <c r="AA298" s="920"/>
      <c r="AB298" s="920"/>
      <c r="AC298" s="920"/>
      <c r="AD298" s="920"/>
      <c r="AE298" s="920"/>
      <c r="AF298" s="920"/>
      <c r="AG298" s="920"/>
      <c r="AH298" s="920"/>
      <c r="AI298" s="920"/>
      <c r="AJ298" s="920"/>
    </row>
    <row r="299" spans="7:36" ht="15" hidden="1" customHeight="1" x14ac:dyDescent="0.2">
      <c r="G299" s="839" t="s">
        <v>12</v>
      </c>
      <c r="H299" s="839"/>
      <c r="I299" s="839"/>
      <c r="J299" s="839"/>
      <c r="K299" s="917">
        <f>K$287*K291</f>
        <v>0</v>
      </c>
      <c r="L299" s="917">
        <f t="shared" ref="L299:AI299" si="88">L$287*L291</f>
        <v>0</v>
      </c>
      <c r="M299" s="917">
        <f t="shared" si="88"/>
        <v>0</v>
      </c>
      <c r="N299" s="917">
        <f t="shared" si="88"/>
        <v>0</v>
      </c>
      <c r="O299" s="917">
        <f t="shared" si="88"/>
        <v>0</v>
      </c>
      <c r="P299" s="917">
        <f t="shared" si="88"/>
        <v>0</v>
      </c>
      <c r="Q299" s="917">
        <f t="shared" si="88"/>
        <v>0</v>
      </c>
      <c r="R299" s="917">
        <f t="shared" si="88"/>
        <v>0</v>
      </c>
      <c r="S299" s="917">
        <f t="shared" si="88"/>
        <v>0</v>
      </c>
      <c r="T299" s="917">
        <f t="shared" si="88"/>
        <v>0</v>
      </c>
      <c r="U299" s="917">
        <f t="shared" si="88"/>
        <v>0</v>
      </c>
      <c r="V299" s="917">
        <f t="shared" si="88"/>
        <v>0</v>
      </c>
      <c r="W299" s="917">
        <f t="shared" si="88"/>
        <v>0</v>
      </c>
      <c r="X299" s="917">
        <f t="shared" si="88"/>
        <v>0</v>
      </c>
      <c r="Y299" s="917">
        <f t="shared" si="88"/>
        <v>0</v>
      </c>
      <c r="Z299" s="917">
        <f t="shared" si="88"/>
        <v>0</v>
      </c>
      <c r="AA299" s="917">
        <f t="shared" si="88"/>
        <v>0</v>
      </c>
      <c r="AB299" s="917">
        <f t="shared" si="88"/>
        <v>0</v>
      </c>
      <c r="AC299" s="917">
        <f t="shared" si="88"/>
        <v>0</v>
      </c>
      <c r="AD299" s="917">
        <f t="shared" si="88"/>
        <v>0</v>
      </c>
      <c r="AE299" s="917">
        <f t="shared" si="88"/>
        <v>0</v>
      </c>
      <c r="AF299" s="917">
        <f t="shared" si="88"/>
        <v>0</v>
      </c>
      <c r="AG299" s="917">
        <f t="shared" si="88"/>
        <v>0</v>
      </c>
      <c r="AH299" s="917">
        <f t="shared" si="88"/>
        <v>0</v>
      </c>
      <c r="AI299" s="917">
        <f t="shared" si="88"/>
        <v>0</v>
      </c>
      <c r="AJ299" s="917">
        <f>AJ$287*AJ291</f>
        <v>0</v>
      </c>
    </row>
    <row r="300" spans="7:36" ht="15" hidden="1" customHeight="1" x14ac:dyDescent="0.2">
      <c r="G300" s="839" t="s">
        <v>13</v>
      </c>
      <c r="H300" s="839"/>
      <c r="I300" s="839"/>
      <c r="J300" s="839"/>
      <c r="K300" s="917">
        <f>K$88*K295</f>
        <v>0</v>
      </c>
      <c r="L300" s="917">
        <f t="shared" ref="L300:AJ300" si="89">L$88*L295</f>
        <v>0</v>
      </c>
      <c r="M300" s="917">
        <f t="shared" si="89"/>
        <v>0</v>
      </c>
      <c r="N300" s="917">
        <f t="shared" si="89"/>
        <v>0</v>
      </c>
      <c r="O300" s="917">
        <f t="shared" si="89"/>
        <v>0</v>
      </c>
      <c r="P300" s="917">
        <f t="shared" si="89"/>
        <v>0</v>
      </c>
      <c r="Q300" s="917">
        <f t="shared" si="89"/>
        <v>0</v>
      </c>
      <c r="R300" s="917">
        <f t="shared" si="89"/>
        <v>0</v>
      </c>
      <c r="S300" s="917">
        <f t="shared" si="89"/>
        <v>0</v>
      </c>
      <c r="T300" s="917">
        <f t="shared" si="89"/>
        <v>0</v>
      </c>
      <c r="U300" s="917">
        <f t="shared" si="89"/>
        <v>0</v>
      </c>
      <c r="V300" s="917">
        <f t="shared" si="89"/>
        <v>0</v>
      </c>
      <c r="W300" s="917">
        <f t="shared" si="89"/>
        <v>0</v>
      </c>
      <c r="X300" s="917">
        <f t="shared" si="89"/>
        <v>0</v>
      </c>
      <c r="Y300" s="917">
        <f t="shared" si="89"/>
        <v>0</v>
      </c>
      <c r="Z300" s="917">
        <f t="shared" si="89"/>
        <v>0</v>
      </c>
      <c r="AA300" s="917">
        <f t="shared" si="89"/>
        <v>0</v>
      </c>
      <c r="AB300" s="917">
        <f t="shared" si="89"/>
        <v>0</v>
      </c>
      <c r="AC300" s="917">
        <f t="shared" si="89"/>
        <v>0</v>
      </c>
      <c r="AD300" s="917">
        <f t="shared" si="89"/>
        <v>0</v>
      </c>
      <c r="AE300" s="917">
        <f t="shared" si="89"/>
        <v>0</v>
      </c>
      <c r="AF300" s="917">
        <f t="shared" si="89"/>
        <v>0</v>
      </c>
      <c r="AG300" s="917">
        <f t="shared" si="89"/>
        <v>0</v>
      </c>
      <c r="AH300" s="917">
        <f t="shared" si="89"/>
        <v>0</v>
      </c>
      <c r="AI300" s="917">
        <f t="shared" si="89"/>
        <v>0</v>
      </c>
      <c r="AJ300" s="917">
        <f t="shared" si="89"/>
        <v>0</v>
      </c>
    </row>
    <row r="301" spans="7:36" ht="15" hidden="1" customHeight="1" x14ac:dyDescent="0.2">
      <c r="G301" s="839"/>
      <c r="H301" s="839"/>
      <c r="I301" s="839"/>
      <c r="J301" s="839"/>
      <c r="K301" s="917"/>
      <c r="L301" s="917"/>
      <c r="M301" s="917"/>
      <c r="N301" s="917"/>
      <c r="O301" s="917"/>
      <c r="P301" s="917"/>
      <c r="Q301" s="917"/>
      <c r="R301" s="917"/>
      <c r="S301" s="917"/>
      <c r="T301" s="917"/>
      <c r="U301" s="917"/>
      <c r="V301" s="917"/>
      <c r="W301" s="917"/>
      <c r="X301" s="917"/>
      <c r="Y301" s="917"/>
      <c r="Z301" s="917"/>
      <c r="AA301" s="917"/>
      <c r="AB301" s="917"/>
      <c r="AC301" s="917"/>
      <c r="AD301" s="917"/>
      <c r="AE301" s="917"/>
      <c r="AF301" s="917"/>
      <c r="AG301" s="917"/>
      <c r="AH301" s="917"/>
      <c r="AI301" s="917"/>
      <c r="AJ301" s="917"/>
    </row>
    <row r="302" spans="7:36" ht="15" hidden="1" customHeight="1" x14ac:dyDescent="0.2">
      <c r="G302" s="839" t="s">
        <v>14</v>
      </c>
      <c r="H302" s="839"/>
      <c r="I302" s="839"/>
      <c r="J302" s="839"/>
      <c r="K302" s="917">
        <f>SUM(K297:K300)</f>
        <v>0</v>
      </c>
      <c r="L302" s="917">
        <f>SUM(L297:L300)</f>
        <v>0</v>
      </c>
      <c r="M302" s="917">
        <f t="shared" ref="M302:AH302" si="90">SUM(M297:M300)</f>
        <v>0</v>
      </c>
      <c r="N302" s="917">
        <f t="shared" si="90"/>
        <v>0</v>
      </c>
      <c r="O302" s="917">
        <f t="shared" si="90"/>
        <v>0</v>
      </c>
      <c r="P302" s="917">
        <f t="shared" si="90"/>
        <v>0</v>
      </c>
      <c r="Q302" s="917">
        <f t="shared" si="90"/>
        <v>0</v>
      </c>
      <c r="R302" s="917">
        <f t="shared" si="90"/>
        <v>0</v>
      </c>
      <c r="S302" s="917">
        <f t="shared" si="90"/>
        <v>0</v>
      </c>
      <c r="T302" s="917">
        <f t="shared" si="90"/>
        <v>0</v>
      </c>
      <c r="U302" s="917">
        <f t="shared" si="90"/>
        <v>0</v>
      </c>
      <c r="V302" s="917">
        <f t="shared" si="90"/>
        <v>0</v>
      </c>
      <c r="W302" s="917">
        <f t="shared" si="90"/>
        <v>0</v>
      </c>
      <c r="X302" s="917">
        <f t="shared" si="90"/>
        <v>0</v>
      </c>
      <c r="Y302" s="917">
        <f t="shared" si="90"/>
        <v>0</v>
      </c>
      <c r="Z302" s="917">
        <f t="shared" si="90"/>
        <v>0</v>
      </c>
      <c r="AA302" s="917">
        <f t="shared" si="90"/>
        <v>0</v>
      </c>
      <c r="AB302" s="917">
        <f t="shared" si="90"/>
        <v>0</v>
      </c>
      <c r="AC302" s="917">
        <f t="shared" si="90"/>
        <v>0</v>
      </c>
      <c r="AD302" s="917">
        <f t="shared" si="90"/>
        <v>0</v>
      </c>
      <c r="AE302" s="917">
        <f t="shared" si="90"/>
        <v>0</v>
      </c>
      <c r="AF302" s="917">
        <f t="shared" si="90"/>
        <v>0</v>
      </c>
      <c r="AG302" s="917">
        <f t="shared" si="90"/>
        <v>0</v>
      </c>
      <c r="AH302" s="917">
        <f t="shared" si="90"/>
        <v>0</v>
      </c>
      <c r="AI302" s="917">
        <f>SUM(AI297:AI300)</f>
        <v>0</v>
      </c>
      <c r="AJ302" s="917">
        <f>SUM(AJ297:AJ300)</f>
        <v>0</v>
      </c>
    </row>
    <row r="303" spans="7:36" ht="15" hidden="1" customHeight="1" x14ac:dyDescent="0.2">
      <c r="G303" s="839" t="s">
        <v>435</v>
      </c>
      <c r="H303" s="839"/>
      <c r="I303" s="839"/>
      <c r="J303" s="839"/>
      <c r="K303" s="917">
        <f>K302</f>
        <v>0</v>
      </c>
      <c r="L303" s="917">
        <f t="shared" ref="L303:AI303" si="91">K303+L302</f>
        <v>0</v>
      </c>
      <c r="M303" s="917">
        <f t="shared" si="91"/>
        <v>0</v>
      </c>
      <c r="N303" s="917">
        <f t="shared" si="91"/>
        <v>0</v>
      </c>
      <c r="O303" s="917">
        <f t="shared" si="91"/>
        <v>0</v>
      </c>
      <c r="P303" s="917">
        <f t="shared" si="91"/>
        <v>0</v>
      </c>
      <c r="Q303" s="917">
        <f t="shared" si="91"/>
        <v>0</v>
      </c>
      <c r="R303" s="917">
        <f t="shared" si="91"/>
        <v>0</v>
      </c>
      <c r="S303" s="917">
        <f t="shared" si="91"/>
        <v>0</v>
      </c>
      <c r="T303" s="917">
        <f t="shared" si="91"/>
        <v>0</v>
      </c>
      <c r="U303" s="917">
        <f t="shared" si="91"/>
        <v>0</v>
      </c>
      <c r="V303" s="917">
        <f t="shared" si="91"/>
        <v>0</v>
      </c>
      <c r="W303" s="917">
        <f t="shared" si="91"/>
        <v>0</v>
      </c>
      <c r="X303" s="917">
        <f t="shared" si="91"/>
        <v>0</v>
      </c>
      <c r="Y303" s="917">
        <f t="shared" si="91"/>
        <v>0</v>
      </c>
      <c r="Z303" s="917">
        <f t="shared" si="91"/>
        <v>0</v>
      </c>
      <c r="AA303" s="917">
        <f t="shared" si="91"/>
        <v>0</v>
      </c>
      <c r="AB303" s="917">
        <f t="shared" si="91"/>
        <v>0</v>
      </c>
      <c r="AC303" s="917">
        <f t="shared" si="91"/>
        <v>0</v>
      </c>
      <c r="AD303" s="917">
        <f t="shared" si="91"/>
        <v>0</v>
      </c>
      <c r="AE303" s="917">
        <f t="shared" si="91"/>
        <v>0</v>
      </c>
      <c r="AF303" s="917">
        <f t="shared" si="91"/>
        <v>0</v>
      </c>
      <c r="AG303" s="917">
        <f t="shared" si="91"/>
        <v>0</v>
      </c>
      <c r="AH303" s="917">
        <f t="shared" si="91"/>
        <v>0</v>
      </c>
      <c r="AI303" s="917">
        <f t="shared" si="91"/>
        <v>0</v>
      </c>
      <c r="AJ303" s="917">
        <f>AI303+AJ302</f>
        <v>0</v>
      </c>
    </row>
    <row r="304" spans="7:36" ht="15" hidden="1" customHeight="1" x14ac:dyDescent="0.2">
      <c r="G304" s="839"/>
      <c r="H304" s="839"/>
      <c r="I304" s="839"/>
      <c r="J304" s="839"/>
      <c r="K304" s="839"/>
      <c r="L304" s="839"/>
      <c r="M304" s="839"/>
      <c r="N304" s="839"/>
      <c r="O304" s="839"/>
      <c r="P304" s="839"/>
      <c r="Q304" s="839"/>
      <c r="R304" s="839"/>
      <c r="S304" s="839"/>
      <c r="T304" s="839"/>
      <c r="U304" s="839"/>
      <c r="V304" s="839"/>
      <c r="W304" s="839"/>
      <c r="X304" s="839"/>
      <c r="Y304" s="839"/>
      <c r="Z304" s="839"/>
      <c r="AA304" s="839"/>
      <c r="AB304" s="839"/>
      <c r="AC304" s="839"/>
      <c r="AD304" s="839"/>
      <c r="AE304" s="839"/>
      <c r="AF304" s="839"/>
      <c r="AG304" s="839"/>
      <c r="AH304" s="839"/>
      <c r="AI304" s="839"/>
      <c r="AJ304" s="839"/>
    </row>
    <row r="305" spans="7:36" ht="15" hidden="1" customHeight="1" x14ac:dyDescent="0.2">
      <c r="G305" s="839" t="s">
        <v>17</v>
      </c>
      <c r="H305" s="839"/>
      <c r="I305" s="839"/>
      <c r="J305" s="839"/>
      <c r="K305" s="917">
        <f>K302/(((Data!$P$186/100)+1)^K$70)</f>
        <v>0</v>
      </c>
      <c r="L305" s="917">
        <f>L302/(((Data!$P$186/100)+1)^L$70)</f>
        <v>0</v>
      </c>
      <c r="M305" s="917">
        <f>M302/(((Data!$P$186/100)+1)^M$70)</f>
        <v>0</v>
      </c>
      <c r="N305" s="917">
        <f>N302/(((Data!$P$186/100)+1)^N$70)</f>
        <v>0</v>
      </c>
      <c r="O305" s="917">
        <f>O302/(((Data!$P$186/100)+1)^O$70)</f>
        <v>0</v>
      </c>
      <c r="P305" s="917">
        <f>P302/(((Data!$P$186/100)+1)^P$70)</f>
        <v>0</v>
      </c>
      <c r="Q305" s="917">
        <f>Q302/(((Data!$P$186/100)+1)^Q$70)</f>
        <v>0</v>
      </c>
      <c r="R305" s="917">
        <f>R302/(((Data!$P$186/100)+1)^R$70)</f>
        <v>0</v>
      </c>
      <c r="S305" s="917">
        <f>S302/(((Data!$P$186/100)+1)^S$70)</f>
        <v>0</v>
      </c>
      <c r="T305" s="917">
        <f>T302/(((Data!$P$186/100)+1)^T$70)</f>
        <v>0</v>
      </c>
      <c r="U305" s="917">
        <f>U302/(((Data!$P$186/100)+1)^U$70)</f>
        <v>0</v>
      </c>
      <c r="V305" s="917">
        <f>V302/(((Data!$P$186/100)+1)^V$70)</f>
        <v>0</v>
      </c>
      <c r="W305" s="917">
        <f>W302/(((Data!$P$186/100)+1)^W$70)</f>
        <v>0</v>
      </c>
      <c r="X305" s="917">
        <f>X302/(((Data!$P$186/100)+1)^X$70)</f>
        <v>0</v>
      </c>
      <c r="Y305" s="917">
        <f>Y302/(((Data!$P$186/100)+1)^Y$70)</f>
        <v>0</v>
      </c>
      <c r="Z305" s="917">
        <f>Z302/(((Data!$P$186/100)+1)^Z$70)</f>
        <v>0</v>
      </c>
      <c r="AA305" s="917">
        <f>AA302/(((Data!$P$186/100)+1)^AA$70)</f>
        <v>0</v>
      </c>
      <c r="AB305" s="917">
        <f>AB302/(((Data!$P$186/100)+1)^AB$70)</f>
        <v>0</v>
      </c>
      <c r="AC305" s="917">
        <f>AC302/(((Data!$P$186/100)+1)^AC$70)</f>
        <v>0</v>
      </c>
      <c r="AD305" s="917">
        <f>AD302/(((Data!$P$186/100)+1)^AD$70)</f>
        <v>0</v>
      </c>
      <c r="AE305" s="917">
        <f>AE302/(((Data!$P$186/100)+1)^AE$70)</f>
        <v>0</v>
      </c>
      <c r="AF305" s="917">
        <f>AF302/(((Data!$P$186/100)+1)^AF$70)</f>
        <v>0</v>
      </c>
      <c r="AG305" s="917">
        <f>AG302/(((Data!$P$186/100)+1)^AG$70)</f>
        <v>0</v>
      </c>
      <c r="AH305" s="917">
        <f>AH302/(((Data!$P$186/100)+1)^AH$70)</f>
        <v>0</v>
      </c>
      <c r="AI305" s="917">
        <f>AI302/(((Data!$P$186/100)+1)^AI$70)</f>
        <v>0</v>
      </c>
      <c r="AJ305" s="917">
        <f>AJ302/(((Data!$P$186/100)+1)^AJ$70)</f>
        <v>0</v>
      </c>
    </row>
    <row r="306" spans="7:36" ht="15" hidden="1" customHeight="1" x14ac:dyDescent="0.2">
      <c r="G306" s="859" t="s">
        <v>185</v>
      </c>
      <c r="H306" s="859"/>
      <c r="I306" s="839"/>
      <c r="J306" s="839"/>
      <c r="K306" s="923">
        <f>K305</f>
        <v>0</v>
      </c>
      <c r="L306" s="923">
        <f t="shared" ref="L306:AJ306" si="92">K306+L305</f>
        <v>0</v>
      </c>
      <c r="M306" s="923">
        <f t="shared" si="92"/>
        <v>0</v>
      </c>
      <c r="N306" s="923">
        <f t="shared" si="92"/>
        <v>0</v>
      </c>
      <c r="O306" s="923">
        <f t="shared" si="92"/>
        <v>0</v>
      </c>
      <c r="P306" s="923">
        <f t="shared" si="92"/>
        <v>0</v>
      </c>
      <c r="Q306" s="923">
        <f t="shared" si="92"/>
        <v>0</v>
      </c>
      <c r="R306" s="923">
        <f t="shared" si="92"/>
        <v>0</v>
      </c>
      <c r="S306" s="923">
        <f t="shared" si="92"/>
        <v>0</v>
      </c>
      <c r="T306" s="923">
        <f t="shared" si="92"/>
        <v>0</v>
      </c>
      <c r="U306" s="923">
        <f t="shared" si="92"/>
        <v>0</v>
      </c>
      <c r="V306" s="923">
        <f t="shared" si="92"/>
        <v>0</v>
      </c>
      <c r="W306" s="923">
        <f t="shared" si="92"/>
        <v>0</v>
      </c>
      <c r="X306" s="923">
        <f t="shared" si="92"/>
        <v>0</v>
      </c>
      <c r="Y306" s="923">
        <f t="shared" si="92"/>
        <v>0</v>
      </c>
      <c r="Z306" s="923">
        <f t="shared" si="92"/>
        <v>0</v>
      </c>
      <c r="AA306" s="923">
        <f t="shared" si="92"/>
        <v>0</v>
      </c>
      <c r="AB306" s="923">
        <f t="shared" si="92"/>
        <v>0</v>
      </c>
      <c r="AC306" s="923">
        <f t="shared" si="92"/>
        <v>0</v>
      </c>
      <c r="AD306" s="923">
        <f t="shared" si="92"/>
        <v>0</v>
      </c>
      <c r="AE306" s="923">
        <f t="shared" si="92"/>
        <v>0</v>
      </c>
      <c r="AF306" s="923">
        <f t="shared" si="92"/>
        <v>0</v>
      </c>
      <c r="AG306" s="923">
        <f t="shared" si="92"/>
        <v>0</v>
      </c>
      <c r="AH306" s="923">
        <f t="shared" si="92"/>
        <v>0</v>
      </c>
      <c r="AI306" s="923">
        <f t="shared" si="92"/>
        <v>0</v>
      </c>
      <c r="AJ306" s="923">
        <f t="shared" si="92"/>
        <v>0</v>
      </c>
    </row>
    <row r="308" spans="7:36" ht="15" customHeight="1" x14ac:dyDescent="0.2">
      <c r="G308" s="10"/>
      <c r="H308" s="8"/>
      <c r="I308" s="8"/>
      <c r="J308" s="8"/>
      <c r="K308" s="8"/>
      <c r="L308" s="8"/>
      <c r="M308" s="8"/>
      <c r="N308" s="8"/>
      <c r="O308" s="8"/>
      <c r="P308" s="8"/>
      <c r="Q308" s="8"/>
      <c r="R308" s="9"/>
      <c r="S308" s="8"/>
      <c r="T308" s="8"/>
      <c r="U308" s="8"/>
      <c r="V308" s="8"/>
      <c r="W308" s="8"/>
      <c r="X308" s="8"/>
      <c r="Y308" s="8"/>
      <c r="Z308" s="8"/>
      <c r="AA308" s="8"/>
      <c r="AB308" s="73"/>
      <c r="AC308" s="8"/>
      <c r="AD308" s="8"/>
      <c r="AE308" s="8"/>
      <c r="AF308" s="8"/>
      <c r="AG308" s="8"/>
      <c r="AH308" s="8"/>
      <c r="AI308" s="8"/>
      <c r="AJ308" s="8"/>
    </row>
    <row r="309" spans="7:36" ht="15" customHeight="1" x14ac:dyDescent="0.2">
      <c r="G309" s="421"/>
      <c r="H309" s="8"/>
      <c r="I309" s="8"/>
      <c r="J309" s="8"/>
      <c r="K309" s="8"/>
      <c r="L309" s="8"/>
      <c r="M309" s="8"/>
      <c r="N309" s="8"/>
      <c r="O309" s="8"/>
      <c r="P309" s="8"/>
      <c r="Q309" s="8"/>
      <c r="R309" s="9"/>
      <c r="S309" s="8"/>
      <c r="T309" s="8"/>
      <c r="U309" s="8"/>
      <c r="V309" s="8"/>
      <c r="W309" s="8"/>
      <c r="X309" s="8"/>
      <c r="Y309" s="8"/>
      <c r="Z309" s="8"/>
      <c r="AA309" s="8"/>
      <c r="AB309" s="73"/>
      <c r="AC309" s="8"/>
      <c r="AD309" s="8"/>
      <c r="AE309" s="8"/>
      <c r="AF309" s="8"/>
      <c r="AG309" s="8"/>
      <c r="AH309" s="8"/>
      <c r="AI309" s="8"/>
      <c r="AJ309" s="8"/>
    </row>
    <row r="310" spans="7:36" ht="15" customHeight="1" x14ac:dyDescent="0.2">
      <c r="G310" s="10"/>
      <c r="H310" s="8"/>
      <c r="I310" s="8"/>
      <c r="J310" s="8"/>
      <c r="K310" s="67"/>
      <c r="L310" s="67"/>
      <c r="M310" s="67"/>
      <c r="N310" s="67"/>
      <c r="O310" s="67"/>
      <c r="P310" s="67"/>
      <c r="Q310" s="67"/>
      <c r="R310" s="67"/>
      <c r="S310" s="67"/>
      <c r="T310" s="67"/>
      <c r="U310" s="67"/>
      <c r="V310" s="67"/>
      <c r="W310" s="67"/>
      <c r="X310" s="67"/>
      <c r="Y310" s="67"/>
      <c r="Z310" s="67"/>
      <c r="AA310" s="67"/>
      <c r="AB310" s="67"/>
      <c r="AC310" s="67"/>
      <c r="AD310" s="67"/>
      <c r="AE310" s="67"/>
      <c r="AF310" s="67"/>
      <c r="AG310" s="67"/>
      <c r="AH310" s="67"/>
      <c r="AI310" s="67"/>
      <c r="AJ310" s="67"/>
    </row>
    <row r="311" spans="7:36" ht="15" customHeight="1" x14ac:dyDescent="0.2">
      <c r="G311" s="10"/>
      <c r="H311" s="8"/>
      <c r="I311" s="8"/>
      <c r="J311" s="8"/>
      <c r="K311" s="67"/>
      <c r="L311" s="67"/>
      <c r="M311" s="67"/>
      <c r="N311" s="67"/>
      <c r="O311" s="67"/>
      <c r="P311" s="67"/>
      <c r="Q311" s="67"/>
      <c r="R311" s="67"/>
      <c r="S311" s="67"/>
      <c r="T311" s="67"/>
      <c r="U311" s="67"/>
      <c r="V311" s="67"/>
      <c r="W311" s="67"/>
      <c r="X311" s="67"/>
      <c r="Y311" s="67"/>
      <c r="Z311" s="67"/>
      <c r="AA311" s="67"/>
      <c r="AB311" s="67"/>
      <c r="AC311" s="67"/>
      <c r="AD311" s="67"/>
      <c r="AE311" s="67"/>
      <c r="AF311" s="67"/>
      <c r="AG311" s="67"/>
      <c r="AH311" s="67"/>
      <c r="AI311" s="67"/>
      <c r="AJ311" s="67"/>
    </row>
    <row r="312" spans="7:36" ht="15" customHeight="1" x14ac:dyDescent="0.2">
      <c r="G312" s="10"/>
      <c r="H312" s="8"/>
      <c r="I312" s="8"/>
      <c r="J312" s="8"/>
      <c r="K312" s="67"/>
      <c r="L312" s="67"/>
      <c r="M312" s="67"/>
      <c r="N312" s="67"/>
      <c r="O312" s="67"/>
      <c r="P312" s="67"/>
      <c r="Q312" s="67"/>
      <c r="R312" s="67"/>
      <c r="S312" s="67"/>
      <c r="T312" s="67"/>
      <c r="U312" s="67"/>
      <c r="V312" s="67"/>
      <c r="W312" s="67"/>
      <c r="X312" s="67"/>
      <c r="Y312" s="67"/>
      <c r="Z312" s="67"/>
      <c r="AA312" s="67"/>
      <c r="AB312" s="67"/>
      <c r="AC312" s="67"/>
      <c r="AD312" s="67"/>
      <c r="AE312" s="67"/>
      <c r="AF312" s="67"/>
      <c r="AG312" s="67"/>
      <c r="AH312" s="67"/>
      <c r="AI312" s="67"/>
      <c r="AJ312" s="67"/>
    </row>
    <row r="313" spans="7:36" ht="15" customHeight="1" x14ac:dyDescent="0.2">
      <c r="G313" s="8"/>
      <c r="H313" s="8"/>
      <c r="I313" s="8"/>
      <c r="J313" s="8"/>
      <c r="K313" s="8"/>
      <c r="L313" s="8"/>
      <c r="M313" s="8"/>
      <c r="N313" s="8"/>
      <c r="O313" s="8"/>
      <c r="P313" s="8"/>
      <c r="Q313" s="8"/>
      <c r="R313" s="9"/>
      <c r="S313" s="8"/>
      <c r="T313" s="8"/>
      <c r="U313" s="8"/>
      <c r="V313" s="8"/>
      <c r="W313" s="8"/>
      <c r="X313" s="8"/>
      <c r="Y313" s="8"/>
      <c r="Z313" s="8"/>
      <c r="AA313" s="8"/>
      <c r="AB313" s="73"/>
      <c r="AC313" s="8"/>
      <c r="AD313" s="8"/>
      <c r="AE313" s="8"/>
      <c r="AF313" s="8"/>
      <c r="AG313" s="8"/>
      <c r="AH313" s="8"/>
      <c r="AI313" s="8"/>
      <c r="AJ313" s="8"/>
    </row>
    <row r="314" spans="7:36" ht="15" customHeight="1" x14ac:dyDescent="0.2">
      <c r="G314" s="531"/>
      <c r="H314" s="66"/>
      <c r="I314" s="66"/>
      <c r="J314" s="66"/>
      <c r="K314" s="66"/>
      <c r="L314" s="66"/>
      <c r="M314" s="66"/>
      <c r="N314" s="66"/>
      <c r="O314" s="66"/>
      <c r="P314" s="66"/>
      <c r="Q314" s="66"/>
      <c r="R314" s="66"/>
      <c r="S314" s="66"/>
      <c r="T314" s="66"/>
      <c r="U314" s="66"/>
      <c r="V314" s="66"/>
      <c r="W314" s="66"/>
      <c r="X314" s="66"/>
      <c r="Y314" s="66"/>
      <c r="Z314" s="66"/>
      <c r="AA314" s="66"/>
      <c r="AB314" s="395"/>
      <c r="AC314" s="66"/>
      <c r="AD314" s="66"/>
      <c r="AE314" s="66"/>
      <c r="AF314" s="66"/>
      <c r="AG314" s="66"/>
      <c r="AH314" s="66"/>
      <c r="AI314" s="66"/>
      <c r="AJ314" s="66"/>
    </row>
    <row r="315" spans="7:36" ht="15" customHeight="1" x14ac:dyDescent="0.2">
      <c r="G315" s="66"/>
      <c r="H315" s="66"/>
      <c r="I315" s="66"/>
      <c r="J315" s="66"/>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row>
    <row r="316" spans="7:36" ht="15" customHeight="1" x14ac:dyDescent="0.2">
      <c r="G316" s="66"/>
      <c r="H316" s="66"/>
      <c r="I316" s="66"/>
      <c r="J316" s="66"/>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row>
    <row r="317" spans="7:36" ht="15" customHeight="1" x14ac:dyDescent="0.2">
      <c r="G317" s="66"/>
      <c r="H317" s="66"/>
      <c r="I317" s="66"/>
      <c r="J317" s="66"/>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row>
    <row r="318" spans="7:36" ht="15" customHeight="1" x14ac:dyDescent="0.2">
      <c r="G318" s="8"/>
      <c r="H318" s="8"/>
      <c r="I318" s="8"/>
      <c r="J318" s="8"/>
      <c r="K318" s="8"/>
      <c r="L318" s="8"/>
      <c r="M318" s="8"/>
      <c r="N318" s="8"/>
      <c r="O318" s="8"/>
      <c r="P318" s="8"/>
      <c r="Q318" s="8"/>
      <c r="R318" s="9"/>
      <c r="S318" s="8"/>
      <c r="T318" s="8"/>
      <c r="U318" s="8"/>
      <c r="V318" s="8"/>
      <c r="W318" s="8"/>
      <c r="X318" s="8"/>
      <c r="Y318" s="8"/>
      <c r="Z318" s="8"/>
      <c r="AA318" s="8"/>
      <c r="AB318" s="73"/>
      <c r="AC318" s="8"/>
      <c r="AD318" s="8"/>
      <c r="AE318" s="8"/>
      <c r="AF318" s="8"/>
      <c r="AG318" s="8"/>
      <c r="AH318" s="8"/>
      <c r="AI318" s="8"/>
      <c r="AJ318" s="8"/>
    </row>
    <row r="319" spans="7:36" ht="15" customHeight="1" x14ac:dyDescent="0.2">
      <c r="G319" s="521"/>
      <c r="H319" s="164"/>
      <c r="I319" s="164"/>
      <c r="J319" s="164"/>
      <c r="K319" s="164"/>
      <c r="L319" s="164"/>
      <c r="M319" s="164"/>
      <c r="N319" s="164"/>
      <c r="O319" s="164"/>
      <c r="P319" s="164"/>
      <c r="Q319" s="164"/>
      <c r="R319" s="164"/>
      <c r="S319" s="164"/>
      <c r="T319" s="164"/>
      <c r="U319" s="164"/>
      <c r="V319" s="164"/>
      <c r="W319" s="164"/>
      <c r="X319" s="164"/>
      <c r="Y319" s="164"/>
      <c r="Z319" s="164"/>
      <c r="AA319" s="164"/>
      <c r="AB319" s="396"/>
      <c r="AC319" s="164"/>
      <c r="AD319" s="164"/>
      <c r="AE319" s="164"/>
      <c r="AF319" s="164"/>
      <c r="AG319" s="164"/>
      <c r="AH319" s="164"/>
      <c r="AI319" s="164"/>
      <c r="AJ319" s="164"/>
    </row>
    <row r="320" spans="7:36" ht="15" customHeight="1" x14ac:dyDescent="0.2">
      <c r="G320" s="164"/>
      <c r="H320" s="164"/>
      <c r="I320" s="164"/>
      <c r="J320" s="164"/>
      <c r="K320" s="165"/>
      <c r="L320" s="165"/>
      <c r="M320" s="165"/>
      <c r="N320" s="165"/>
      <c r="O320" s="165"/>
      <c r="P320" s="165"/>
      <c r="Q320" s="165"/>
      <c r="R320" s="165"/>
      <c r="S320" s="165"/>
      <c r="T320" s="165"/>
      <c r="U320" s="165"/>
      <c r="V320" s="165"/>
      <c r="W320" s="165"/>
      <c r="X320" s="165"/>
      <c r="Y320" s="165"/>
      <c r="Z320" s="165"/>
      <c r="AA320" s="165"/>
      <c r="AB320" s="165"/>
      <c r="AC320" s="165"/>
      <c r="AD320" s="165"/>
      <c r="AE320" s="165"/>
      <c r="AF320" s="165"/>
      <c r="AG320" s="165"/>
      <c r="AH320" s="165"/>
      <c r="AI320" s="165"/>
      <c r="AJ320" s="165"/>
    </row>
    <row r="321" spans="7:36" ht="15" customHeight="1" x14ac:dyDescent="0.2">
      <c r="G321" s="164"/>
      <c r="H321" s="164"/>
      <c r="I321" s="164"/>
      <c r="J321" s="164"/>
      <c r="K321" s="165"/>
      <c r="L321" s="165"/>
      <c r="M321" s="165"/>
      <c r="N321" s="165"/>
      <c r="O321" s="165"/>
      <c r="P321" s="165"/>
      <c r="Q321" s="165"/>
      <c r="R321" s="165"/>
      <c r="S321" s="165"/>
      <c r="T321" s="165"/>
      <c r="U321" s="165"/>
      <c r="V321" s="165"/>
      <c r="W321" s="165"/>
      <c r="X321" s="165"/>
      <c r="Y321" s="165"/>
      <c r="Z321" s="165"/>
      <c r="AA321" s="165"/>
      <c r="AB321" s="165"/>
      <c r="AC321" s="165"/>
      <c r="AD321" s="165"/>
      <c r="AE321" s="165"/>
      <c r="AF321" s="165"/>
      <c r="AG321" s="165"/>
      <c r="AH321" s="165"/>
      <c r="AI321" s="165"/>
      <c r="AJ321" s="165"/>
    </row>
    <row r="322" spans="7:36" ht="15" customHeight="1" x14ac:dyDescent="0.2">
      <c r="G322" s="164"/>
      <c r="H322" s="164"/>
      <c r="I322" s="164"/>
      <c r="J322" s="164"/>
      <c r="K322" s="165"/>
      <c r="L322" s="165"/>
      <c r="M322" s="165"/>
      <c r="N322" s="165"/>
      <c r="O322" s="165"/>
      <c r="P322" s="165"/>
      <c r="Q322" s="165"/>
      <c r="R322" s="165"/>
      <c r="S322" s="165"/>
      <c r="T322" s="165"/>
      <c r="U322" s="165"/>
      <c r="V322" s="165"/>
      <c r="W322" s="165"/>
      <c r="X322" s="165"/>
      <c r="Y322" s="165"/>
      <c r="Z322" s="165"/>
      <c r="AA322" s="165"/>
      <c r="AB322" s="165"/>
      <c r="AC322" s="165"/>
      <c r="AD322" s="165"/>
      <c r="AE322" s="165"/>
      <c r="AF322" s="165"/>
      <c r="AG322" s="165"/>
      <c r="AH322" s="165"/>
      <c r="AI322" s="165"/>
      <c r="AJ322" s="165"/>
    </row>
    <row r="325" spans="7:36" ht="15" customHeight="1" x14ac:dyDescent="0.2">
      <c r="G325" s="421"/>
      <c r="H325" s="8"/>
      <c r="I325" s="8"/>
      <c r="J325" s="8"/>
      <c r="K325" s="8"/>
      <c r="L325" s="8"/>
      <c r="M325" s="8"/>
      <c r="N325" s="8"/>
      <c r="O325" s="8"/>
      <c r="P325" s="8"/>
      <c r="Q325" s="8"/>
      <c r="R325" s="9"/>
      <c r="S325" s="8"/>
      <c r="T325" s="8"/>
      <c r="U325" s="8"/>
      <c r="V325" s="8"/>
      <c r="W325" s="8"/>
      <c r="X325" s="8"/>
      <c r="Y325" s="8"/>
      <c r="Z325" s="8"/>
      <c r="AA325" s="8"/>
      <c r="AB325" s="73"/>
      <c r="AC325" s="8"/>
      <c r="AD325" s="8"/>
      <c r="AE325" s="8"/>
      <c r="AF325" s="8"/>
      <c r="AG325" s="8"/>
      <c r="AH325" s="8"/>
      <c r="AI325" s="8"/>
      <c r="AJ325" s="8"/>
    </row>
    <row r="326" spans="7:36" ht="15" customHeight="1" x14ac:dyDescent="0.2">
      <c r="G326" s="10"/>
      <c r="H326" s="8"/>
      <c r="I326" s="8"/>
      <c r="J326" s="8"/>
      <c r="K326" s="67"/>
      <c r="L326" s="67"/>
      <c r="M326" s="67"/>
      <c r="N326" s="67"/>
      <c r="O326" s="67"/>
      <c r="P326" s="67"/>
      <c r="Q326" s="67"/>
      <c r="R326" s="67"/>
      <c r="S326" s="67"/>
      <c r="T326" s="67"/>
      <c r="U326" s="67"/>
      <c r="V326" s="67"/>
      <c r="W326" s="67"/>
      <c r="X326" s="67"/>
      <c r="Y326" s="67"/>
      <c r="Z326" s="67"/>
      <c r="AA326" s="67"/>
      <c r="AB326" s="67"/>
      <c r="AC326" s="67"/>
      <c r="AD326" s="67"/>
      <c r="AE326" s="67"/>
      <c r="AF326" s="67"/>
      <c r="AG326" s="67"/>
      <c r="AH326" s="67"/>
      <c r="AI326" s="67"/>
      <c r="AJ326" s="67"/>
    </row>
    <row r="327" spans="7:36" ht="15" customHeight="1" x14ac:dyDescent="0.2">
      <c r="G327" s="10"/>
      <c r="H327" s="8"/>
      <c r="I327" s="8"/>
      <c r="J327" s="8"/>
      <c r="K327" s="67"/>
      <c r="L327" s="67"/>
      <c r="M327" s="67"/>
      <c r="N327" s="67"/>
      <c r="O327" s="67"/>
      <c r="P327" s="67"/>
      <c r="Q327" s="67"/>
      <c r="R327" s="67"/>
      <c r="S327" s="67"/>
      <c r="T327" s="67"/>
      <c r="U327" s="67"/>
      <c r="V327" s="67"/>
      <c r="W327" s="67"/>
      <c r="X327" s="67"/>
      <c r="Y327" s="67"/>
      <c r="Z327" s="67"/>
      <c r="AA327" s="67"/>
      <c r="AB327" s="67"/>
      <c r="AC327" s="67"/>
      <c r="AD327" s="67"/>
      <c r="AE327" s="67"/>
      <c r="AF327" s="67"/>
      <c r="AG327" s="67"/>
      <c r="AH327" s="67"/>
      <c r="AI327" s="67"/>
      <c r="AJ327" s="67"/>
    </row>
    <row r="328" spans="7:36" ht="15" customHeight="1" x14ac:dyDescent="0.2">
      <c r="G328" s="10"/>
      <c r="H328" s="8"/>
      <c r="I328" s="8"/>
      <c r="J328" s="8"/>
      <c r="K328" s="67"/>
      <c r="L328" s="67"/>
      <c r="M328" s="67"/>
      <c r="N328" s="67"/>
      <c r="O328" s="67"/>
      <c r="P328" s="67"/>
      <c r="Q328" s="67"/>
      <c r="R328" s="67"/>
      <c r="S328" s="67"/>
      <c r="T328" s="67"/>
      <c r="U328" s="67"/>
      <c r="V328" s="67"/>
      <c r="W328" s="67"/>
      <c r="X328" s="67"/>
      <c r="Y328" s="67"/>
      <c r="Z328" s="67"/>
      <c r="AA328" s="67"/>
      <c r="AB328" s="67"/>
      <c r="AC328" s="67"/>
      <c r="AD328" s="67"/>
      <c r="AE328" s="67"/>
      <c r="AF328" s="67"/>
      <c r="AG328" s="67"/>
      <c r="AH328" s="67"/>
      <c r="AI328" s="67"/>
      <c r="AJ328" s="67"/>
    </row>
    <row r="329" spans="7:36" ht="15" customHeight="1" x14ac:dyDescent="0.2">
      <c r="G329" s="8"/>
      <c r="H329" s="8"/>
      <c r="I329" s="8"/>
      <c r="J329" s="8"/>
      <c r="K329" s="8"/>
      <c r="L329" s="8"/>
      <c r="M329" s="8"/>
      <c r="N329" s="8"/>
      <c r="O329" s="8"/>
      <c r="P329" s="8"/>
      <c r="Q329" s="8"/>
      <c r="R329" s="9"/>
      <c r="S329" s="8"/>
      <c r="T329" s="8"/>
      <c r="U329" s="8"/>
      <c r="V329" s="8"/>
      <c r="W329" s="8"/>
      <c r="X329" s="8"/>
      <c r="Y329" s="8"/>
      <c r="Z329" s="8"/>
      <c r="AA329" s="8"/>
      <c r="AB329" s="73"/>
      <c r="AC329" s="8"/>
      <c r="AD329" s="8"/>
      <c r="AE329" s="8"/>
      <c r="AF329" s="8"/>
      <c r="AG329" s="8"/>
      <c r="AH329" s="8"/>
      <c r="AI329" s="8"/>
      <c r="AJ329" s="8"/>
    </row>
    <row r="330" spans="7:36" ht="15" customHeight="1" x14ac:dyDescent="0.2">
      <c r="G330" s="531"/>
      <c r="H330" s="66"/>
      <c r="I330" s="66"/>
      <c r="J330" s="66"/>
      <c r="K330" s="66"/>
      <c r="L330" s="66"/>
      <c r="M330" s="66"/>
      <c r="N330" s="66"/>
      <c r="O330" s="66"/>
      <c r="P330" s="66"/>
      <c r="Q330" s="66"/>
      <c r="R330" s="66"/>
      <c r="S330" s="66"/>
      <c r="T330" s="66"/>
      <c r="U330" s="66"/>
      <c r="V330" s="66"/>
      <c r="W330" s="66"/>
      <c r="X330" s="66"/>
      <c r="Y330" s="66"/>
      <c r="Z330" s="66"/>
      <c r="AA330" s="66"/>
      <c r="AB330" s="395"/>
      <c r="AC330" s="66"/>
      <c r="AD330" s="66"/>
      <c r="AE330" s="66"/>
      <c r="AF330" s="66"/>
      <c r="AG330" s="66"/>
      <c r="AH330" s="66"/>
      <c r="AI330" s="66"/>
      <c r="AJ330" s="66"/>
    </row>
    <row r="331" spans="7:36" ht="15" customHeight="1" x14ac:dyDescent="0.2">
      <c r="G331" s="66"/>
      <c r="H331" s="66"/>
      <c r="I331" s="66"/>
      <c r="J331" s="66"/>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row>
    <row r="332" spans="7:36" ht="15" customHeight="1" x14ac:dyDescent="0.2">
      <c r="G332" s="66"/>
      <c r="H332" s="66"/>
      <c r="I332" s="66"/>
      <c r="J332" s="66"/>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row>
    <row r="333" spans="7:36" ht="15" customHeight="1" x14ac:dyDescent="0.2">
      <c r="G333" s="66"/>
      <c r="H333" s="66"/>
      <c r="I333" s="66"/>
      <c r="J333" s="66"/>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row>
    <row r="334" spans="7:36" ht="15" customHeight="1" x14ac:dyDescent="0.2">
      <c r="G334" s="8"/>
      <c r="H334" s="8"/>
      <c r="I334" s="8"/>
      <c r="J334" s="8"/>
      <c r="K334" s="8"/>
      <c r="L334" s="8"/>
      <c r="M334" s="8"/>
      <c r="N334" s="8"/>
      <c r="O334" s="8"/>
      <c r="P334" s="8"/>
      <c r="Q334" s="8"/>
      <c r="R334" s="9"/>
      <c r="S334" s="8"/>
      <c r="T334" s="8"/>
      <c r="U334" s="8"/>
      <c r="V334" s="8"/>
      <c r="W334" s="8"/>
      <c r="X334" s="8"/>
      <c r="Y334" s="8"/>
      <c r="Z334" s="8"/>
      <c r="AA334" s="8"/>
      <c r="AB334" s="73"/>
      <c r="AC334" s="8"/>
      <c r="AD334" s="8"/>
      <c r="AE334" s="8"/>
      <c r="AF334" s="8"/>
      <c r="AG334" s="8"/>
      <c r="AH334" s="8"/>
      <c r="AI334" s="8"/>
      <c r="AJ334" s="8"/>
    </row>
    <row r="335" spans="7:36" ht="15" customHeight="1" x14ac:dyDescent="0.2">
      <c r="G335" s="521"/>
      <c r="H335" s="164"/>
      <c r="I335" s="164"/>
      <c r="J335" s="164"/>
      <c r="K335" s="164"/>
      <c r="L335" s="164"/>
      <c r="M335" s="164"/>
      <c r="N335" s="164"/>
      <c r="O335" s="164"/>
      <c r="P335" s="164"/>
      <c r="Q335" s="164"/>
      <c r="R335" s="164"/>
      <c r="S335" s="164"/>
      <c r="T335" s="164"/>
      <c r="U335" s="164"/>
      <c r="V335" s="164"/>
      <c r="W335" s="164"/>
      <c r="X335" s="164"/>
      <c r="Y335" s="164"/>
      <c r="Z335" s="164"/>
      <c r="AA335" s="164"/>
      <c r="AB335" s="396"/>
      <c r="AC335" s="164"/>
      <c r="AD335" s="164"/>
      <c r="AE335" s="164"/>
      <c r="AF335" s="164"/>
      <c r="AG335" s="164"/>
      <c r="AH335" s="164"/>
      <c r="AI335" s="164"/>
      <c r="AJ335" s="164"/>
    </row>
    <row r="336" spans="7:36" ht="15" customHeight="1" x14ac:dyDescent="0.2">
      <c r="G336" s="164"/>
      <c r="H336" s="164"/>
      <c r="I336" s="164"/>
      <c r="J336" s="164"/>
      <c r="K336" s="165"/>
      <c r="L336" s="165"/>
      <c r="M336" s="165"/>
      <c r="N336" s="165"/>
      <c r="O336" s="165"/>
      <c r="P336" s="165"/>
      <c r="Q336" s="165"/>
      <c r="R336" s="165"/>
      <c r="S336" s="165"/>
      <c r="T336" s="165"/>
      <c r="U336" s="165"/>
      <c r="V336" s="165"/>
      <c r="W336" s="165"/>
      <c r="X336" s="165"/>
      <c r="Y336" s="165"/>
      <c r="Z336" s="165"/>
      <c r="AA336" s="165"/>
      <c r="AB336" s="165"/>
      <c r="AC336" s="165"/>
      <c r="AD336" s="165"/>
      <c r="AE336" s="165"/>
      <c r="AF336" s="165"/>
      <c r="AG336" s="165"/>
      <c r="AH336" s="165"/>
      <c r="AI336" s="165"/>
      <c r="AJ336" s="165"/>
    </row>
    <row r="337" spans="7:36" ht="15" customHeight="1" x14ac:dyDescent="0.2">
      <c r="G337" s="164"/>
      <c r="H337" s="164"/>
      <c r="I337" s="164"/>
      <c r="J337" s="164"/>
      <c r="K337" s="165"/>
      <c r="L337" s="165"/>
      <c r="M337" s="165"/>
      <c r="N337" s="165"/>
      <c r="O337" s="165"/>
      <c r="P337" s="165"/>
      <c r="Q337" s="165"/>
      <c r="R337" s="165"/>
      <c r="S337" s="165"/>
      <c r="T337" s="165"/>
      <c r="U337" s="165"/>
      <c r="V337" s="165"/>
      <c r="W337" s="165"/>
      <c r="X337" s="165"/>
      <c r="Y337" s="165"/>
      <c r="Z337" s="165"/>
      <c r="AA337" s="165"/>
      <c r="AB337" s="165"/>
      <c r="AC337" s="165"/>
      <c r="AD337" s="165"/>
      <c r="AE337" s="165"/>
      <c r="AF337" s="165"/>
      <c r="AG337" s="165"/>
      <c r="AH337" s="165"/>
      <c r="AI337" s="165"/>
      <c r="AJ337" s="165"/>
    </row>
    <row r="338" spans="7:36" ht="15" customHeight="1" x14ac:dyDescent="0.2">
      <c r="G338" s="164"/>
      <c r="H338" s="164"/>
      <c r="I338" s="164"/>
      <c r="J338" s="164"/>
      <c r="K338" s="165"/>
      <c r="L338" s="165"/>
      <c r="M338" s="165"/>
      <c r="N338" s="165"/>
      <c r="O338" s="165"/>
      <c r="P338" s="165"/>
      <c r="Q338" s="165"/>
      <c r="R338" s="165"/>
      <c r="S338" s="165"/>
      <c r="T338" s="165"/>
      <c r="U338" s="165"/>
      <c r="V338" s="165"/>
      <c r="W338" s="165"/>
      <c r="X338" s="165"/>
      <c r="Y338" s="165"/>
      <c r="Z338" s="165"/>
      <c r="AA338" s="165"/>
      <c r="AB338" s="165"/>
      <c r="AC338" s="165"/>
      <c r="AD338" s="165"/>
      <c r="AE338" s="165"/>
      <c r="AF338" s="165"/>
      <c r="AG338" s="165"/>
      <c r="AH338" s="165"/>
      <c r="AI338" s="165"/>
      <c r="AJ338" s="165"/>
    </row>
  </sheetData>
  <mergeCells count="5">
    <mergeCell ref="A1:E3"/>
    <mergeCell ref="B26:D26"/>
    <mergeCell ref="B7:D7"/>
    <mergeCell ref="G5:H7"/>
    <mergeCell ref="S10:W10"/>
  </mergeCells>
  <conditionalFormatting sqref="G10">
    <cfRule type="expression" dxfId="180" priority="103">
      <formula>#REF!="No"</formula>
    </cfRule>
  </conditionalFormatting>
  <conditionalFormatting sqref="G18">
    <cfRule type="expression" dxfId="179" priority="89">
      <formula>#REF!="No"</formula>
    </cfRule>
  </conditionalFormatting>
  <conditionalFormatting sqref="G40">
    <cfRule type="expression" dxfId="178" priority="37">
      <formula>#REF!="No"</formula>
    </cfRule>
  </conditionalFormatting>
  <conditionalFormatting sqref="G43">
    <cfRule type="expression" dxfId="177" priority="42">
      <formula>#REF!="No"</formula>
    </cfRule>
  </conditionalFormatting>
  <conditionalFormatting sqref="G45">
    <cfRule type="expression" dxfId="176" priority="36">
      <formula>#REF!="No"</formula>
    </cfRule>
  </conditionalFormatting>
  <conditionalFormatting sqref="G90">
    <cfRule type="expression" dxfId="175" priority="98">
      <formula>#REF!="No"</formula>
    </cfRule>
  </conditionalFormatting>
  <conditionalFormatting sqref="G114">
    <cfRule type="expression" dxfId="174" priority="30">
      <formula>#REF!="No"</formula>
    </cfRule>
  </conditionalFormatting>
  <conditionalFormatting sqref="G138">
    <cfRule type="expression" dxfId="173" priority="29">
      <formula>#REF!="No"</formula>
    </cfRule>
  </conditionalFormatting>
  <conditionalFormatting sqref="G163">
    <cfRule type="expression" dxfId="172" priority="93">
      <formula>#REF!="No"</formula>
    </cfRule>
  </conditionalFormatting>
  <conditionalFormatting sqref="G187">
    <cfRule type="expression" dxfId="171" priority="94">
      <formula>#REF!="No"</formula>
    </cfRule>
  </conditionalFormatting>
  <conditionalFormatting sqref="G211">
    <cfRule type="expression" dxfId="170" priority="95">
      <formula>#REF!="No"</formula>
    </cfRule>
  </conditionalFormatting>
  <conditionalFormatting sqref="G236">
    <cfRule type="expression" dxfId="169" priority="92">
      <formula>#REF!="No"</formula>
    </cfRule>
  </conditionalFormatting>
  <conditionalFormatting sqref="G260">
    <cfRule type="expression" dxfId="168" priority="91">
      <formula>#REF!="No"</formula>
    </cfRule>
  </conditionalFormatting>
  <conditionalFormatting sqref="G284">
    <cfRule type="expression" dxfId="167" priority="90">
      <formula>#REF!="No"</formula>
    </cfRule>
  </conditionalFormatting>
  <conditionalFormatting sqref="G309">
    <cfRule type="expression" dxfId="166" priority="74">
      <formula>#REF!="No"</formula>
    </cfRule>
  </conditionalFormatting>
  <conditionalFormatting sqref="G314">
    <cfRule type="expression" dxfId="165" priority="73">
      <formula>#REF!="No"</formula>
    </cfRule>
  </conditionalFormatting>
  <conditionalFormatting sqref="G319">
    <cfRule type="expression" dxfId="164" priority="72">
      <formula>#REF!="No"</formula>
    </cfRule>
  </conditionalFormatting>
  <conditionalFormatting sqref="G325">
    <cfRule type="expression" dxfId="163" priority="71">
      <formula>#REF!="No"</formula>
    </cfRule>
  </conditionalFormatting>
  <conditionalFormatting sqref="G330">
    <cfRule type="expression" dxfId="162" priority="70">
      <formula>#REF!="No"</formula>
    </cfRule>
  </conditionalFormatting>
  <conditionalFormatting sqref="G335">
    <cfRule type="expression" dxfId="161" priority="69">
      <formula>#REF!="No"</formula>
    </cfRule>
  </conditionalFormatting>
  <conditionalFormatting sqref="G33:J33 G34:K37">
    <cfRule type="expression" dxfId="160" priority="17">
      <formula>NOT(OR($I$22="VRF",$I$22="User defined"))</formula>
    </cfRule>
  </conditionalFormatting>
  <conditionalFormatting sqref="G29:K31">
    <cfRule type="expression" dxfId="159" priority="18">
      <formula>$I$22="VRF"</formula>
    </cfRule>
  </conditionalFormatting>
  <conditionalFormatting sqref="J22">
    <cfRule type="expression" dxfId="158" priority="19">
      <formula>NOT(I22="User defined")</formula>
    </cfRule>
  </conditionalFormatting>
  <conditionalFormatting sqref="J31">
    <cfRule type="expression" dxfId="157" priority="24">
      <formula>NOT(I31="User defined")</formula>
    </cfRule>
  </conditionalFormatting>
  <conditionalFormatting sqref="K33">
    <cfRule type="expression" dxfId="156" priority="5">
      <formula>$I$22="VRF"</formula>
    </cfRule>
  </conditionalFormatting>
  <conditionalFormatting sqref="M10">
    <cfRule type="expression" dxfId="155" priority="39">
      <formula>#REF!="No"</formula>
    </cfRule>
  </conditionalFormatting>
  <conditionalFormatting sqref="M15">
    <cfRule type="expression" dxfId="154" priority="57">
      <formula>#REF!="No"</formula>
    </cfRule>
  </conditionalFormatting>
  <conditionalFormatting sqref="M18">
    <cfRule type="expression" dxfId="153" priority="86">
      <formula>#REF!="No"</formula>
    </cfRule>
  </conditionalFormatting>
  <conditionalFormatting sqref="M40">
    <cfRule type="expression" dxfId="152" priority="170">
      <formula>#REF!="No"</formula>
    </cfRule>
  </conditionalFormatting>
  <conditionalFormatting sqref="M43">
    <cfRule type="expression" dxfId="151" priority="41">
      <formula>#REF!="No"</formula>
    </cfRule>
  </conditionalFormatting>
  <conditionalFormatting sqref="M45">
    <cfRule type="expression" dxfId="150" priority="38">
      <formula>#REF!="No"</formula>
    </cfRule>
  </conditionalFormatting>
  <conditionalFormatting sqref="M33:P33 M34:Q37">
    <cfRule type="expression" dxfId="149" priority="13">
      <formula>NOT(OR($O$22="VRF",$O$22="User defined"))</formula>
    </cfRule>
  </conditionalFormatting>
  <conditionalFormatting sqref="M29:Q31">
    <cfRule type="expression" dxfId="148" priority="14">
      <formula>$O$22="VRF"</formula>
    </cfRule>
  </conditionalFormatting>
  <conditionalFormatting sqref="P22">
    <cfRule type="expression" dxfId="147" priority="20">
      <formula>NOT(O22="User defined")</formula>
    </cfRule>
  </conditionalFormatting>
  <conditionalFormatting sqref="P31">
    <cfRule type="expression" dxfId="146" priority="16">
      <formula>NOT(O31="User defined")</formula>
    </cfRule>
  </conditionalFormatting>
  <conditionalFormatting sqref="P33">
    <cfRule type="expression" dxfId="145" priority="7">
      <formula>"P33&gt;(Step1!$K$24*Step1!$K$43)"</formula>
    </cfRule>
  </conditionalFormatting>
  <conditionalFormatting sqref="Q30">
    <cfRule type="expression" dxfId="144" priority="10">
      <formula>$I$22="VRF"</formula>
    </cfRule>
  </conditionalFormatting>
  <conditionalFormatting sqref="Q33">
    <cfRule type="expression" dxfId="143" priority="4">
      <formula>$O$22="VRF"</formula>
    </cfRule>
  </conditionalFormatting>
  <conditionalFormatting sqref="S10">
    <cfRule type="expression" dxfId="142" priority="25">
      <formula>#REF!="No"</formula>
    </cfRule>
  </conditionalFormatting>
  <conditionalFormatting sqref="S41:S43">
    <cfRule type="expression" dxfId="141" priority="27">
      <formula>#REF!="No"</formula>
    </cfRule>
  </conditionalFormatting>
  <conditionalFormatting sqref="T41">
    <cfRule type="expression" dxfId="140" priority="61">
      <formula>#REF!="No"</formula>
    </cfRule>
  </conditionalFormatting>
  <conditionalFormatting sqref="V15">
    <cfRule type="expression" dxfId="139" priority="84">
      <formula>#REF!="No"</formula>
    </cfRule>
  </conditionalFormatting>
  <conditionalFormatting sqref="V18">
    <cfRule type="expression" dxfId="138" priority="88">
      <formula>#REF!="No"</formula>
    </cfRule>
  </conditionalFormatting>
  <conditionalFormatting sqref="V42">
    <cfRule type="expression" dxfId="137" priority="59">
      <formula>#REF!="No"</formula>
    </cfRule>
  </conditionalFormatting>
  <conditionalFormatting sqref="W42:W43">
    <cfRule type="expression" dxfId="136" priority="26">
      <formula>#REF!="No"</formula>
    </cfRule>
  </conditionalFormatting>
  <conditionalFormatting sqref="Y10">
    <cfRule type="expression" dxfId="135" priority="28">
      <formula>#REF!="No"</formula>
    </cfRule>
  </conditionalFormatting>
  <conditionalFormatting sqref="Y15">
    <cfRule type="expression" dxfId="134" priority="55">
      <formula>#REF!="No"</formula>
    </cfRule>
  </conditionalFormatting>
  <conditionalFormatting sqref="Y18">
    <cfRule type="expression" dxfId="133" priority="85">
      <formula>#REF!="No"</formula>
    </cfRule>
  </conditionalFormatting>
  <conditionalFormatting sqref="Y40">
    <cfRule type="expression" dxfId="132" priority="35">
      <formula>#REF!="No"</formula>
    </cfRule>
  </conditionalFormatting>
  <conditionalFormatting sqref="Y43">
    <cfRule type="expression" dxfId="131" priority="34">
      <formula>#REF!="No"</formula>
    </cfRule>
  </conditionalFormatting>
  <conditionalFormatting sqref="Y45">
    <cfRule type="expression" dxfId="130" priority="33">
      <formula>#REF!="No"</formula>
    </cfRule>
  </conditionalFormatting>
  <conditionalFormatting sqref="Y33:AB33 Y34:AC37">
    <cfRule type="expression" dxfId="129" priority="11">
      <formula>NOT(OR($AA$22="VRF",$AA$22="User defined"))</formula>
    </cfRule>
  </conditionalFormatting>
  <conditionalFormatting sqref="Y29:AC31">
    <cfRule type="expression" dxfId="128" priority="12">
      <formula>$AA$22="VRF"</formula>
    </cfRule>
  </conditionalFormatting>
  <conditionalFormatting sqref="AB22">
    <cfRule type="expression" dxfId="127" priority="21">
      <formula>NOT(AA22="User defined")</formula>
    </cfRule>
  </conditionalFormatting>
  <conditionalFormatting sqref="AB31">
    <cfRule type="expression" dxfId="126" priority="22">
      <formula>NOT(AA31="User defined")</formula>
    </cfRule>
  </conditionalFormatting>
  <conditionalFormatting sqref="AC30">
    <cfRule type="expression" dxfId="125" priority="9">
      <formula>$I$22="VRF"</formula>
    </cfRule>
  </conditionalFormatting>
  <conditionalFormatting sqref="AC33">
    <cfRule type="expression" dxfId="124" priority="3">
      <formula>$AA$22="VRF"</formula>
    </cfRule>
  </conditionalFormatting>
  <hyperlinks>
    <hyperlink ref="G5:H7" location="SimpleStep2!A1" display="Done" xr:uid="{00000000-0004-0000-0A00-000000000000}"/>
  </hyperlinks>
  <pageMargins left="0.25" right="0.25" top="0.75" bottom="0.75" header="0.3" footer="0.3"/>
  <pageSetup paperSize="9" scale="10"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A00-000000000000}">
          <x14:formula1>
            <xm:f>Data!$G$99:$G$103</xm:f>
          </x14:formula1>
          <xm:sqref>I22 AA22 O22</xm:sqref>
        </x14:dataValidation>
        <x14:dataValidation type="list" allowBlank="1" showInputMessage="1" showErrorMessage="1" xr:uid="{00000000-0002-0000-0A00-000001000000}">
          <x14:formula1>
            <xm:f>Data!$G$106:$G$110</xm:f>
          </x14:formula1>
          <xm:sqref>O31 I31 AA31</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
    <pageSetUpPr fitToPage="1"/>
  </sheetPr>
  <dimension ref="A1:AL339"/>
  <sheetViews>
    <sheetView showGridLines="0" zoomScale="55" zoomScaleNormal="55" zoomScaleSheetLayoutView="55" workbookViewId="0">
      <selection activeCell="G5" sqref="G5:H7"/>
    </sheetView>
  </sheetViews>
  <sheetFormatPr defaultColWidth="8.7109375" defaultRowHeight="15" customHeight="1" x14ac:dyDescent="0.2"/>
  <cols>
    <col min="1" max="1" width="3.7109375" style="153" customWidth="1"/>
    <col min="2" max="2" width="8.85546875" style="160" customWidth="1"/>
    <col min="3" max="3" width="8.7109375" style="540" customWidth="1"/>
    <col min="4" max="4" width="8.7109375" style="156" customWidth="1"/>
    <col min="5" max="5" width="3.7109375" style="155" customWidth="1"/>
    <col min="6" max="8" width="8.7109375" style="8"/>
    <col min="9" max="9" width="25.7109375" style="8" customWidth="1"/>
    <col min="10" max="11" width="12.7109375" style="8" customWidth="1"/>
    <col min="12" max="12" width="8.7109375" style="10" customWidth="1"/>
    <col min="13" max="14" width="8.7109375" style="8" customWidth="1"/>
    <col min="15" max="15" width="25.7109375" style="8" customWidth="1"/>
    <col min="16" max="17" width="12.7109375" style="8" customWidth="1"/>
    <col min="18" max="18" width="8.7109375" style="9" customWidth="1"/>
    <col min="19" max="19" width="8.7109375" style="10" customWidth="1"/>
    <col min="20" max="24" width="8.7109375" style="8" customWidth="1"/>
    <col min="25" max="25" width="8.7109375" style="8"/>
    <col min="26" max="26" width="8.7109375" style="10" customWidth="1"/>
    <col min="27" max="27" width="25.7109375" style="8" customWidth="1"/>
    <col min="28" max="29" width="12.7109375" style="8" customWidth="1"/>
    <col min="30" max="33" width="8.7109375" style="8"/>
    <col min="34" max="36" width="8.7109375" style="8" customWidth="1"/>
    <col min="37" max="37" width="8.7109375" style="8"/>
    <col min="38" max="38" width="8.7109375" style="121"/>
    <col min="39" max="16384" width="8.7109375" style="8"/>
  </cols>
  <sheetData>
    <row r="1" spans="1:31" ht="15" customHeight="1" x14ac:dyDescent="0.25">
      <c r="A1" s="1072"/>
      <c r="B1" s="1072"/>
      <c r="C1" s="1072"/>
      <c r="D1" s="1072"/>
      <c r="E1" s="1072"/>
    </row>
    <row r="2" spans="1:31" ht="15" customHeight="1" x14ac:dyDescent="0.25">
      <c r="A2" s="1072"/>
      <c r="B2" s="1072"/>
      <c r="C2" s="1072"/>
      <c r="D2" s="1072"/>
      <c r="E2" s="1072"/>
      <c r="H2" s="19"/>
      <c r="I2" s="19"/>
      <c r="J2" s="19"/>
      <c r="K2" s="20"/>
      <c r="M2" s="20"/>
      <c r="N2" s="19"/>
      <c r="O2" s="19"/>
      <c r="P2" s="19"/>
      <c r="Q2" s="21"/>
    </row>
    <row r="3" spans="1:31" ht="15" customHeight="1" x14ac:dyDescent="0.25">
      <c r="A3" s="1072"/>
      <c r="B3" s="1072"/>
      <c r="C3" s="1072"/>
      <c r="D3" s="1072"/>
      <c r="E3" s="1072"/>
    </row>
    <row r="4" spans="1:31" ht="15" customHeight="1" x14ac:dyDescent="0.25">
      <c r="A4" s="623"/>
      <c r="B4" s="623"/>
      <c r="C4" s="623"/>
      <c r="D4" s="623"/>
      <c r="E4" s="623"/>
    </row>
    <row r="5" spans="1:31" ht="15" customHeight="1" x14ac:dyDescent="0.2">
      <c r="A5" s="672"/>
      <c r="B5" s="160" t="s">
        <v>251</v>
      </c>
      <c r="C5" s="155"/>
      <c r="E5" s="672"/>
      <c r="G5" s="1020" t="s">
        <v>201</v>
      </c>
      <c r="H5" s="1020"/>
    </row>
    <row r="6" spans="1:31" ht="15" customHeight="1" x14ac:dyDescent="0.2">
      <c r="A6" s="672"/>
      <c r="C6" s="155"/>
      <c r="E6" s="672"/>
      <c r="G6" s="1020"/>
      <c r="H6" s="1020"/>
      <c r="Q6" s="9"/>
      <c r="W6" s="627"/>
      <c r="X6" s="627"/>
    </row>
    <row r="7" spans="1:31" ht="15" customHeight="1" x14ac:dyDescent="0.25">
      <c r="A7" s="672"/>
      <c r="B7" s="1073" t="str">
        <f>IF(Step1!K12="New building",Step1!Q12,Step1!K15)</f>
        <v>1-19 Torrington Place</v>
      </c>
      <c r="C7" s="1073"/>
      <c r="D7" s="1073"/>
      <c r="E7" s="672"/>
      <c r="G7" s="1020"/>
      <c r="H7" s="1020"/>
      <c r="I7" s="22"/>
      <c r="J7" s="22"/>
      <c r="Q7" s="9"/>
      <c r="W7" s="627"/>
      <c r="X7" s="627"/>
    </row>
    <row r="8" spans="1:31" ht="15" customHeight="1" x14ac:dyDescent="0.2">
      <c r="B8" s="154"/>
      <c r="C8" s="155"/>
      <c r="H8" s="22"/>
      <c r="I8" s="22"/>
      <c r="J8" s="22"/>
      <c r="S8" s="498"/>
      <c r="T8" s="498"/>
    </row>
    <row r="9" spans="1:31" ht="15" customHeight="1" thickBot="1" x14ac:dyDescent="0.25">
      <c r="B9" s="154"/>
      <c r="C9" s="155"/>
      <c r="H9" s="22"/>
      <c r="I9" s="22"/>
      <c r="J9" s="22"/>
      <c r="S9" s="498"/>
      <c r="T9" s="498"/>
    </row>
    <row r="10" spans="1:31" ht="15" customHeight="1" thickBot="1" x14ac:dyDescent="0.25">
      <c r="B10" s="537"/>
      <c r="C10" s="155"/>
      <c r="G10" s="817" t="s">
        <v>573</v>
      </c>
      <c r="H10" s="297"/>
      <c r="I10" s="297"/>
      <c r="J10" s="297"/>
      <c r="K10" s="298"/>
      <c r="L10" s="1"/>
      <c r="M10" s="339" t="s">
        <v>525</v>
      </c>
      <c r="N10" s="299"/>
      <c r="O10" s="299"/>
      <c r="P10" s="299"/>
      <c r="Q10" s="300"/>
      <c r="S10" s="1019" t="s">
        <v>496</v>
      </c>
      <c r="T10" s="1019"/>
      <c r="U10" s="1019"/>
      <c r="V10" s="1019"/>
      <c r="W10" s="1019"/>
      <c r="Y10" s="873" t="s">
        <v>530</v>
      </c>
      <c r="Z10" s="303"/>
      <c r="AA10" s="303"/>
      <c r="AB10" s="303"/>
      <c r="AC10" s="306"/>
    </row>
    <row r="11" spans="1:31" ht="15" customHeight="1" thickBot="1" x14ac:dyDescent="0.25">
      <c r="B11" s="157"/>
      <c r="C11" s="155"/>
      <c r="G11" s="865" t="s">
        <v>464</v>
      </c>
      <c r="H11" s="176"/>
      <c r="I11" s="176"/>
      <c r="J11" s="1004">
        <f>J52+J53</f>
        <v>0</v>
      </c>
      <c r="K11" s="993" t="str">
        <f>IF(J11&gt;(Step1!K24*Step1!K42),"Warning!","")</f>
        <v/>
      </c>
      <c r="L11" s="538"/>
      <c r="M11" s="167" t="s">
        <v>451</v>
      </c>
      <c r="N11" s="168"/>
      <c r="O11" s="168"/>
      <c r="P11" s="262">
        <f>P52+P53</f>
        <v>0</v>
      </c>
      <c r="Q11" s="247" t="str">
        <f>IF(P11&gt;(Step1!K24*Step1!K42),"Warning!","")</f>
        <v/>
      </c>
      <c r="R11" s="122"/>
      <c r="S11" s="538"/>
      <c r="T11" s="538"/>
      <c r="U11" s="122"/>
      <c r="V11" s="122"/>
      <c r="W11" s="122"/>
      <c r="X11" s="123"/>
      <c r="Y11" s="832" t="s">
        <v>451</v>
      </c>
      <c r="Z11" s="168"/>
      <c r="AA11" s="168"/>
      <c r="AB11" s="1001">
        <f>AB52+AB53</f>
        <v>0</v>
      </c>
      <c r="AC11" s="179" t="str">
        <f>IF(AB11&gt;(Step1!K24*Step1!K42),"Warning!","")</f>
        <v/>
      </c>
      <c r="AD11" s="538"/>
      <c r="AE11" s="122"/>
    </row>
    <row r="12" spans="1:31" ht="15" customHeight="1" thickBot="1" x14ac:dyDescent="0.25">
      <c r="B12" s="539"/>
      <c r="G12" s="819"/>
      <c r="H12" s="168"/>
      <c r="I12" s="168"/>
      <c r="J12" s="168"/>
      <c r="K12" s="243"/>
      <c r="L12" s="121"/>
      <c r="M12" s="167" t="s">
        <v>387</v>
      </c>
      <c r="N12" s="168"/>
      <c r="O12" s="168"/>
      <c r="P12" s="265" t="e">
        <f>1-(P11/J11)</f>
        <v>#DIV/0!</v>
      </c>
      <c r="Q12" s="247"/>
      <c r="R12" s="122"/>
      <c r="S12" s="122"/>
      <c r="T12" s="124"/>
      <c r="U12" s="122"/>
      <c r="V12" s="122"/>
      <c r="W12" s="122"/>
      <c r="X12" s="122"/>
      <c r="Y12" s="832" t="s">
        <v>387</v>
      </c>
      <c r="Z12" s="168"/>
      <c r="AA12" s="168"/>
      <c r="AB12" s="1013" t="e">
        <f>1-(AB11/J11)</f>
        <v>#DIV/0!</v>
      </c>
      <c r="AC12" s="179"/>
      <c r="AD12" s="124"/>
      <c r="AE12" s="121"/>
    </row>
    <row r="13" spans="1:31" ht="15" customHeight="1" x14ac:dyDescent="0.2">
      <c r="B13" s="157"/>
      <c r="C13" s="158"/>
      <c r="G13" s="820"/>
      <c r="H13" s="364"/>
      <c r="I13" s="364"/>
      <c r="J13" s="364"/>
      <c r="K13" s="352"/>
      <c r="L13" s="121"/>
      <c r="M13" s="364"/>
      <c r="N13" s="364"/>
      <c r="O13" s="364"/>
      <c r="P13" s="364"/>
      <c r="Q13" s="352"/>
      <c r="R13" s="122"/>
      <c r="S13" s="122"/>
      <c r="T13" s="124"/>
      <c r="U13" s="122"/>
      <c r="V13" s="122"/>
      <c r="W13" s="122"/>
      <c r="X13" s="122"/>
      <c r="Y13" s="892"/>
      <c r="Z13" s="364"/>
      <c r="AA13" s="364"/>
      <c r="AB13" s="353"/>
      <c r="AC13" s="353"/>
      <c r="AD13" s="124"/>
      <c r="AE13" s="121"/>
    </row>
    <row r="14" spans="1:31" ht="15" customHeight="1" thickBot="1" x14ac:dyDescent="0.25">
      <c r="B14" s="157"/>
      <c r="C14" s="158"/>
      <c r="G14" s="818" t="s">
        <v>659</v>
      </c>
      <c r="H14" s="13"/>
      <c r="I14" s="223"/>
      <c r="J14" s="223"/>
      <c r="K14" s="245"/>
      <c r="M14" s="232" t="s">
        <v>659</v>
      </c>
      <c r="N14" s="13"/>
      <c r="O14" s="223"/>
      <c r="P14" s="226"/>
      <c r="Q14" s="245"/>
      <c r="Y14" s="830" t="s">
        <v>659</v>
      </c>
      <c r="Z14" s="268"/>
      <c r="AA14" s="223"/>
      <c r="AB14" s="223"/>
      <c r="AC14" s="294"/>
    </row>
    <row r="15" spans="1:31" ht="15" customHeight="1" thickBot="1" x14ac:dyDescent="0.25">
      <c r="B15" s="159"/>
      <c r="C15" s="155"/>
      <c r="G15" s="825" t="s">
        <v>660</v>
      </c>
      <c r="H15" s="222"/>
      <c r="I15" s="238" t="s">
        <v>618</v>
      </c>
      <c r="J15" s="650"/>
      <c r="K15" s="246">
        <f>VLOOKUP(I15,Data!$G$115:$P$124,9,FALSE)</f>
        <v>0</v>
      </c>
      <c r="L15" s="1"/>
      <c r="M15" s="239" t="s">
        <v>660</v>
      </c>
      <c r="N15" s="13"/>
      <c r="O15" s="238" t="s">
        <v>618</v>
      </c>
      <c r="P15" s="650"/>
      <c r="Q15" s="246">
        <f>VLOOKUP(O15,Data!$G$115:$P$124,10,FALSE)</f>
        <v>0</v>
      </c>
      <c r="Y15" s="836" t="s">
        <v>660</v>
      </c>
      <c r="Z15" s="237"/>
      <c r="AA15" s="238" t="s">
        <v>618</v>
      </c>
      <c r="AB15" s="650"/>
      <c r="AC15" s="246">
        <f>VLOOKUP(AA15,Data!$G$115:$Q$124,11,FALSE)</f>
        <v>0</v>
      </c>
    </row>
    <row r="16" spans="1:31" ht="15" customHeight="1" thickBot="1" x14ac:dyDescent="0.25">
      <c r="B16" s="159"/>
      <c r="C16" s="155"/>
      <c r="G16" s="825" t="s">
        <v>661</v>
      </c>
      <c r="H16" s="222"/>
      <c r="I16" s="238" t="s">
        <v>617</v>
      </c>
      <c r="J16" s="650"/>
      <c r="K16" s="246">
        <f>VLOOKUP(I16,Data!$G$115:$P$124,9,FALSE)</f>
        <v>0</v>
      </c>
      <c r="M16" s="239" t="s">
        <v>661</v>
      </c>
      <c r="N16" s="13"/>
      <c r="O16" s="238" t="s">
        <v>617</v>
      </c>
      <c r="P16" s="650"/>
      <c r="Q16" s="246">
        <f>VLOOKUP(O16,Data!$G$115:$P$124,10,FALSE)</f>
        <v>0</v>
      </c>
      <c r="Y16" s="836" t="s">
        <v>661</v>
      </c>
      <c r="Z16" s="237"/>
      <c r="AA16" s="238" t="s">
        <v>617</v>
      </c>
      <c r="AB16" s="650"/>
      <c r="AC16" s="246">
        <f>VLOOKUP(AA16,Data!$G$115:$Q$124,11,FALSE)</f>
        <v>0</v>
      </c>
    </row>
    <row r="17" spans="2:29" ht="15" customHeight="1" thickBot="1" x14ac:dyDescent="0.25">
      <c r="B17" s="159"/>
      <c r="C17" s="155"/>
      <c r="G17" s="825" t="s">
        <v>662</v>
      </c>
      <c r="H17" s="198"/>
      <c r="I17" s="238" t="s">
        <v>619</v>
      </c>
      <c r="J17" s="650"/>
      <c r="K17" s="246">
        <f>VLOOKUP(I17,Data!$G$115:$P$124,9,FALSE)</f>
        <v>0</v>
      </c>
      <c r="M17" s="239" t="s">
        <v>662</v>
      </c>
      <c r="N17" s="13"/>
      <c r="O17" s="238" t="s">
        <v>619</v>
      </c>
      <c r="P17" s="650"/>
      <c r="Q17" s="246">
        <f>VLOOKUP(O17,Data!$G$115:$P$124,10,FALSE)</f>
        <v>0</v>
      </c>
      <c r="Y17" s="836" t="s">
        <v>662</v>
      </c>
      <c r="Z17" s="324"/>
      <c r="AA17" s="238" t="s">
        <v>619</v>
      </c>
      <c r="AB17" s="650"/>
      <c r="AC17" s="246">
        <f>VLOOKUP(AA17,Data!$G$115:$Q$124,11,FALSE)</f>
        <v>0</v>
      </c>
    </row>
    <row r="18" spans="2:29" ht="15" customHeight="1" thickBot="1" x14ac:dyDescent="0.25">
      <c r="B18" s="159"/>
      <c r="C18" s="155"/>
      <c r="G18" s="894"/>
      <c r="H18" s="13"/>
      <c r="I18" s="653"/>
      <c r="J18" s="13"/>
      <c r="K18" s="294"/>
      <c r="M18" s="295"/>
      <c r="N18" s="13"/>
      <c r="O18" s="13"/>
      <c r="P18" s="13"/>
      <c r="Q18" s="294"/>
      <c r="Y18" s="893"/>
      <c r="Z18" s="325"/>
      <c r="AA18" s="323"/>
      <c r="AB18" s="268"/>
      <c r="AC18" s="294"/>
    </row>
    <row r="19" spans="2:29" ht="15" customHeight="1" thickBot="1" x14ac:dyDescent="0.25">
      <c r="B19" s="159"/>
      <c r="C19" s="155"/>
      <c r="G19" s="825" t="s">
        <v>663</v>
      </c>
      <c r="H19" s="13"/>
      <c r="I19" s="13"/>
      <c r="J19" s="172">
        <v>0</v>
      </c>
      <c r="K19" s="246">
        <f>IF(ISNUMBER(K15),K15*J19,0)</f>
        <v>0</v>
      </c>
      <c r="M19" s="239" t="s">
        <v>663</v>
      </c>
      <c r="N19" s="13"/>
      <c r="O19" s="13"/>
      <c r="P19" s="172">
        <v>0</v>
      </c>
      <c r="Q19" s="246">
        <f>IF(ISNUMBER(Q15),Q15*P19,0)</f>
        <v>0</v>
      </c>
      <c r="Y19" s="836" t="s">
        <v>663</v>
      </c>
      <c r="Z19" s="325"/>
      <c r="AA19" s="325"/>
      <c r="AB19" s="172">
        <v>100</v>
      </c>
      <c r="AC19" s="246">
        <f>IF(ISNUMBER(AC15),AC15*AB19,0)</f>
        <v>0</v>
      </c>
    </row>
    <row r="20" spans="2:29" ht="15" customHeight="1" thickBot="1" x14ac:dyDescent="0.25">
      <c r="B20" s="159"/>
      <c r="C20" s="155"/>
      <c r="G20" s="825" t="s">
        <v>664</v>
      </c>
      <c r="H20" s="13"/>
      <c r="I20" s="13"/>
      <c r="J20" s="172">
        <v>0</v>
      </c>
      <c r="K20" s="246">
        <f t="shared" ref="K20:K21" si="0">IF(ISNUMBER(K16),K16*J20,0)</f>
        <v>0</v>
      </c>
      <c r="M20" s="239" t="s">
        <v>664</v>
      </c>
      <c r="N20" s="13"/>
      <c r="O20" s="13"/>
      <c r="P20" s="172">
        <v>0</v>
      </c>
      <c r="Q20" s="246">
        <f t="shared" ref="Q20:Q21" si="1">IF(ISNUMBER(Q16),Q16*P20,0)</f>
        <v>0</v>
      </c>
      <c r="Y20" s="836" t="s">
        <v>664</v>
      </c>
      <c r="Z20" s="325"/>
      <c r="AA20" s="325"/>
      <c r="AB20" s="172">
        <v>0</v>
      </c>
      <c r="AC20" s="246">
        <f t="shared" ref="AC20:AC21" si="2">IF(ISNUMBER(AC16),AC16*AB20,0)</f>
        <v>0</v>
      </c>
    </row>
    <row r="21" spans="2:29" ht="15" customHeight="1" thickBot="1" x14ac:dyDescent="0.25">
      <c r="G21" s="825" t="s">
        <v>665</v>
      </c>
      <c r="H21" s="13"/>
      <c r="I21" s="13"/>
      <c r="J21" s="172">
        <v>0</v>
      </c>
      <c r="K21" s="246">
        <f t="shared" si="0"/>
        <v>0</v>
      </c>
      <c r="M21" s="239" t="s">
        <v>665</v>
      </c>
      <c r="N21" s="13"/>
      <c r="O21" s="13"/>
      <c r="P21" s="172">
        <v>0</v>
      </c>
      <c r="Q21" s="246">
        <f t="shared" si="1"/>
        <v>0</v>
      </c>
      <c r="Y21" s="836" t="s">
        <v>665</v>
      </c>
      <c r="Z21" s="325"/>
      <c r="AA21" s="325"/>
      <c r="AB21" s="172">
        <v>0</v>
      </c>
      <c r="AC21" s="246">
        <f t="shared" si="2"/>
        <v>0</v>
      </c>
    </row>
    <row r="22" spans="2:29" ht="15" customHeight="1" thickBot="1" x14ac:dyDescent="0.25">
      <c r="G22" s="325"/>
      <c r="H22" s="325"/>
      <c r="I22" s="325"/>
      <c r="J22" s="325"/>
      <c r="K22" s="325"/>
      <c r="M22" s="325"/>
      <c r="N22" s="13"/>
      <c r="O22" s="13"/>
      <c r="P22" s="325"/>
      <c r="Q22" s="325"/>
      <c r="Y22" s="325"/>
      <c r="Z22" s="325"/>
      <c r="AA22" s="325"/>
      <c r="AB22" s="325"/>
      <c r="AC22" s="325"/>
    </row>
    <row r="23" spans="2:29" ht="15" customHeight="1" x14ac:dyDescent="0.2">
      <c r="G23" s="820"/>
      <c r="H23" s="342"/>
      <c r="I23" s="342"/>
      <c r="J23" s="342"/>
      <c r="K23" s="346"/>
      <c r="M23" s="354"/>
      <c r="N23" s="342"/>
      <c r="O23" s="342"/>
      <c r="P23" s="342"/>
      <c r="Q23" s="346"/>
      <c r="Y23" s="862"/>
      <c r="Z23" s="364"/>
      <c r="AA23" s="353"/>
      <c r="AB23" s="353"/>
      <c r="AC23" s="353"/>
    </row>
    <row r="24" spans="2:29" ht="15" customHeight="1" thickBot="1" x14ac:dyDescent="0.25">
      <c r="B24" s="537"/>
      <c r="C24" s="158"/>
      <c r="G24" s="823" t="s">
        <v>397</v>
      </c>
      <c r="H24" s="220"/>
      <c r="I24" s="220"/>
      <c r="J24" s="220"/>
      <c r="K24" s="244"/>
      <c r="M24" s="225" t="s">
        <v>397</v>
      </c>
      <c r="N24" s="220"/>
      <c r="O24" s="220"/>
      <c r="P24" s="220"/>
      <c r="Q24" s="244"/>
      <c r="Y24" s="838" t="s">
        <v>397</v>
      </c>
      <c r="Z24" s="235"/>
      <c r="AA24" s="229"/>
      <c r="AB24" s="229"/>
      <c r="AC24" s="294"/>
    </row>
    <row r="25" spans="2:29" ht="15" customHeight="1" thickBot="1" x14ac:dyDescent="0.25">
      <c r="B25" s="157"/>
      <c r="C25" s="158"/>
      <c r="G25" s="819" t="s">
        <v>299</v>
      </c>
      <c r="H25" s="171"/>
      <c r="I25" s="171"/>
      <c r="J25" s="172">
        <v>8</v>
      </c>
      <c r="K25" s="247">
        <f t="shared" ref="K25:K27" si="3">J25</f>
        <v>8</v>
      </c>
      <c r="M25" s="170" t="s">
        <v>299</v>
      </c>
      <c r="N25" s="171"/>
      <c r="O25" s="171"/>
      <c r="P25" s="172">
        <v>8</v>
      </c>
      <c r="Q25" s="247">
        <f t="shared" ref="Q25:Q27" si="4">P25</f>
        <v>8</v>
      </c>
      <c r="Y25" s="837" t="s">
        <v>299</v>
      </c>
      <c r="Z25" s="171"/>
      <c r="AA25" s="401"/>
      <c r="AB25" s="172">
        <v>8</v>
      </c>
      <c r="AC25" s="246">
        <f>AB25</f>
        <v>8</v>
      </c>
    </row>
    <row r="26" spans="2:29" ht="15" customHeight="1" thickBot="1" x14ac:dyDescent="0.25">
      <c r="B26" s="537"/>
      <c r="C26" s="158"/>
      <c r="G26" s="819" t="s">
        <v>300</v>
      </c>
      <c r="H26" s="171"/>
      <c r="I26" s="171"/>
      <c r="J26" s="172">
        <v>5</v>
      </c>
      <c r="K26" s="247">
        <f t="shared" si="3"/>
        <v>5</v>
      </c>
      <c r="M26" s="170" t="s">
        <v>300</v>
      </c>
      <c r="N26" s="171"/>
      <c r="O26" s="171"/>
      <c r="P26" s="172">
        <v>5</v>
      </c>
      <c r="Q26" s="247">
        <f t="shared" si="4"/>
        <v>5</v>
      </c>
      <c r="Y26" s="837" t="s">
        <v>300</v>
      </c>
      <c r="Z26" s="171"/>
      <c r="AA26" s="181"/>
      <c r="AB26" s="172">
        <v>5</v>
      </c>
      <c r="AC26" s="246">
        <f t="shared" ref="AC26:AC30" si="5">AB26</f>
        <v>5</v>
      </c>
    </row>
    <row r="27" spans="2:29" ht="15" customHeight="1" thickBot="1" x14ac:dyDescent="0.25">
      <c r="B27" s="154"/>
      <c r="C27" s="155"/>
      <c r="G27" s="819" t="s">
        <v>301</v>
      </c>
      <c r="H27" s="171"/>
      <c r="I27" s="171"/>
      <c r="J27" s="174">
        <v>40</v>
      </c>
      <c r="K27" s="247">
        <f t="shared" si="3"/>
        <v>40</v>
      </c>
      <c r="M27" s="170" t="s">
        <v>301</v>
      </c>
      <c r="N27" s="171"/>
      <c r="O27" s="171"/>
      <c r="P27" s="174">
        <v>40</v>
      </c>
      <c r="Q27" s="247">
        <f t="shared" si="4"/>
        <v>40</v>
      </c>
      <c r="Y27" s="837" t="s">
        <v>301</v>
      </c>
      <c r="Z27" s="176"/>
      <c r="AA27" s="181"/>
      <c r="AB27" s="174">
        <v>40</v>
      </c>
      <c r="AC27" s="246">
        <f t="shared" si="5"/>
        <v>40</v>
      </c>
    </row>
    <row r="28" spans="2:29" ht="15" customHeight="1" thickBot="1" x14ac:dyDescent="0.25">
      <c r="B28" s="154"/>
      <c r="C28" s="155"/>
      <c r="G28" s="819" t="s">
        <v>302</v>
      </c>
      <c r="H28" s="171"/>
      <c r="I28" s="171"/>
      <c r="J28" s="172">
        <v>2</v>
      </c>
      <c r="K28" s="247">
        <f>J28</f>
        <v>2</v>
      </c>
      <c r="M28" s="170" t="s">
        <v>302</v>
      </c>
      <c r="N28" s="171"/>
      <c r="O28" s="171"/>
      <c r="P28" s="172">
        <v>2</v>
      </c>
      <c r="Q28" s="247">
        <f>P28</f>
        <v>2</v>
      </c>
      <c r="Y28" s="837" t="s">
        <v>302</v>
      </c>
      <c r="Z28" s="171"/>
      <c r="AA28" s="181"/>
      <c r="AB28" s="172">
        <v>2</v>
      </c>
      <c r="AC28" s="246">
        <f t="shared" si="5"/>
        <v>2</v>
      </c>
    </row>
    <row r="29" spans="2:29" ht="15" customHeight="1" thickBot="1" x14ac:dyDescent="0.25">
      <c r="B29" s="154"/>
      <c r="C29" s="155"/>
      <c r="G29" s="819" t="s">
        <v>303</v>
      </c>
      <c r="H29" s="171"/>
      <c r="I29" s="171"/>
      <c r="J29" s="172">
        <v>5</v>
      </c>
      <c r="K29" s="247">
        <f>J29</f>
        <v>5</v>
      </c>
      <c r="M29" s="170" t="s">
        <v>303</v>
      </c>
      <c r="N29" s="171"/>
      <c r="O29" s="171"/>
      <c r="P29" s="172">
        <v>5</v>
      </c>
      <c r="Q29" s="247">
        <f>P29</f>
        <v>5</v>
      </c>
      <c r="Y29" s="837" t="s">
        <v>303</v>
      </c>
      <c r="Z29" s="171"/>
      <c r="AA29" s="181"/>
      <c r="AB29" s="172">
        <v>5</v>
      </c>
      <c r="AC29" s="246">
        <f t="shared" si="5"/>
        <v>5</v>
      </c>
    </row>
    <row r="30" spans="2:29" ht="15" customHeight="1" thickBot="1" x14ac:dyDescent="0.25">
      <c r="C30" s="155"/>
      <c r="G30" s="819" t="s">
        <v>304</v>
      </c>
      <c r="H30" s="171"/>
      <c r="I30" s="171"/>
      <c r="J30" s="174">
        <v>40</v>
      </c>
      <c r="K30" s="247">
        <f>J30</f>
        <v>40</v>
      </c>
      <c r="M30" s="170" t="s">
        <v>304</v>
      </c>
      <c r="N30" s="171"/>
      <c r="O30" s="171"/>
      <c r="P30" s="174">
        <v>40</v>
      </c>
      <c r="Q30" s="247">
        <f>P30</f>
        <v>40</v>
      </c>
      <c r="Y30" s="837" t="s">
        <v>304</v>
      </c>
      <c r="Z30" s="176"/>
      <c r="AA30" s="181"/>
      <c r="AB30" s="174">
        <v>40</v>
      </c>
      <c r="AC30" s="246">
        <f t="shared" si="5"/>
        <v>40</v>
      </c>
    </row>
    <row r="31" spans="2:29" ht="15" customHeight="1" x14ac:dyDescent="0.2">
      <c r="C31" s="160"/>
      <c r="D31" s="160"/>
      <c r="G31" s="820"/>
      <c r="H31" s="342"/>
      <c r="I31" s="342"/>
      <c r="J31" s="342"/>
      <c r="K31" s="352"/>
      <c r="M31" s="342"/>
      <c r="N31" s="342"/>
      <c r="O31" s="342"/>
      <c r="P31" s="342"/>
      <c r="Q31" s="352"/>
      <c r="Y31" s="862"/>
      <c r="Z31" s="342"/>
      <c r="AA31" s="342"/>
      <c r="AB31" s="353"/>
      <c r="AC31" s="368"/>
    </row>
    <row r="32" spans="2:29" ht="15" customHeight="1" thickBot="1" x14ac:dyDescent="0.25">
      <c r="C32" s="155"/>
      <c r="G32" s="823" t="s">
        <v>396</v>
      </c>
      <c r="H32" s="220"/>
      <c r="I32" s="220"/>
      <c r="J32" s="220"/>
      <c r="K32" s="244"/>
      <c r="M32" s="225" t="s">
        <v>396</v>
      </c>
      <c r="N32" s="220"/>
      <c r="O32" s="220"/>
      <c r="P32" s="220"/>
      <c r="Q32" s="244"/>
      <c r="Y32" s="838" t="s">
        <v>396</v>
      </c>
      <c r="Z32" s="235"/>
      <c r="AA32" s="408"/>
      <c r="AB32" s="229"/>
      <c r="AC32" s="294"/>
    </row>
    <row r="33" spans="2:31" ht="15" customHeight="1" thickBot="1" x14ac:dyDescent="0.25">
      <c r="C33" s="155"/>
      <c r="E33" s="161"/>
      <c r="G33" s="819" t="s">
        <v>310</v>
      </c>
      <c r="H33" s="171"/>
      <c r="I33" s="171"/>
      <c r="J33" s="174" t="s">
        <v>255</v>
      </c>
      <c r="K33" s="248">
        <f>IF(J33="Yes",0.9,1)</f>
        <v>1</v>
      </c>
      <c r="M33" s="170" t="s">
        <v>310</v>
      </c>
      <c r="N33" s="171"/>
      <c r="O33" s="171"/>
      <c r="P33" s="174" t="s">
        <v>255</v>
      </c>
      <c r="Q33" s="248">
        <f>IF(P33="Yes",0.9,1)</f>
        <v>1</v>
      </c>
      <c r="Y33" s="837" t="s">
        <v>218</v>
      </c>
      <c r="Z33" s="171"/>
      <c r="AA33" s="401"/>
      <c r="AB33" s="174" t="s">
        <v>255</v>
      </c>
      <c r="AC33" s="248">
        <f>IF(AB33="Yes",0.9,1)</f>
        <v>1</v>
      </c>
    </row>
    <row r="34" spans="2:31" ht="15" customHeight="1" thickBot="1" x14ac:dyDescent="0.25">
      <c r="C34" s="155"/>
      <c r="G34" s="819"/>
      <c r="H34" s="171"/>
      <c r="I34" s="171"/>
      <c r="J34" s="171"/>
      <c r="K34" s="243"/>
      <c r="M34" s="171"/>
      <c r="N34" s="171"/>
      <c r="O34" s="171"/>
      <c r="P34" s="171"/>
      <c r="Q34" s="243"/>
      <c r="Y34" s="837"/>
      <c r="Z34" s="171"/>
      <c r="AA34" s="403"/>
      <c r="AB34" s="181"/>
      <c r="AC34" s="243"/>
    </row>
    <row r="35" spans="2:31" ht="15" customHeight="1" thickBot="1" x14ac:dyDescent="0.25">
      <c r="C35" s="541"/>
      <c r="D35" s="541"/>
      <c r="G35" s="819" t="s">
        <v>275</v>
      </c>
      <c r="H35" s="171"/>
      <c r="I35" s="205" t="s">
        <v>21</v>
      </c>
      <c r="J35" s="171"/>
      <c r="K35" s="249">
        <f>VLOOKUP(I35,Data!$G$139:$P$141,10,FALSE)</f>
        <v>1</v>
      </c>
      <c r="M35" s="170" t="s">
        <v>275</v>
      </c>
      <c r="N35" s="171"/>
      <c r="O35" s="205" t="s">
        <v>21</v>
      </c>
      <c r="P35" s="171"/>
      <c r="Q35" s="249">
        <f>VLOOKUP(O35,Data!$G$139:$P$141,10,FALSE)</f>
        <v>1</v>
      </c>
      <c r="Y35" s="837" t="s">
        <v>275</v>
      </c>
      <c r="Z35" s="171"/>
      <c r="AA35" s="205" t="s">
        <v>21</v>
      </c>
      <c r="AB35" s="181"/>
      <c r="AC35" s="249">
        <f>VLOOKUP(AA35,Data!$G$139:$P$141,10,FALSE)</f>
        <v>1</v>
      </c>
    </row>
    <row r="36" spans="2:31" ht="15" customHeight="1" thickBot="1" x14ac:dyDescent="0.25">
      <c r="C36" s="542"/>
      <c r="G36" s="819" t="s">
        <v>276</v>
      </c>
      <c r="H36" s="171"/>
      <c r="I36" s="205" t="s">
        <v>21</v>
      </c>
      <c r="J36" s="171"/>
      <c r="K36" s="249">
        <f>VLOOKUP(I36,Data!$G$143:$P$147,10,FALSE)</f>
        <v>1</v>
      </c>
      <c r="M36" s="170" t="s">
        <v>276</v>
      </c>
      <c r="N36" s="171"/>
      <c r="O36" s="205" t="s">
        <v>21</v>
      </c>
      <c r="P36" s="171"/>
      <c r="Q36" s="249">
        <f>VLOOKUP(O36,Data!$G$143:$P$147,10,FALSE)</f>
        <v>1</v>
      </c>
      <c r="S36" s="8"/>
      <c r="Y36" s="837" t="s">
        <v>276</v>
      </c>
      <c r="Z36" s="171"/>
      <c r="AA36" s="205" t="s">
        <v>21</v>
      </c>
      <c r="AB36" s="181"/>
      <c r="AC36" s="249">
        <f>VLOOKUP(AA36,Data!$G$143:$P$147,10,FALSE)</f>
        <v>1</v>
      </c>
    </row>
    <row r="37" spans="2:31" ht="15" customHeight="1" thickBot="1" x14ac:dyDescent="0.25">
      <c r="C37" s="161"/>
      <c r="E37" s="161"/>
      <c r="G37" s="819" t="s">
        <v>670</v>
      </c>
      <c r="H37" s="171"/>
      <c r="I37" s="205" t="s">
        <v>255</v>
      </c>
      <c r="J37" s="171"/>
      <c r="K37" s="247">
        <f>IF(I37="Yes",1,0)</f>
        <v>0</v>
      </c>
      <c r="M37" s="170" t="s">
        <v>670</v>
      </c>
      <c r="N37" s="171"/>
      <c r="O37" s="205" t="s">
        <v>255</v>
      </c>
      <c r="P37" s="171"/>
      <c r="Q37" s="247">
        <f>IF(O37="Yes",1,0)</f>
        <v>0</v>
      </c>
      <c r="Y37" s="837" t="s">
        <v>670</v>
      </c>
      <c r="Z37" s="171"/>
      <c r="AA37" s="205" t="s">
        <v>255</v>
      </c>
      <c r="AB37" s="181"/>
      <c r="AC37" s="247">
        <f>IF(AA37="Yes",1,0)</f>
        <v>0</v>
      </c>
    </row>
    <row r="38" spans="2:31" ht="15" customHeight="1" x14ac:dyDescent="0.2">
      <c r="C38" s="155"/>
      <c r="G38" s="13"/>
      <c r="H38" s="13"/>
      <c r="I38" s="13"/>
      <c r="J38" s="13"/>
      <c r="K38" s="13"/>
      <c r="M38" s="13"/>
      <c r="N38" s="13"/>
      <c r="O38" s="13"/>
      <c r="P38" s="13"/>
      <c r="Q38" s="13"/>
      <c r="Y38" s="13"/>
      <c r="Z38" s="14"/>
      <c r="AA38" s="13"/>
      <c r="AB38" s="13"/>
      <c r="AC38" s="13"/>
    </row>
    <row r="39" spans="2:31" ht="15" customHeight="1" thickBot="1" x14ac:dyDescent="0.25">
      <c r="C39" s="541"/>
      <c r="D39" s="541"/>
      <c r="G39" s="867" t="s">
        <v>398</v>
      </c>
      <c r="H39" s="235"/>
      <c r="I39" s="235"/>
      <c r="J39" s="236">
        <v>0</v>
      </c>
      <c r="K39" s="244">
        <f>(J39/100)*Step1!$K$24</f>
        <v>0</v>
      </c>
      <c r="M39" s="226" t="s">
        <v>398</v>
      </c>
      <c r="N39" s="235"/>
      <c r="O39" s="235"/>
      <c r="P39" s="236"/>
      <c r="Q39" s="244">
        <f>(P39/100)*Step1!$K$24</f>
        <v>0</v>
      </c>
      <c r="Y39" s="861" t="s">
        <v>398</v>
      </c>
      <c r="Z39" s="235"/>
      <c r="AA39" s="235"/>
      <c r="AB39" s="236"/>
      <c r="AC39" s="244">
        <f>(AB39/100)*Step1!$K$24</f>
        <v>0</v>
      </c>
    </row>
    <row r="40" spans="2:31" ht="15" customHeight="1" x14ac:dyDescent="0.2">
      <c r="B40" s="154"/>
      <c r="C40" s="155"/>
      <c r="G40" s="820"/>
      <c r="H40" s="342"/>
      <c r="I40" s="342"/>
      <c r="J40" s="342"/>
      <c r="K40" s="352"/>
      <c r="M40" s="342"/>
      <c r="N40" s="342"/>
      <c r="O40" s="342"/>
      <c r="P40" s="342"/>
      <c r="Q40" s="352"/>
      <c r="Y40" s="862"/>
      <c r="Z40" s="342"/>
      <c r="AA40" s="404"/>
      <c r="AB40" s="353"/>
      <c r="AC40" s="368"/>
    </row>
    <row r="41" spans="2:31" ht="15" customHeight="1" thickBot="1" x14ac:dyDescent="0.25">
      <c r="C41" s="155"/>
      <c r="G41" s="823" t="s">
        <v>386</v>
      </c>
      <c r="H41" s="223"/>
      <c r="I41" s="220"/>
      <c r="J41" s="224"/>
      <c r="K41" s="245"/>
      <c r="L41" s="8"/>
      <c r="M41" s="225" t="s">
        <v>386</v>
      </c>
      <c r="N41" s="223"/>
      <c r="O41" s="220"/>
      <c r="P41" s="224"/>
      <c r="Q41" s="245"/>
      <c r="S41" s="899" t="s">
        <v>316</v>
      </c>
      <c r="T41" s="664"/>
      <c r="U41" s="665"/>
      <c r="V41" s="665"/>
      <c r="W41" s="665"/>
      <c r="Y41" s="838" t="s">
        <v>386</v>
      </c>
      <c r="Z41" s="223"/>
      <c r="AA41" s="229"/>
      <c r="AB41" s="294"/>
      <c r="AC41" s="294"/>
    </row>
    <row r="42" spans="2:31" ht="15" customHeight="1" thickBot="1" x14ac:dyDescent="0.25">
      <c r="C42" s="155"/>
      <c r="G42" s="819" t="s">
        <v>205</v>
      </c>
      <c r="H42" s="171"/>
      <c r="I42" s="175"/>
      <c r="J42" s="184">
        <v>0</v>
      </c>
      <c r="K42" s="247">
        <f>J42</f>
        <v>0</v>
      </c>
      <c r="M42" s="170" t="s">
        <v>205</v>
      </c>
      <c r="N42" s="171"/>
      <c r="O42" s="175"/>
      <c r="P42" s="184">
        <v>0</v>
      </c>
      <c r="Q42" s="247">
        <f>P42</f>
        <v>0</v>
      </c>
      <c r="S42" s="532" t="s">
        <v>541</v>
      </c>
      <c r="T42" s="13"/>
      <c r="U42" s="13"/>
      <c r="V42" s="661" t="e">
        <f>J72</f>
        <v>#N/A</v>
      </c>
      <c r="W42" s="662" t="s">
        <v>542</v>
      </c>
      <c r="Y42" s="837" t="s">
        <v>205</v>
      </c>
      <c r="Z42" s="171"/>
      <c r="AA42" s="181"/>
      <c r="AB42" s="184">
        <v>0</v>
      </c>
      <c r="AC42" s="247">
        <f>AB42</f>
        <v>0</v>
      </c>
    </row>
    <row r="43" spans="2:31" ht="15" customHeight="1" thickBot="1" x14ac:dyDescent="0.25">
      <c r="C43" s="155"/>
      <c r="G43" s="819" t="s">
        <v>531</v>
      </c>
      <c r="H43" s="171"/>
      <c r="I43" s="175"/>
      <c r="J43" s="184">
        <v>0</v>
      </c>
      <c r="K43" s="247">
        <f t="shared" ref="K43:K48" si="6">J43</f>
        <v>0</v>
      </c>
      <c r="M43" s="170" t="s">
        <v>531</v>
      </c>
      <c r="N43" s="171"/>
      <c r="O43" s="175"/>
      <c r="P43" s="184">
        <v>0</v>
      </c>
      <c r="Q43" s="247">
        <f t="shared" ref="Q43:Q48" si="7">P43</f>
        <v>0</v>
      </c>
      <c r="S43" s="906" t="s">
        <v>594</v>
      </c>
      <c r="T43" s="839"/>
      <c r="U43" s="839"/>
      <c r="V43" s="907" t="e">
        <f>J73</f>
        <v>#N/A</v>
      </c>
      <c r="W43" s="908" t="s">
        <v>542</v>
      </c>
      <c r="Y43" s="837" t="s">
        <v>531</v>
      </c>
      <c r="Z43" s="171"/>
      <c r="AA43" s="171"/>
      <c r="AB43" s="184">
        <v>0</v>
      </c>
      <c r="AC43" s="247">
        <f t="shared" ref="AC43:AC48" si="8">AB43</f>
        <v>0</v>
      </c>
    </row>
    <row r="44" spans="2:31" ht="15" customHeight="1" thickBot="1" x14ac:dyDescent="0.25">
      <c r="C44" s="541"/>
      <c r="D44" s="541"/>
      <c r="G44" s="826"/>
      <c r="H44" s="13"/>
      <c r="I44" s="13"/>
      <c r="J44" s="13"/>
      <c r="K44" s="247"/>
      <c r="M44" s="13"/>
      <c r="N44" s="13"/>
      <c r="O44" s="13"/>
      <c r="P44" s="13"/>
      <c r="Q44" s="247"/>
      <c r="Y44" s="839"/>
      <c r="Z44" s="13"/>
      <c r="AA44" s="13"/>
      <c r="AB44" s="13"/>
      <c r="AC44" s="247"/>
    </row>
    <row r="45" spans="2:31" ht="15" customHeight="1" thickBot="1" x14ac:dyDescent="0.25">
      <c r="B45" s="154"/>
      <c r="C45" s="155"/>
      <c r="G45" s="819" t="s">
        <v>16</v>
      </c>
      <c r="H45" s="171"/>
      <c r="I45" s="177"/>
      <c r="J45" s="184">
        <v>0</v>
      </c>
      <c r="K45" s="247">
        <f t="shared" si="6"/>
        <v>0</v>
      </c>
      <c r="M45" s="170" t="s">
        <v>16</v>
      </c>
      <c r="N45" s="171"/>
      <c r="O45" s="177"/>
      <c r="P45" s="184">
        <v>0</v>
      </c>
      <c r="Q45" s="247">
        <f t="shared" si="7"/>
        <v>0</v>
      </c>
      <c r="Y45" s="837" t="s">
        <v>16</v>
      </c>
      <c r="Z45" s="171"/>
      <c r="AA45" s="181"/>
      <c r="AB45" s="184">
        <v>0</v>
      </c>
      <c r="AC45" s="247">
        <f t="shared" si="8"/>
        <v>0</v>
      </c>
    </row>
    <row r="46" spans="2:31" ht="15" customHeight="1" thickBot="1" x14ac:dyDescent="0.25">
      <c r="B46" s="154"/>
      <c r="C46" s="155"/>
      <c r="G46" s="884"/>
      <c r="H46" s="198"/>
      <c r="I46" s="198"/>
      <c r="J46" s="13"/>
      <c r="K46" s="247"/>
      <c r="M46" s="13"/>
      <c r="N46" s="13"/>
      <c r="O46" s="13"/>
      <c r="P46" s="13"/>
      <c r="Q46" s="247"/>
      <c r="Y46" s="837"/>
      <c r="Z46" s="171"/>
      <c r="AA46" s="171"/>
      <c r="AB46" s="13"/>
      <c r="AC46" s="247"/>
    </row>
    <row r="47" spans="2:31" ht="15" customHeight="1" thickBot="1" x14ac:dyDescent="0.25">
      <c r="B47" s="154"/>
      <c r="C47" s="155"/>
      <c r="G47" s="819" t="s">
        <v>385</v>
      </c>
      <c r="H47" s="176"/>
      <c r="I47" s="340"/>
      <c r="J47" s="184">
        <v>0</v>
      </c>
      <c r="K47" s="247">
        <f t="shared" si="6"/>
        <v>0</v>
      </c>
      <c r="M47" s="170" t="s">
        <v>385</v>
      </c>
      <c r="N47" s="223"/>
      <c r="O47" s="356"/>
      <c r="P47" s="184">
        <v>0</v>
      </c>
      <c r="Q47" s="247">
        <f t="shared" si="7"/>
        <v>0</v>
      </c>
      <c r="R47" s="287"/>
      <c r="S47" s="285"/>
      <c r="T47" s="288"/>
      <c r="U47" s="288"/>
      <c r="V47" s="288"/>
      <c r="W47" s="288"/>
      <c r="X47" s="288"/>
      <c r="Y47" s="861" t="s">
        <v>385</v>
      </c>
      <c r="Z47" s="223"/>
      <c r="AA47" s="356"/>
      <c r="AB47" s="184">
        <v>0</v>
      </c>
      <c r="AC47" s="247">
        <f t="shared" si="8"/>
        <v>0</v>
      </c>
      <c r="AD47" s="288"/>
      <c r="AE47" s="288"/>
    </row>
    <row r="48" spans="2:31" ht="15" customHeight="1" thickBot="1" x14ac:dyDescent="0.25">
      <c r="G48" s="819" t="s">
        <v>532</v>
      </c>
      <c r="H48" s="176"/>
      <c r="I48" s="340"/>
      <c r="J48" s="184">
        <v>0</v>
      </c>
      <c r="K48" s="247">
        <f t="shared" si="6"/>
        <v>0</v>
      </c>
      <c r="M48" s="170" t="s">
        <v>532</v>
      </c>
      <c r="N48" s="171"/>
      <c r="O48" s="175"/>
      <c r="P48" s="184">
        <v>0</v>
      </c>
      <c r="Q48" s="247">
        <f t="shared" si="7"/>
        <v>0</v>
      </c>
      <c r="R48" s="287"/>
      <c r="S48" s="285"/>
      <c r="T48" s="288"/>
      <c r="U48" s="288"/>
      <c r="V48" s="288"/>
      <c r="W48" s="288"/>
      <c r="X48" s="288"/>
      <c r="Y48" s="837" t="s">
        <v>532</v>
      </c>
      <c r="Z48" s="171"/>
      <c r="AA48" s="181"/>
      <c r="AB48" s="184">
        <v>0</v>
      </c>
      <c r="AC48" s="247">
        <f t="shared" si="8"/>
        <v>0</v>
      </c>
      <c r="AD48" s="288"/>
      <c r="AE48" s="288"/>
    </row>
    <row r="49" spans="7:36" ht="15" customHeight="1" x14ac:dyDescent="0.2">
      <c r="G49" s="826"/>
      <c r="H49" s="13"/>
      <c r="I49" s="13"/>
      <c r="J49" s="13"/>
      <c r="K49" s="13"/>
      <c r="M49" s="13"/>
      <c r="N49" s="13"/>
      <c r="O49" s="13"/>
      <c r="P49" s="13"/>
      <c r="Q49" s="13"/>
      <c r="R49" s="280"/>
      <c r="S49" s="280"/>
      <c r="T49" s="280"/>
      <c r="U49" s="280"/>
      <c r="V49" s="280"/>
      <c r="W49" s="280"/>
      <c r="X49" s="280"/>
      <c r="Y49" s="839"/>
      <c r="Z49" s="13"/>
      <c r="AA49" s="13"/>
      <c r="AB49" s="13"/>
      <c r="AC49" s="13"/>
      <c r="AD49" s="280"/>
      <c r="AE49" s="280"/>
    </row>
    <row r="50" spans="7:36" ht="15" customHeight="1" x14ac:dyDescent="0.2">
      <c r="R50" s="280"/>
      <c r="S50" s="280"/>
      <c r="T50" s="280"/>
      <c r="U50" s="280"/>
      <c r="V50" s="280"/>
      <c r="W50" s="280"/>
      <c r="X50" s="280"/>
      <c r="Z50" s="8"/>
      <c r="AD50" s="280"/>
      <c r="AE50" s="280"/>
    </row>
    <row r="51" spans="7:36" ht="15" customHeight="1" thickBot="1" x14ac:dyDescent="0.25">
      <c r="G51" s="282" t="s">
        <v>457</v>
      </c>
      <c r="H51" s="13"/>
      <c r="I51" s="13"/>
      <c r="J51" s="284">
        <f>Step1!K24*Step1!K42</f>
        <v>316145.25</v>
      </c>
      <c r="K51" s="252"/>
      <c r="M51" s="13"/>
      <c r="N51" s="13"/>
      <c r="O51" s="13"/>
      <c r="P51" s="284"/>
      <c r="Q51" s="252"/>
      <c r="R51" s="280"/>
      <c r="S51" s="280"/>
      <c r="T51" s="280"/>
      <c r="U51" s="280"/>
      <c r="V51" s="280"/>
      <c r="W51" s="280"/>
      <c r="X51" s="280"/>
      <c r="Y51" s="13"/>
      <c r="Z51" s="13"/>
      <c r="AA51" s="13"/>
      <c r="AB51" s="18"/>
      <c r="AC51" s="13"/>
      <c r="AD51" s="280"/>
      <c r="AE51" s="280"/>
      <c r="AF51" s="280"/>
      <c r="AG51" s="280"/>
      <c r="AH51" s="280"/>
      <c r="AI51" s="280"/>
      <c r="AJ51" s="281"/>
    </row>
    <row r="52" spans="7:36" ht="15" customHeight="1" thickBot="1" x14ac:dyDescent="0.25">
      <c r="G52" s="282" t="s">
        <v>451</v>
      </c>
      <c r="H52" s="283"/>
      <c r="I52" s="283"/>
      <c r="J52" s="284">
        <f>(((K19+K20+K21)*K33)*(((K25*K26*K27)*K35*K36)+((K28*K29*K30)*K35)))/1000</f>
        <v>0</v>
      </c>
      <c r="K52" s="243"/>
      <c r="L52" s="285"/>
      <c r="M52" s="289" t="s">
        <v>451</v>
      </c>
      <c r="N52" s="283"/>
      <c r="O52" s="283"/>
      <c r="P52" s="284">
        <f>(((Q19+Q20+Q21)*Q33)*(((Q25*Q26*Q27)*Q35*Q36)+((Q28*Q29*Q30)*Q35)))/1000</f>
        <v>0</v>
      </c>
      <c r="Q52" s="252"/>
      <c r="R52" s="280"/>
      <c r="S52" s="280"/>
      <c r="T52" s="280"/>
      <c r="U52" s="280"/>
      <c r="V52" s="280"/>
      <c r="W52" s="280"/>
      <c r="X52" s="280"/>
      <c r="Y52" s="289" t="s">
        <v>451</v>
      </c>
      <c r="Z52" s="283"/>
      <c r="AA52" s="283"/>
      <c r="AB52" s="293">
        <f>(((AC19+AC20+AC21)*AC33)*(((AC25*AC26*AC27)*AC35*AC36)+((AC28*AC29*AC30)*AC35)))/1000</f>
        <v>0</v>
      </c>
      <c r="AC52" s="290"/>
      <c r="AD52" s="280"/>
      <c r="AE52" s="280"/>
      <c r="AF52" s="280"/>
      <c r="AG52" s="280"/>
      <c r="AH52" s="280"/>
      <c r="AI52" s="280"/>
      <c r="AJ52" s="281"/>
    </row>
    <row r="53" spans="7:36" ht="15" customHeight="1" thickBot="1" x14ac:dyDescent="0.25">
      <c r="G53" s="282" t="s">
        <v>395</v>
      </c>
      <c r="H53" s="283"/>
      <c r="I53" s="283"/>
      <c r="J53" s="284">
        <f>IF(K37=1,((K54+K55)*8760)/1000,((K54+K55)*((K25*K26*K27)+(K28*K29*K30)))/1000)</f>
        <v>0</v>
      </c>
      <c r="K53" s="243"/>
      <c r="L53" s="285"/>
      <c r="M53" s="289" t="s">
        <v>395</v>
      </c>
      <c r="N53" s="283"/>
      <c r="O53" s="283"/>
      <c r="P53" s="284">
        <f>IF(Q37=1,((Q54+Q55)*8760)/1000,((Q54+Q55)*((Q25*Q26*Q27)+(Q28*Q29*Q30)))/1000)</f>
        <v>0</v>
      </c>
      <c r="Q53" s="252"/>
      <c r="R53" s="280"/>
      <c r="S53" s="280"/>
      <c r="T53" s="280"/>
      <c r="U53" s="280"/>
      <c r="V53" s="280"/>
      <c r="W53" s="280"/>
      <c r="X53" s="280"/>
      <c r="Y53" s="289" t="s">
        <v>395</v>
      </c>
      <c r="Z53" s="283"/>
      <c r="AA53" s="283"/>
      <c r="AB53" s="293">
        <f>IF(AC37=1,((AC54+AC55)*8760)/1000,((AC54+AC55)*((AC25*AC26*AC27)+(AC28*AC29*AC30)))/1000)</f>
        <v>0</v>
      </c>
      <c r="AC53" s="290"/>
      <c r="AD53" s="280"/>
      <c r="AE53" s="280"/>
      <c r="AF53" s="280"/>
      <c r="AG53" s="280"/>
      <c r="AH53" s="280"/>
      <c r="AI53" s="280"/>
      <c r="AJ53" s="281"/>
    </row>
    <row r="54" spans="7:36" ht="15" hidden="1" customHeight="1" x14ac:dyDescent="0.2">
      <c r="G54" s="289" t="s">
        <v>393</v>
      </c>
      <c r="H54" s="289"/>
      <c r="I54" s="289"/>
      <c r="J54" s="289"/>
      <c r="K54" s="293">
        <f>IF(K35&lt;1,IF((K39*0.3)&lt;((K19+K20+K21)*0.03),(K39*0.3),((K19+K20+K21)*0.03)),0)</f>
        <v>0</v>
      </c>
      <c r="L54" s="280"/>
      <c r="M54" s="289" t="s">
        <v>393</v>
      </c>
      <c r="N54" s="289"/>
      <c r="O54" s="289"/>
      <c r="P54" s="284"/>
      <c r="Q54" s="293">
        <f>IF(Q35&lt;1,IF((Q39*0.3)&lt;((Q19+Q20+Q21)*0.03),(Q39*0.3),((Q19+Q20+Q21)*0.03)),0)</f>
        <v>0</v>
      </c>
      <c r="R54" s="280"/>
      <c r="S54" s="280"/>
      <c r="T54" s="280"/>
      <c r="U54" s="280"/>
      <c r="V54" s="280"/>
      <c r="W54" s="280"/>
      <c r="X54" s="280"/>
      <c r="Y54" s="289" t="s">
        <v>393</v>
      </c>
      <c r="Z54" s="289"/>
      <c r="AA54" s="289"/>
      <c r="AB54" s="289"/>
      <c r="AC54" s="293">
        <f>IF(AC35&lt;1,IF((AC39*0.3)&lt;((AC19+AC20+AC21)*0.03),(AC39*0.3),((AC19+AC20+AC21)*0.03)),0)</f>
        <v>0</v>
      </c>
      <c r="AD54" s="280"/>
      <c r="AE54" s="280"/>
      <c r="AF54" s="280"/>
      <c r="AG54" s="280"/>
      <c r="AH54" s="280"/>
      <c r="AI54" s="280"/>
      <c r="AJ54" s="281"/>
    </row>
    <row r="55" spans="7:36" ht="15" hidden="1" customHeight="1" x14ac:dyDescent="0.2">
      <c r="G55" s="289" t="s">
        <v>394</v>
      </c>
      <c r="H55" s="289"/>
      <c r="I55" s="289"/>
      <c r="J55" s="289"/>
      <c r="K55" s="293">
        <f>IF(K36&lt;1,IF((K39*0.3)&lt;((K19+K20+K21)*0.03),(K39*0.3),((K19+K20+K21)*0.03)),0)</f>
        <v>0</v>
      </c>
      <c r="L55" s="280"/>
      <c r="M55" s="289" t="s">
        <v>394</v>
      </c>
      <c r="N55" s="289"/>
      <c r="O55" s="289"/>
      <c r="P55" s="289"/>
      <c r="Q55" s="293">
        <f>IF(Q36&lt;1,IF((Q39*0.3)&lt;((Q19+Q20+Q21)*0.03),(Q39*0.3),((Q19+Q20+Q21)*0.03)),0)</f>
        <v>0</v>
      </c>
      <c r="R55" s="280"/>
      <c r="S55" s="280"/>
      <c r="T55" s="280"/>
      <c r="U55" s="280"/>
      <c r="V55" s="280"/>
      <c r="W55" s="280"/>
      <c r="X55" s="280"/>
      <c r="Y55" s="289" t="s">
        <v>394</v>
      </c>
      <c r="Z55" s="289"/>
      <c r="AA55" s="289"/>
      <c r="AB55" s="289"/>
      <c r="AC55" s="293">
        <f>IF(AC36&lt;1,IF((AC39*0.3)&lt;(AC19+AC20+AC21*0.03),(AC39*0.3),((AC19+AC20+AC21)*0.03)),0)</f>
        <v>0</v>
      </c>
      <c r="AD55" s="280"/>
      <c r="AE55" s="280"/>
      <c r="AF55" s="280"/>
      <c r="AG55" s="280"/>
      <c r="AH55" s="280"/>
      <c r="AI55" s="280"/>
      <c r="AJ55" s="281"/>
    </row>
    <row r="56" spans="7:36" ht="15" customHeight="1" x14ac:dyDescent="0.2">
      <c r="G56" s="280"/>
      <c r="H56" s="280"/>
      <c r="I56" s="280"/>
      <c r="J56" s="280"/>
      <c r="K56" s="281"/>
      <c r="L56" s="280"/>
      <c r="M56" s="280"/>
      <c r="N56" s="280"/>
      <c r="O56" s="280"/>
      <c r="P56" s="280"/>
      <c r="Q56" s="281"/>
      <c r="R56" s="280"/>
      <c r="S56" s="280"/>
      <c r="T56" s="280"/>
      <c r="U56" s="280"/>
      <c r="V56" s="280"/>
      <c r="W56" s="280"/>
      <c r="X56" s="280"/>
      <c r="Y56" s="280"/>
      <c r="Z56" s="280"/>
      <c r="AA56" s="280"/>
      <c r="AB56" s="280"/>
      <c r="AC56" s="280"/>
      <c r="AD56" s="280"/>
      <c r="AE56" s="280"/>
      <c r="AF56" s="280"/>
      <c r="AG56" s="280"/>
      <c r="AH56" s="280"/>
      <c r="AI56" s="280"/>
      <c r="AJ56" s="281"/>
    </row>
    <row r="57" spans="7:36" ht="15" customHeight="1" x14ac:dyDescent="0.2">
      <c r="G57" s="280"/>
      <c r="H57" s="280"/>
      <c r="I57" s="280"/>
      <c r="J57" s="280"/>
      <c r="K57" s="281"/>
      <c r="L57" s="280"/>
      <c r="M57" s="280"/>
      <c r="N57" s="280"/>
      <c r="O57" s="280"/>
      <c r="P57" s="280"/>
      <c r="Q57" s="281"/>
      <c r="R57" s="280"/>
      <c r="S57" s="280"/>
      <c r="T57" s="280"/>
      <c r="U57" s="280"/>
      <c r="V57" s="280"/>
      <c r="W57" s="280"/>
      <c r="X57" s="280"/>
      <c r="Y57" s="280"/>
      <c r="Z57" s="280"/>
      <c r="AA57" s="280"/>
      <c r="AB57" s="280"/>
      <c r="AC57" s="280"/>
      <c r="AD57" s="280"/>
      <c r="AE57" s="280"/>
      <c r="AF57" s="280"/>
      <c r="AG57" s="280"/>
      <c r="AH57" s="280"/>
      <c r="AI57" s="280"/>
      <c r="AJ57" s="281"/>
    </row>
    <row r="58" spans="7:36" ht="15" customHeight="1" x14ac:dyDescent="0.2">
      <c r="G58" s="280"/>
      <c r="H58" s="280"/>
      <c r="I58" s="280"/>
      <c r="J58" s="280"/>
      <c r="K58" s="281"/>
      <c r="L58" s="280"/>
      <c r="M58" s="280"/>
      <c r="N58" s="280"/>
      <c r="O58" s="280"/>
      <c r="P58" s="280"/>
      <c r="Q58" s="281"/>
      <c r="R58" s="280"/>
      <c r="S58" s="280"/>
      <c r="T58" s="280"/>
      <c r="U58" s="280"/>
      <c r="V58" s="280"/>
      <c r="W58" s="280"/>
      <c r="X58" s="280"/>
      <c r="Y58" s="280"/>
      <c r="Z58" s="280"/>
      <c r="AA58" s="280"/>
      <c r="AB58" s="280"/>
      <c r="AC58" s="280"/>
      <c r="AD58" s="280"/>
      <c r="AE58" s="280"/>
      <c r="AF58" s="280"/>
      <c r="AG58" s="280"/>
      <c r="AH58" s="280"/>
      <c r="AI58" s="280"/>
      <c r="AJ58" s="281"/>
    </row>
    <row r="59" spans="7:36" ht="15" customHeight="1" x14ac:dyDescent="0.2">
      <c r="G59" s="280"/>
      <c r="H59" s="280"/>
      <c r="I59" s="280"/>
      <c r="J59" s="280"/>
      <c r="K59" s="281"/>
      <c r="L59" s="280"/>
      <c r="M59" s="280"/>
      <c r="N59" s="280"/>
      <c r="O59" s="280"/>
      <c r="P59" s="280"/>
      <c r="Q59" s="281"/>
      <c r="R59" s="280"/>
      <c r="S59" s="280"/>
      <c r="T59" s="280"/>
      <c r="U59" s="280"/>
      <c r="V59" s="280"/>
      <c r="W59" s="280"/>
      <c r="X59" s="280"/>
      <c r="Y59" s="280"/>
      <c r="Z59" s="280"/>
      <c r="AA59" s="280"/>
      <c r="AB59" s="280"/>
      <c r="AC59" s="280"/>
      <c r="AD59" s="280"/>
      <c r="AE59" s="280"/>
      <c r="AF59" s="280"/>
      <c r="AG59" s="280"/>
      <c r="AH59" s="280"/>
      <c r="AI59" s="280"/>
      <c r="AJ59" s="281"/>
    </row>
    <row r="60" spans="7:36" ht="15" customHeight="1" x14ac:dyDescent="0.2">
      <c r="G60" s="280"/>
      <c r="H60" s="280"/>
      <c r="I60" s="280"/>
      <c r="J60" s="280"/>
      <c r="K60" s="281"/>
      <c r="L60" s="280"/>
      <c r="M60" s="280"/>
      <c r="N60" s="280"/>
      <c r="O60" s="280"/>
      <c r="P60" s="280"/>
      <c r="Q60" s="281"/>
      <c r="R60" s="280"/>
      <c r="S60" s="280"/>
      <c r="T60" s="280"/>
      <c r="U60" s="280"/>
      <c r="V60" s="280"/>
      <c r="W60" s="280"/>
      <c r="X60" s="280"/>
      <c r="Y60" s="280"/>
      <c r="Z60" s="280"/>
      <c r="AA60" s="280"/>
      <c r="AB60" s="280"/>
      <c r="AC60" s="280"/>
      <c r="AD60" s="280"/>
      <c r="AE60" s="280"/>
      <c r="AF60" s="280"/>
      <c r="AG60" s="280"/>
      <c r="AH60" s="280"/>
      <c r="AI60" s="280"/>
      <c r="AJ60" s="281"/>
    </row>
    <row r="61" spans="7:36" ht="15" customHeight="1" x14ac:dyDescent="0.2">
      <c r="G61" s="280"/>
      <c r="H61" s="280"/>
      <c r="I61" s="280"/>
      <c r="J61" s="280"/>
      <c r="K61" s="281"/>
      <c r="L61" s="280"/>
      <c r="M61" s="280"/>
      <c r="N61" s="280"/>
      <c r="O61" s="280"/>
      <c r="P61" s="280"/>
      <c r="Q61" s="281"/>
      <c r="R61" s="280"/>
      <c r="S61" s="280"/>
      <c r="T61" s="280"/>
      <c r="U61" s="280"/>
      <c r="V61" s="280"/>
      <c r="W61" s="280"/>
      <c r="X61" s="280"/>
      <c r="Y61" s="280"/>
      <c r="Z61" s="280"/>
      <c r="AA61" s="280"/>
      <c r="AB61" s="280"/>
      <c r="AC61" s="280"/>
      <c r="AD61" s="280"/>
      <c r="AE61" s="280"/>
      <c r="AF61" s="280"/>
      <c r="AG61" s="280"/>
      <c r="AH61" s="280"/>
      <c r="AI61" s="280"/>
      <c r="AJ61" s="281"/>
    </row>
    <row r="62" spans="7:36" ht="15" customHeight="1" x14ac:dyDescent="0.2">
      <c r="G62" s="280"/>
      <c r="H62" s="280"/>
      <c r="I62" s="280"/>
      <c r="J62" s="280"/>
      <c r="K62" s="281"/>
      <c r="L62" s="280"/>
      <c r="M62" s="280"/>
      <c r="N62" s="280"/>
      <c r="O62" s="280"/>
      <c r="P62" s="280"/>
      <c r="Q62" s="281"/>
      <c r="R62" s="280"/>
      <c r="S62" s="280"/>
      <c r="T62" s="280"/>
      <c r="U62" s="280"/>
      <c r="V62" s="280"/>
      <c r="W62" s="280"/>
      <c r="X62" s="280"/>
      <c r="Y62" s="280"/>
      <c r="Z62" s="280"/>
      <c r="AA62" s="280"/>
      <c r="AB62" s="280"/>
      <c r="AC62" s="280"/>
      <c r="AD62" s="280"/>
      <c r="AE62" s="280"/>
      <c r="AF62" s="280"/>
      <c r="AG62" s="280"/>
      <c r="AH62" s="280"/>
      <c r="AI62" s="280"/>
      <c r="AJ62" s="281"/>
    </row>
    <row r="63" spans="7:36" ht="15" customHeight="1" x14ac:dyDescent="0.2">
      <c r="G63" s="280"/>
      <c r="H63" s="280"/>
      <c r="I63" s="280"/>
      <c r="J63" s="280"/>
      <c r="K63" s="281"/>
      <c r="L63" s="280"/>
      <c r="M63" s="280"/>
      <c r="N63" s="280"/>
      <c r="O63" s="280"/>
      <c r="P63" s="280"/>
      <c r="Q63" s="281"/>
      <c r="R63" s="280"/>
      <c r="S63" s="280"/>
      <c r="T63" s="280"/>
      <c r="U63" s="280"/>
      <c r="V63" s="280"/>
      <c r="W63" s="280"/>
      <c r="X63" s="280"/>
      <c r="Y63" s="280"/>
      <c r="Z63" s="280"/>
      <c r="AA63" s="280"/>
      <c r="AB63" s="280"/>
      <c r="AC63" s="280"/>
      <c r="AD63" s="280"/>
      <c r="AE63" s="280"/>
      <c r="AF63" s="280"/>
      <c r="AG63" s="280"/>
      <c r="AH63" s="280"/>
      <c r="AI63" s="280"/>
      <c r="AJ63" s="281"/>
    </row>
    <row r="64" spans="7:36" ht="15" customHeight="1" x14ac:dyDescent="0.2">
      <c r="G64" s="280"/>
      <c r="H64" s="280"/>
      <c r="I64" s="280"/>
      <c r="J64" s="280"/>
      <c r="K64" s="281"/>
      <c r="L64" s="280"/>
      <c r="M64" s="280"/>
      <c r="N64" s="280"/>
      <c r="O64" s="280"/>
      <c r="P64" s="280"/>
      <c r="Q64" s="281"/>
      <c r="R64" s="280"/>
      <c r="S64" s="280"/>
      <c r="T64" s="280"/>
      <c r="U64" s="280"/>
      <c r="V64" s="280"/>
      <c r="W64" s="280"/>
      <c r="X64" s="280"/>
      <c r="Y64" s="280"/>
      <c r="Z64" s="280"/>
      <c r="AA64" s="280"/>
      <c r="AB64" s="280"/>
      <c r="AC64" s="280"/>
      <c r="AD64" s="280"/>
      <c r="AE64" s="280"/>
      <c r="AF64" s="280"/>
      <c r="AG64" s="280"/>
      <c r="AH64" s="280"/>
      <c r="AI64" s="280"/>
      <c r="AJ64" s="281"/>
    </row>
    <row r="65" spans="7:36" ht="15" customHeight="1" x14ac:dyDescent="0.2">
      <c r="G65" s="280"/>
      <c r="H65" s="280"/>
      <c r="I65" s="280"/>
      <c r="J65" s="280"/>
      <c r="K65" s="281"/>
      <c r="L65" s="280"/>
      <c r="M65" s="280"/>
      <c r="N65" s="280"/>
      <c r="O65" s="280"/>
      <c r="P65" s="280"/>
      <c r="Q65" s="281"/>
      <c r="R65" s="280"/>
      <c r="S65" s="280"/>
      <c r="T65" s="280"/>
      <c r="U65" s="280"/>
      <c r="V65" s="280"/>
      <c r="W65" s="280"/>
      <c r="X65" s="280"/>
      <c r="Y65" s="280"/>
      <c r="Z65" s="280"/>
      <c r="AA65" s="280"/>
      <c r="AB65" s="280"/>
      <c r="AC65" s="280"/>
      <c r="AD65" s="280"/>
      <c r="AE65" s="280"/>
      <c r="AF65" s="280"/>
      <c r="AG65" s="280"/>
      <c r="AH65" s="280"/>
      <c r="AI65" s="280"/>
      <c r="AJ65" s="281"/>
    </row>
    <row r="66" spans="7:36" ht="15" customHeight="1" x14ac:dyDescent="0.2">
      <c r="G66" s="280"/>
      <c r="H66" s="280"/>
      <c r="I66" s="280"/>
      <c r="J66" s="280"/>
      <c r="K66" s="281"/>
      <c r="L66" s="280"/>
      <c r="M66" s="280"/>
      <c r="N66" s="280"/>
      <c r="O66" s="280"/>
      <c r="P66" s="280"/>
      <c r="Q66" s="281"/>
      <c r="R66" s="280"/>
      <c r="S66" s="280"/>
      <c r="T66" s="280"/>
      <c r="U66" s="280"/>
      <c r="V66" s="280"/>
      <c r="W66" s="280"/>
      <c r="X66" s="280"/>
      <c r="Y66" s="280"/>
      <c r="Z66" s="280"/>
      <c r="AA66" s="280"/>
      <c r="AB66" s="280"/>
      <c r="AC66" s="280"/>
      <c r="AD66" s="280"/>
      <c r="AE66" s="280"/>
      <c r="AF66" s="280"/>
      <c r="AG66" s="280"/>
      <c r="AH66" s="280"/>
      <c r="AI66" s="280"/>
      <c r="AJ66" s="281"/>
    </row>
    <row r="67" spans="7:36" ht="15" customHeight="1" x14ac:dyDescent="0.2">
      <c r="G67" s="280"/>
      <c r="H67" s="280"/>
      <c r="I67" s="280"/>
      <c r="J67" s="280"/>
      <c r="K67" s="281"/>
      <c r="L67" s="280"/>
      <c r="M67" s="280"/>
      <c r="N67" s="280"/>
      <c r="O67" s="280"/>
      <c r="P67" s="280"/>
      <c r="Q67" s="281"/>
      <c r="R67" s="280"/>
      <c r="S67" s="280"/>
      <c r="T67" s="280"/>
      <c r="U67" s="280"/>
      <c r="V67" s="280"/>
      <c r="W67" s="280"/>
      <c r="X67" s="280"/>
      <c r="Y67" s="280"/>
      <c r="Z67" s="280"/>
      <c r="AA67" s="280"/>
      <c r="AB67" s="280"/>
      <c r="AC67" s="280"/>
      <c r="AD67" s="280"/>
      <c r="AE67" s="280"/>
      <c r="AF67" s="280"/>
      <c r="AG67" s="280"/>
      <c r="AH67" s="280"/>
      <c r="AI67" s="280"/>
      <c r="AJ67" s="281"/>
    </row>
    <row r="68" spans="7:36" ht="15" customHeight="1" x14ac:dyDescent="0.2">
      <c r="G68" s="280"/>
      <c r="H68" s="280"/>
      <c r="I68" s="280"/>
      <c r="J68" s="280"/>
      <c r="K68" s="281"/>
      <c r="L68" s="280"/>
      <c r="M68" s="280"/>
      <c r="N68" s="280"/>
      <c r="O68" s="280"/>
      <c r="P68" s="280"/>
      <c r="Q68" s="281"/>
      <c r="R68" s="280"/>
      <c r="S68" s="280"/>
      <c r="T68" s="280"/>
      <c r="U68" s="280"/>
      <c r="V68" s="280"/>
      <c r="W68" s="280"/>
      <c r="X68" s="280"/>
      <c r="Y68" s="280"/>
      <c r="Z68" s="280"/>
      <c r="AA68" s="280"/>
      <c r="AB68" s="280"/>
      <c r="AC68" s="280"/>
      <c r="AD68" s="280"/>
      <c r="AE68" s="280"/>
      <c r="AF68" s="280"/>
      <c r="AG68" s="280"/>
      <c r="AH68" s="280"/>
      <c r="AI68" s="280"/>
      <c r="AJ68" s="281"/>
    </row>
    <row r="69" spans="7:36" ht="15" customHeight="1" x14ac:dyDescent="0.2">
      <c r="G69" s="213"/>
      <c r="H69" s="213"/>
      <c r="I69" s="213"/>
      <c r="J69" s="213"/>
      <c r="K69" s="214"/>
      <c r="L69" s="213"/>
      <c r="M69" s="213"/>
      <c r="N69" s="213"/>
      <c r="O69" s="213"/>
      <c r="P69" s="213"/>
      <c r="Q69" s="214"/>
      <c r="R69" s="213"/>
      <c r="S69" s="213"/>
      <c r="T69" s="213"/>
      <c r="U69" s="213"/>
      <c r="V69" s="213"/>
      <c r="W69" s="213"/>
      <c r="X69" s="213"/>
      <c r="Y69" s="213"/>
      <c r="Z69" s="213"/>
      <c r="AA69" s="213"/>
      <c r="AB69" s="213"/>
      <c r="AC69" s="213"/>
      <c r="AD69" s="213"/>
      <c r="AE69" s="213"/>
      <c r="AF69" s="213"/>
      <c r="AG69" s="213"/>
      <c r="AH69" s="213"/>
      <c r="AI69" s="213"/>
      <c r="AJ69" s="214"/>
    </row>
    <row r="70" spans="7:36" ht="15" hidden="1" customHeight="1" x14ac:dyDescent="0.2">
      <c r="G70" s="14" t="s">
        <v>182</v>
      </c>
      <c r="H70" s="14"/>
      <c r="I70" s="13"/>
      <c r="J70" s="13"/>
      <c r="K70" s="40">
        <v>0</v>
      </c>
      <c r="L70" s="40">
        <v>1</v>
      </c>
      <c r="M70" s="40">
        <v>2</v>
      </c>
      <c r="N70" s="40">
        <v>3</v>
      </c>
      <c r="O70" s="40">
        <v>4</v>
      </c>
      <c r="P70" s="40">
        <v>5</v>
      </c>
      <c r="Q70" s="40">
        <v>6</v>
      </c>
      <c r="R70" s="40">
        <v>7</v>
      </c>
      <c r="S70" s="40">
        <v>8</v>
      </c>
      <c r="T70" s="40">
        <v>9</v>
      </c>
      <c r="U70" s="40">
        <v>10</v>
      </c>
      <c r="V70" s="40">
        <v>11</v>
      </c>
      <c r="W70" s="40">
        <v>12</v>
      </c>
      <c r="X70" s="40">
        <v>13</v>
      </c>
      <c r="Y70" s="40">
        <v>14</v>
      </c>
      <c r="Z70" s="40">
        <v>15</v>
      </c>
      <c r="AA70" s="40">
        <v>16</v>
      </c>
      <c r="AB70" s="40">
        <v>17</v>
      </c>
      <c r="AC70" s="40">
        <v>18</v>
      </c>
      <c r="AD70" s="40">
        <v>19</v>
      </c>
      <c r="AE70" s="40">
        <v>20</v>
      </c>
      <c r="AF70" s="40">
        <v>21</v>
      </c>
      <c r="AG70" s="40">
        <v>22</v>
      </c>
      <c r="AH70" s="40">
        <v>23</v>
      </c>
      <c r="AI70" s="40">
        <v>24</v>
      </c>
      <c r="AJ70" s="40">
        <v>25</v>
      </c>
    </row>
    <row r="71" spans="7:36" ht="15" hidden="1" customHeight="1" x14ac:dyDescent="0.2">
      <c r="G71" s="14" t="s">
        <v>183</v>
      </c>
      <c r="H71" s="14"/>
      <c r="I71" s="13"/>
      <c r="J71" s="13"/>
      <c r="K71" s="41">
        <v>1</v>
      </c>
      <c r="L71" s="41">
        <f>K71+1</f>
        <v>2</v>
      </c>
      <c r="M71" s="41">
        <f t="shared" ref="M71:AH71" si="9">L71+1</f>
        <v>3</v>
      </c>
      <c r="N71" s="41">
        <f t="shared" si="9"/>
        <v>4</v>
      </c>
      <c r="O71" s="41">
        <f t="shared" si="9"/>
        <v>5</v>
      </c>
      <c r="P71" s="41">
        <f t="shared" si="9"/>
        <v>6</v>
      </c>
      <c r="Q71" s="41">
        <f t="shared" si="9"/>
        <v>7</v>
      </c>
      <c r="R71" s="41">
        <f t="shared" si="9"/>
        <v>8</v>
      </c>
      <c r="S71" s="41">
        <f t="shared" si="9"/>
        <v>9</v>
      </c>
      <c r="T71" s="41">
        <f t="shared" si="9"/>
        <v>10</v>
      </c>
      <c r="U71" s="41">
        <f t="shared" si="9"/>
        <v>11</v>
      </c>
      <c r="V71" s="41">
        <f t="shared" si="9"/>
        <v>12</v>
      </c>
      <c r="W71" s="41">
        <f t="shared" si="9"/>
        <v>13</v>
      </c>
      <c r="X71" s="41">
        <f t="shared" si="9"/>
        <v>14</v>
      </c>
      <c r="Y71" s="41">
        <f t="shared" si="9"/>
        <v>15</v>
      </c>
      <c r="Z71" s="41">
        <f t="shared" si="9"/>
        <v>16</v>
      </c>
      <c r="AA71" s="41">
        <f t="shared" si="9"/>
        <v>17</v>
      </c>
      <c r="AB71" s="41">
        <f t="shared" si="9"/>
        <v>18</v>
      </c>
      <c r="AC71" s="41">
        <f t="shared" si="9"/>
        <v>19</v>
      </c>
      <c r="AD71" s="41">
        <f t="shared" si="9"/>
        <v>20</v>
      </c>
      <c r="AE71" s="41">
        <f t="shared" si="9"/>
        <v>21</v>
      </c>
      <c r="AF71" s="41">
        <f t="shared" si="9"/>
        <v>22</v>
      </c>
      <c r="AG71" s="41">
        <f t="shared" si="9"/>
        <v>23</v>
      </c>
      <c r="AH71" s="41">
        <f t="shared" si="9"/>
        <v>24</v>
      </c>
      <c r="AI71" s="41">
        <f>AH71+1</f>
        <v>25</v>
      </c>
      <c r="AJ71" s="41">
        <f>AI71+1</f>
        <v>26</v>
      </c>
    </row>
    <row r="72" spans="7:36" ht="15" hidden="1" customHeight="1" x14ac:dyDescent="0.2">
      <c r="G72" s="14" t="s">
        <v>548</v>
      </c>
      <c r="H72" s="69"/>
      <c r="I72" s="69"/>
      <c r="J72" s="196" t="e">
        <f>INDEX(K$70:AJ$70,MATCH(TRUE,INDEX(K72:AJ72&lt;&gt;0,),0))</f>
        <v>#N/A</v>
      </c>
      <c r="K72" s="69">
        <f>IF(K70&lt;$Q$43,0,IF(K136&lt;K112,1,0))</f>
        <v>0</v>
      </c>
      <c r="L72" s="69">
        <f t="shared" ref="L72:AJ72" si="10">IF(L70&lt;$Q$43,0,IF(L136&lt;L112,1,0))</f>
        <v>0</v>
      </c>
      <c r="M72" s="69">
        <f t="shared" si="10"/>
        <v>0</v>
      </c>
      <c r="N72" s="69">
        <f t="shared" si="10"/>
        <v>0</v>
      </c>
      <c r="O72" s="69">
        <f t="shared" si="10"/>
        <v>0</v>
      </c>
      <c r="P72" s="69">
        <f t="shared" si="10"/>
        <v>0</v>
      </c>
      <c r="Q72" s="69">
        <f t="shared" si="10"/>
        <v>0</v>
      </c>
      <c r="R72" s="69">
        <f t="shared" si="10"/>
        <v>0</v>
      </c>
      <c r="S72" s="69">
        <f t="shared" si="10"/>
        <v>0</v>
      </c>
      <c r="T72" s="69">
        <f t="shared" si="10"/>
        <v>0</v>
      </c>
      <c r="U72" s="69">
        <f t="shared" si="10"/>
        <v>0</v>
      </c>
      <c r="V72" s="69">
        <f t="shared" si="10"/>
        <v>0</v>
      </c>
      <c r="W72" s="69">
        <f t="shared" si="10"/>
        <v>0</v>
      </c>
      <c r="X72" s="69">
        <f t="shared" si="10"/>
        <v>0</v>
      </c>
      <c r="Y72" s="69">
        <f t="shared" si="10"/>
        <v>0</v>
      </c>
      <c r="Z72" s="69">
        <f t="shared" si="10"/>
        <v>0</v>
      </c>
      <c r="AA72" s="69">
        <f t="shared" si="10"/>
        <v>0</v>
      </c>
      <c r="AB72" s="69">
        <f t="shared" si="10"/>
        <v>0</v>
      </c>
      <c r="AC72" s="69">
        <f t="shared" si="10"/>
        <v>0</v>
      </c>
      <c r="AD72" s="69">
        <f t="shared" si="10"/>
        <v>0</v>
      </c>
      <c r="AE72" s="69">
        <f t="shared" si="10"/>
        <v>0</v>
      </c>
      <c r="AF72" s="69">
        <f t="shared" si="10"/>
        <v>0</v>
      </c>
      <c r="AG72" s="69">
        <f t="shared" si="10"/>
        <v>0</v>
      </c>
      <c r="AH72" s="69">
        <f t="shared" si="10"/>
        <v>0</v>
      </c>
      <c r="AI72" s="69">
        <f t="shared" si="10"/>
        <v>0</v>
      </c>
      <c r="AJ72" s="69">
        <f t="shared" si="10"/>
        <v>0</v>
      </c>
    </row>
    <row r="73" spans="7:36" ht="15" hidden="1" customHeight="1" x14ac:dyDescent="0.2">
      <c r="G73" s="445" t="s">
        <v>592</v>
      </c>
      <c r="H73" s="741"/>
      <c r="I73" s="741"/>
      <c r="J73" s="972" t="e">
        <f>INDEX(K$70:AJ$70,MATCH(TRUE,INDEX(K73:AJ73&lt;&gt;0,),0))</f>
        <v>#N/A</v>
      </c>
      <c r="K73" s="741">
        <f>IF(K71&lt;$AC$43,0,IF(K160&lt;K112,1,0))</f>
        <v>0</v>
      </c>
      <c r="L73" s="741">
        <f t="shared" ref="L73:AJ73" si="11">IF(L71&lt;$AC$43,0,IF(L160&lt;L112,1,0))</f>
        <v>0</v>
      </c>
      <c r="M73" s="741">
        <f t="shared" si="11"/>
        <v>0</v>
      </c>
      <c r="N73" s="741">
        <f t="shared" si="11"/>
        <v>0</v>
      </c>
      <c r="O73" s="741">
        <f t="shared" si="11"/>
        <v>0</v>
      </c>
      <c r="P73" s="741">
        <f t="shared" si="11"/>
        <v>0</v>
      </c>
      <c r="Q73" s="741">
        <f t="shared" si="11"/>
        <v>0</v>
      </c>
      <c r="R73" s="741">
        <f t="shared" si="11"/>
        <v>0</v>
      </c>
      <c r="S73" s="741">
        <f t="shared" si="11"/>
        <v>0</v>
      </c>
      <c r="T73" s="741">
        <f t="shared" si="11"/>
        <v>0</v>
      </c>
      <c r="U73" s="741">
        <f t="shared" si="11"/>
        <v>0</v>
      </c>
      <c r="V73" s="741">
        <f t="shared" si="11"/>
        <v>0</v>
      </c>
      <c r="W73" s="741">
        <f t="shared" si="11"/>
        <v>0</v>
      </c>
      <c r="X73" s="741">
        <f t="shared" si="11"/>
        <v>0</v>
      </c>
      <c r="Y73" s="741">
        <f t="shared" si="11"/>
        <v>0</v>
      </c>
      <c r="Z73" s="741">
        <f t="shared" si="11"/>
        <v>0</v>
      </c>
      <c r="AA73" s="741">
        <f t="shared" si="11"/>
        <v>0</v>
      </c>
      <c r="AB73" s="741">
        <f t="shared" si="11"/>
        <v>0</v>
      </c>
      <c r="AC73" s="741">
        <f t="shared" si="11"/>
        <v>0</v>
      </c>
      <c r="AD73" s="741">
        <f t="shared" si="11"/>
        <v>0</v>
      </c>
      <c r="AE73" s="741">
        <f t="shared" si="11"/>
        <v>0</v>
      </c>
      <c r="AF73" s="741">
        <f t="shared" si="11"/>
        <v>0</v>
      </c>
      <c r="AG73" s="741">
        <f t="shared" si="11"/>
        <v>0</v>
      </c>
      <c r="AH73" s="741">
        <f t="shared" si="11"/>
        <v>0</v>
      </c>
      <c r="AI73" s="741">
        <f t="shared" si="11"/>
        <v>0</v>
      </c>
      <c r="AJ73" s="741">
        <f t="shared" si="11"/>
        <v>0</v>
      </c>
    </row>
    <row r="74" spans="7:36" ht="15" hidden="1" customHeight="1" x14ac:dyDescent="0.2">
      <c r="G74" s="14"/>
      <c r="H74" s="69"/>
      <c r="I74" s="69"/>
      <c r="J74" s="196"/>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row>
    <row r="75" spans="7:36" ht="15" hidden="1" customHeight="1" x14ac:dyDescent="0.2">
      <c r="G75" s="14" t="s">
        <v>309</v>
      </c>
      <c r="H75" s="69"/>
      <c r="I75" s="69"/>
      <c r="J75" s="196"/>
      <c r="K75" s="394">
        <f>Data!$P$170</f>
        <v>0</v>
      </c>
      <c r="L75" s="103">
        <f>K75*(1+(Data!$P$196/100))</f>
        <v>0</v>
      </c>
      <c r="M75" s="103">
        <f>L75*(1+(Data!$P$196/100))</f>
        <v>0</v>
      </c>
      <c r="N75" s="103">
        <f>M75*(1+(Data!$P$196/100))</f>
        <v>0</v>
      </c>
      <c r="O75" s="103">
        <f>N75*(1+(Data!$P$196/100))</f>
        <v>0</v>
      </c>
      <c r="P75" s="103">
        <f>O75*(1+(Data!$P$196/100))</f>
        <v>0</v>
      </c>
      <c r="Q75" s="103">
        <f>P75*(1+(Data!$P$196/100))</f>
        <v>0</v>
      </c>
      <c r="R75" s="103">
        <f>Q75*(1+(Data!$P$196/100))</f>
        <v>0</v>
      </c>
      <c r="S75" s="103">
        <f>R75*(1+(Data!$P$196/100))</f>
        <v>0</v>
      </c>
      <c r="T75" s="103">
        <f>S75*(1+(Data!$P$196/100))</f>
        <v>0</v>
      </c>
      <c r="U75" s="103">
        <f>T75*(1+(Data!$P$196/100))</f>
        <v>0</v>
      </c>
      <c r="V75" s="103">
        <f>U75*(1+(Data!$P$196/100))</f>
        <v>0</v>
      </c>
      <c r="W75" s="103">
        <f>V75*(1+(Data!$P$196/100))</f>
        <v>0</v>
      </c>
      <c r="X75" s="103">
        <f>W75*(1+(Data!$P$196/100))</f>
        <v>0</v>
      </c>
      <c r="Y75" s="103">
        <f>X75*(1+(Data!$P$196/100))</f>
        <v>0</v>
      </c>
      <c r="Z75" s="103">
        <f>Y75*(1+(Data!$P$196/100))</f>
        <v>0</v>
      </c>
      <c r="AA75" s="103">
        <f>Z75*(1+(Data!$P$196/100))</f>
        <v>0</v>
      </c>
      <c r="AB75" s="103">
        <f>AA75*(1+(Data!$P$196/100))</f>
        <v>0</v>
      </c>
      <c r="AC75" s="103">
        <f>AB75*(1+(Data!$P$196/100))</f>
        <v>0</v>
      </c>
      <c r="AD75" s="103">
        <f>AC75*(1+(Data!$P$196/100))</f>
        <v>0</v>
      </c>
      <c r="AE75" s="103">
        <f>AD75*(1+(Data!$P$196/100))</f>
        <v>0</v>
      </c>
      <c r="AF75" s="103">
        <f>AE75*(1+(Data!$P$196/100))</f>
        <v>0</v>
      </c>
      <c r="AG75" s="103">
        <f>AF75*(1+(Data!$P$196/100))</f>
        <v>0</v>
      </c>
      <c r="AH75" s="103">
        <f>AG75*(1+(Data!$P$196/100))</f>
        <v>0</v>
      </c>
      <c r="AI75" s="103">
        <f>AH75*(1+(Data!$P$196/100))</f>
        <v>0</v>
      </c>
      <c r="AJ75" s="103">
        <f>AI75*(1+(Data!$P$196/100))</f>
        <v>0</v>
      </c>
    </row>
    <row r="76" spans="7:36" ht="15" hidden="1" customHeight="1" x14ac:dyDescent="0.2">
      <c r="G76" s="14" t="s">
        <v>284</v>
      </c>
      <c r="H76" s="14"/>
      <c r="I76" s="14"/>
      <c r="J76" s="14"/>
      <c r="K76" s="103">
        <f>Data!$P$171</f>
        <v>0.184</v>
      </c>
      <c r="L76" s="103">
        <f>K76*(1+(Data!$P$197/100))</f>
        <v>0.184</v>
      </c>
      <c r="M76" s="103">
        <f>L76*(1+(Data!$P$197/100))</f>
        <v>0.184</v>
      </c>
      <c r="N76" s="103">
        <f>M76*(1+(Data!$P$197/100))</f>
        <v>0.184</v>
      </c>
      <c r="O76" s="103">
        <f>N76*(1+(Data!$P$197/100))</f>
        <v>0.184</v>
      </c>
      <c r="P76" s="103">
        <f>O76*(1+(Data!$P$197/100))</f>
        <v>0.184</v>
      </c>
      <c r="Q76" s="103">
        <f>P76*(1+(Data!$P$197/100))</f>
        <v>0.184</v>
      </c>
      <c r="R76" s="103">
        <f>Q76*(1+(Data!$P$197/100))</f>
        <v>0.184</v>
      </c>
      <c r="S76" s="103">
        <f>R76*(1+(Data!$P$197/100))</f>
        <v>0.184</v>
      </c>
      <c r="T76" s="103">
        <f>S76*(1+(Data!$P$197/100))</f>
        <v>0.184</v>
      </c>
      <c r="U76" s="103">
        <f>T76*(1+(Data!$P$197/100))</f>
        <v>0.184</v>
      </c>
      <c r="V76" s="103">
        <f>U76*(1+(Data!$P$197/100))</f>
        <v>0.184</v>
      </c>
      <c r="W76" s="103">
        <f>V76*(1+(Data!$P$197/100))</f>
        <v>0.184</v>
      </c>
      <c r="X76" s="103">
        <f>W76*(1+(Data!$P$197/100))</f>
        <v>0.184</v>
      </c>
      <c r="Y76" s="103">
        <f>X76*(1+(Data!$P$197/100))</f>
        <v>0.184</v>
      </c>
      <c r="Z76" s="103">
        <f>Y76*(1+(Data!$P$197/100))</f>
        <v>0.184</v>
      </c>
      <c r="AA76" s="103">
        <f>Z76*(1+(Data!$P$197/100))</f>
        <v>0.184</v>
      </c>
      <c r="AB76" s="103">
        <f>AA76*(1+(Data!$P$197/100))</f>
        <v>0.184</v>
      </c>
      <c r="AC76" s="103">
        <f>AB76*(1+(Data!$P$197/100))</f>
        <v>0.184</v>
      </c>
      <c r="AD76" s="103">
        <f>AC76*(1+(Data!$P$197/100))</f>
        <v>0.184</v>
      </c>
      <c r="AE76" s="103">
        <f>AD76*(1+(Data!$P$197/100))</f>
        <v>0.184</v>
      </c>
      <c r="AF76" s="103">
        <f>AE76*(1+(Data!$P$197/100))</f>
        <v>0.184</v>
      </c>
      <c r="AG76" s="103">
        <f>AF76*(1+(Data!$P$197/100))</f>
        <v>0.184</v>
      </c>
      <c r="AH76" s="103">
        <f>AG76*(1+(Data!$P$197/100))</f>
        <v>0.184</v>
      </c>
      <c r="AI76" s="103">
        <f>AH76*(1+(Data!$P$197/100))</f>
        <v>0.184</v>
      </c>
      <c r="AJ76" s="103">
        <f>AI76*(1+(Data!$P$197/100))</f>
        <v>0.184</v>
      </c>
    </row>
    <row r="77" spans="7:36" ht="15" hidden="1" customHeight="1" x14ac:dyDescent="0.2">
      <c r="G77" s="14" t="s">
        <v>259</v>
      </c>
      <c r="H77" s="14"/>
      <c r="I77" s="14"/>
      <c r="J77" s="14"/>
      <c r="K77" s="103">
        <f>Data!$P$172</f>
        <v>0.17072999999999999</v>
      </c>
      <c r="L77" s="103">
        <f>K77*(1+(Data!$P$198/100))</f>
        <v>0.17072999999999999</v>
      </c>
      <c r="M77" s="103">
        <f>L77*(1+(Data!$P$198/100))</f>
        <v>0.17072999999999999</v>
      </c>
      <c r="N77" s="103">
        <f>M77*(1+(Data!$P$198/100))</f>
        <v>0.17072999999999999</v>
      </c>
      <c r="O77" s="103">
        <f>N77*(1+(Data!$P$198/100))</f>
        <v>0.17072999999999999</v>
      </c>
      <c r="P77" s="103">
        <f>O77*(1+(Data!$P$198/100))</f>
        <v>0.17072999999999999</v>
      </c>
      <c r="Q77" s="103">
        <f>P77*(1+(Data!$P$198/100))</f>
        <v>0.17072999999999999</v>
      </c>
      <c r="R77" s="103">
        <f>Q77*(1+(Data!$P$198/100))</f>
        <v>0.17072999999999999</v>
      </c>
      <c r="S77" s="103">
        <f>R77*(1+(Data!$P$198/100))</f>
        <v>0.17072999999999999</v>
      </c>
      <c r="T77" s="103">
        <f>S77*(1+(Data!$P$198/100))</f>
        <v>0.17072999999999999</v>
      </c>
      <c r="U77" s="103">
        <f>T77*(1+(Data!$P$198/100))</f>
        <v>0.17072999999999999</v>
      </c>
      <c r="V77" s="103">
        <f>U77*(1+(Data!$P$198/100))</f>
        <v>0.17072999999999999</v>
      </c>
      <c r="W77" s="103">
        <f>V77*(1+(Data!$P$198/100))</f>
        <v>0.17072999999999999</v>
      </c>
      <c r="X77" s="103">
        <f>W77*(1+(Data!$P$198/100))</f>
        <v>0.17072999999999999</v>
      </c>
      <c r="Y77" s="103">
        <f>X77*(1+(Data!$P$198/100))</f>
        <v>0.17072999999999999</v>
      </c>
      <c r="Z77" s="103">
        <f>Y77*(1+(Data!$P$198/100))</f>
        <v>0.17072999999999999</v>
      </c>
      <c r="AA77" s="103">
        <f>Z77*(1+(Data!$P$198/100))</f>
        <v>0.17072999999999999</v>
      </c>
      <c r="AB77" s="103">
        <f>AA77*(1+(Data!$P$198/100))</f>
        <v>0.17072999999999999</v>
      </c>
      <c r="AC77" s="103">
        <f>AB77*(1+(Data!$P$198/100))</f>
        <v>0.17072999999999999</v>
      </c>
      <c r="AD77" s="103">
        <f>AC77*(1+(Data!$P$198/100))</f>
        <v>0.17072999999999999</v>
      </c>
      <c r="AE77" s="103">
        <f>AD77*(1+(Data!$P$198/100))</f>
        <v>0.17072999999999999</v>
      </c>
      <c r="AF77" s="103">
        <f>AE77*(1+(Data!$P$198/100))</f>
        <v>0.17072999999999999</v>
      </c>
      <c r="AG77" s="103">
        <f>AF77*(1+(Data!$P$198/100))</f>
        <v>0.17072999999999999</v>
      </c>
      <c r="AH77" s="103">
        <f>AG77*(1+(Data!$P$198/100))</f>
        <v>0.17072999999999999</v>
      </c>
      <c r="AI77" s="103">
        <f>AH77*(1+(Data!$P$198/100))</f>
        <v>0.17072999999999999</v>
      </c>
      <c r="AJ77" s="103">
        <f>AI77*(1+(Data!$P$198/100))</f>
        <v>0.17072999999999999</v>
      </c>
    </row>
    <row r="78" spans="7:36" ht="15" hidden="1" customHeight="1" x14ac:dyDescent="0.2">
      <c r="G78" s="14" t="s">
        <v>320</v>
      </c>
      <c r="H78" s="14"/>
      <c r="I78" s="14"/>
      <c r="J78" s="14"/>
      <c r="K78" s="103">
        <f>Data!$P$173</f>
        <v>0.17072999999999999</v>
      </c>
      <c r="L78" s="103">
        <f>K78*(1+(Data!$P$199/100))</f>
        <v>0.17072999999999999</v>
      </c>
      <c r="M78" s="103">
        <f>L78*(1+(Data!$P$199/100))</f>
        <v>0.17072999999999999</v>
      </c>
      <c r="N78" s="103">
        <f>M78*(1+(Data!$P$199/100))</f>
        <v>0.17072999999999999</v>
      </c>
      <c r="O78" s="103">
        <f>N78*(1+(Data!$P$199/100))</f>
        <v>0.17072999999999999</v>
      </c>
      <c r="P78" s="103">
        <f>O78*(1+(Data!$P$199/100))</f>
        <v>0.17072999999999999</v>
      </c>
      <c r="Q78" s="103">
        <f>P78*(1+(Data!$P$199/100))</f>
        <v>0.17072999999999999</v>
      </c>
      <c r="R78" s="103">
        <f>Q78*(1+(Data!$P$199/100))</f>
        <v>0.17072999999999999</v>
      </c>
      <c r="S78" s="103">
        <f>R78*(1+(Data!$P$199/100))</f>
        <v>0.17072999999999999</v>
      </c>
      <c r="T78" s="103">
        <f>S78*(1+(Data!$P$199/100))</f>
        <v>0.17072999999999999</v>
      </c>
      <c r="U78" s="103">
        <f>T78*(1+(Data!$P$199/100))</f>
        <v>0.17072999999999999</v>
      </c>
      <c r="V78" s="103">
        <f>U78*(1+(Data!$P$199/100))</f>
        <v>0.17072999999999999</v>
      </c>
      <c r="W78" s="103">
        <f>V78*(1+(Data!$P$199/100))</f>
        <v>0.17072999999999999</v>
      </c>
      <c r="X78" s="103">
        <f>W78*(1+(Data!$P$199/100))</f>
        <v>0.17072999999999999</v>
      </c>
      <c r="Y78" s="103">
        <f>X78*(1+(Data!$P$199/100))</f>
        <v>0.17072999999999999</v>
      </c>
      <c r="Z78" s="103">
        <f>Y78*(1+(Data!$P$199/100))</f>
        <v>0.17072999999999999</v>
      </c>
      <c r="AA78" s="103">
        <f>Z78*(1+(Data!$P$199/100))</f>
        <v>0.17072999999999999</v>
      </c>
      <c r="AB78" s="103">
        <f>AA78*(1+(Data!$P$199/100))</f>
        <v>0.17072999999999999</v>
      </c>
      <c r="AC78" s="103">
        <f>AB78*(1+(Data!$P$199/100))</f>
        <v>0.17072999999999999</v>
      </c>
      <c r="AD78" s="103">
        <f>AC78*(1+(Data!$P$199/100))</f>
        <v>0.17072999999999999</v>
      </c>
      <c r="AE78" s="103">
        <f>AD78*(1+(Data!$P$199/100))</f>
        <v>0.17072999999999999</v>
      </c>
      <c r="AF78" s="103">
        <f>AE78*(1+(Data!$P$199/100))</f>
        <v>0.17072999999999999</v>
      </c>
      <c r="AG78" s="103">
        <f>AF78*(1+(Data!$P$199/100))</f>
        <v>0.17072999999999999</v>
      </c>
      <c r="AH78" s="103">
        <f>AG78*(1+(Data!$P$199/100))</f>
        <v>0.17072999999999999</v>
      </c>
      <c r="AI78" s="103">
        <f>AH78*(1+(Data!$P$199/100))</f>
        <v>0.17072999999999999</v>
      </c>
      <c r="AJ78" s="103">
        <f>AI78*(1+(Data!$P$199/100))</f>
        <v>0.17072999999999999</v>
      </c>
    </row>
    <row r="79" spans="7:36" ht="15" hidden="1" customHeight="1" x14ac:dyDescent="0.2">
      <c r="G79" s="14" t="s">
        <v>252</v>
      </c>
      <c r="H79" s="14"/>
      <c r="I79" s="14"/>
      <c r="J79" s="14"/>
      <c r="K79" s="103">
        <f>Data!$P$174</f>
        <v>0.19338</v>
      </c>
      <c r="L79" s="103">
        <f>K79*(1+(Data!$P$200/100))</f>
        <v>0.18757859999999998</v>
      </c>
      <c r="M79" s="103">
        <f>L79*(1+(Data!$P$200/100))</f>
        <v>0.18195124199999999</v>
      </c>
      <c r="N79" s="103">
        <f>M79*(1+(Data!$P$200/100))</f>
        <v>0.17649270473999998</v>
      </c>
      <c r="O79" s="103">
        <f>N79*(1+(Data!$P$200/100))</f>
        <v>0.17119792359779998</v>
      </c>
      <c r="P79" s="103">
        <f>O79*(1+(Data!$P$200/100))</f>
        <v>0.16606198588986598</v>
      </c>
      <c r="Q79" s="103">
        <f>P79*(1+(Data!$P$200/100))</f>
        <v>0.16108012631317001</v>
      </c>
      <c r="R79" s="103">
        <f>Q79*(1+(Data!$P$200/100))</f>
        <v>0.15624772252377489</v>
      </c>
      <c r="S79" s="103">
        <f>R79*(1+(Data!$P$200/100))</f>
        <v>0.15156029084806164</v>
      </c>
      <c r="T79" s="103">
        <f>S79*(1+(Data!$P$200/100))</f>
        <v>0.14701348212261978</v>
      </c>
      <c r="U79" s="103">
        <f>T79*(1+(Data!$P$200/100))</f>
        <v>0.14260307765894117</v>
      </c>
      <c r="V79" s="103">
        <f>U79*(1+(Data!$P$200/100))</f>
        <v>0.13832498532917292</v>
      </c>
      <c r="W79" s="103">
        <f>V79*(1+(Data!$P$200/100))</f>
        <v>0.13417523576929774</v>
      </c>
      <c r="X79" s="103">
        <f>W79*(1+(Data!$P$200/100))</f>
        <v>0.1301499786962188</v>
      </c>
      <c r="Y79" s="103">
        <f>X79*(1+(Data!$P$200/100))</f>
        <v>0.12624547933533223</v>
      </c>
      <c r="Z79" s="103">
        <f>Y79*(1+(Data!$P$200/100))</f>
        <v>0.12245811495527226</v>
      </c>
      <c r="AA79" s="103">
        <f>Z79*(1+(Data!$P$200/100))</f>
        <v>0.11878437150661408</v>
      </c>
      <c r="AB79" s="103">
        <f>AA79*(1+(Data!$P$200/100))</f>
        <v>0.11522084036141565</v>
      </c>
      <c r="AC79" s="103">
        <f>AB79*(1+(Data!$P$200/100))</f>
        <v>0.11176421515057318</v>
      </c>
      <c r="AD79" s="103">
        <f>AC79*(1+(Data!$P$200/100))</f>
        <v>0.10841128869605599</v>
      </c>
      <c r="AE79" s="103">
        <f>AD79*(1+(Data!$P$200/100))</f>
        <v>0.10515895003517431</v>
      </c>
      <c r="AF79" s="103">
        <f>AE79*(1+(Data!$P$200/100))</f>
        <v>0.10200418153411908</v>
      </c>
      <c r="AG79" s="103">
        <f>AF79*(1+(Data!$P$200/100))</f>
        <v>9.8944056088095506E-2</v>
      </c>
      <c r="AH79" s="103">
        <f>AG79*(1+(Data!$P$200/100))</f>
        <v>9.5975734405452637E-2</v>
      </c>
      <c r="AI79" s="103">
        <f>AH79*(1+(Data!$P$200/100))</f>
        <v>9.3096462373289057E-2</v>
      </c>
      <c r="AJ79" s="103">
        <f>AI79*(1+(Data!$P$200/100))</f>
        <v>9.0303568502090384E-2</v>
      </c>
    </row>
    <row r="80" spans="7:36" ht="15" hidden="1" customHeight="1" x14ac:dyDescent="0.2">
      <c r="G80" s="14"/>
      <c r="H80" s="69"/>
      <c r="I80" s="69"/>
      <c r="J80" s="196"/>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row>
    <row r="81" spans="7:38" ht="15" hidden="1" customHeight="1" x14ac:dyDescent="0.2">
      <c r="G81" s="14" t="s">
        <v>309</v>
      </c>
      <c r="H81" s="69"/>
      <c r="I81" s="69"/>
      <c r="J81" s="196"/>
      <c r="K81" s="394">
        <f>Data!$P$177</f>
        <v>0</v>
      </c>
      <c r="L81" s="103">
        <f>K81*(1+(Data!$P$188/100))</f>
        <v>0</v>
      </c>
      <c r="M81" s="103">
        <f>L81*(1+(Data!$P$188/100))</f>
        <v>0</v>
      </c>
      <c r="N81" s="103">
        <f>M81*(1+(Data!$P$188/100))</f>
        <v>0</v>
      </c>
      <c r="O81" s="103">
        <f>N81*(1+(Data!$P$188/100))</f>
        <v>0</v>
      </c>
      <c r="P81" s="103">
        <f>O81*(1+(Data!$P$188/100))</f>
        <v>0</v>
      </c>
      <c r="Q81" s="103">
        <f>P81*(1+(Data!$P$188/100))</f>
        <v>0</v>
      </c>
      <c r="R81" s="103">
        <f>Q81*(1+(Data!$P$188/100))</f>
        <v>0</v>
      </c>
      <c r="S81" s="103">
        <f>R81*(1+(Data!$P$188/100))</f>
        <v>0</v>
      </c>
      <c r="T81" s="103">
        <f>S81*(1+(Data!$P$188/100))</f>
        <v>0</v>
      </c>
      <c r="U81" s="103">
        <f>T81*(1+(Data!$P$188/100))</f>
        <v>0</v>
      </c>
      <c r="V81" s="103">
        <f>U81*(1+(Data!$P$188/100))</f>
        <v>0</v>
      </c>
      <c r="W81" s="103">
        <f>V81*(1+(Data!$P$188/100))</f>
        <v>0</v>
      </c>
      <c r="X81" s="103">
        <f>W81*(1+(Data!$P$188/100))</f>
        <v>0</v>
      </c>
      <c r="Y81" s="103">
        <f>X81*(1+(Data!$P$188/100))</f>
        <v>0</v>
      </c>
      <c r="Z81" s="103">
        <f>Y81*(1+(Data!$P$188/100))</f>
        <v>0</v>
      </c>
      <c r="AA81" s="103">
        <f>Z81*(1+(Data!$P$188/100))</f>
        <v>0</v>
      </c>
      <c r="AB81" s="103">
        <f>AA81*(1+(Data!$P$188/100))</f>
        <v>0</v>
      </c>
      <c r="AC81" s="103">
        <f>AB81*(1+(Data!$P$188/100))</f>
        <v>0</v>
      </c>
      <c r="AD81" s="103">
        <f>AC81*(1+(Data!$P$188/100))</f>
        <v>0</v>
      </c>
      <c r="AE81" s="103">
        <f>AD81*(1+(Data!$P$188/100))</f>
        <v>0</v>
      </c>
      <c r="AF81" s="103">
        <f>AE81*(1+(Data!$P$188/100))</f>
        <v>0</v>
      </c>
      <c r="AG81" s="103">
        <f>AF81*(1+(Data!$P$188/100))</f>
        <v>0</v>
      </c>
      <c r="AH81" s="103">
        <f>AG81*(1+(Data!$P$188/100))</f>
        <v>0</v>
      </c>
      <c r="AI81" s="103">
        <f>AH81*(1+(Data!$P$188/100))</f>
        <v>0</v>
      </c>
      <c r="AJ81" s="103">
        <f>AI81*(1+(Data!$P$188/100))</f>
        <v>0</v>
      </c>
    </row>
    <row r="82" spans="7:38" ht="15" hidden="1" customHeight="1" x14ac:dyDescent="0.2">
      <c r="G82" s="14" t="s">
        <v>284</v>
      </c>
      <c r="H82" s="69"/>
      <c r="I82" s="69"/>
      <c r="J82" s="196"/>
      <c r="K82" s="392">
        <f>Data!$P$178</f>
        <v>0.09</v>
      </c>
      <c r="L82" s="103">
        <f>K82*(1+(Data!$P$189/100))</f>
        <v>9.5399999999999999E-2</v>
      </c>
      <c r="M82" s="103">
        <f>L82*(1+(Data!$P$189/100))</f>
        <v>0.10112400000000001</v>
      </c>
      <c r="N82" s="103">
        <f>M82*(1+(Data!$P$189/100))</f>
        <v>0.10719144000000001</v>
      </c>
      <c r="O82" s="103">
        <f>N82*(1+(Data!$P$189/100))</f>
        <v>0.11362292640000002</v>
      </c>
      <c r="P82" s="103">
        <f>O82*(1+(Data!$P$189/100))</f>
        <v>0.12044030198400002</v>
      </c>
      <c r="Q82" s="103">
        <f>P82*(1+(Data!$P$189/100))</f>
        <v>0.12766672010304003</v>
      </c>
      <c r="R82" s="103">
        <f>Q82*(1+(Data!$P$189/100))</f>
        <v>0.13532672330922244</v>
      </c>
      <c r="S82" s="103">
        <f>R82*(1+(Data!$P$189/100))</f>
        <v>0.1434463267077758</v>
      </c>
      <c r="T82" s="103">
        <f>S82*(1+(Data!$P$189/100))</f>
        <v>0.15205310631024235</v>
      </c>
      <c r="U82" s="103">
        <f>T82*(1+(Data!$P$189/100))</f>
        <v>0.16117629268885691</v>
      </c>
      <c r="V82" s="103">
        <f>U82*(1+(Data!$P$189/100))</f>
        <v>0.17084687025018833</v>
      </c>
      <c r="W82" s="103">
        <f>V82*(1+(Data!$P$189/100))</f>
        <v>0.18109768246519964</v>
      </c>
      <c r="X82" s="103">
        <f>W82*(1+(Data!$P$189/100))</f>
        <v>0.19196354341311161</v>
      </c>
      <c r="Y82" s="103">
        <f>X82*(1+(Data!$P$189/100))</f>
        <v>0.20348135601789832</v>
      </c>
      <c r="Z82" s="103">
        <f>Y82*(1+(Data!$P$189/100))</f>
        <v>0.21569023737897222</v>
      </c>
      <c r="AA82" s="103">
        <f>Z82*(1+(Data!$P$189/100))</f>
        <v>0.22863165162171056</v>
      </c>
      <c r="AB82" s="103">
        <f>AA82*(1+(Data!$P$189/100))</f>
        <v>0.24234955071901321</v>
      </c>
      <c r="AC82" s="103">
        <f>AB82*(1+(Data!$P$189/100))</f>
        <v>0.25689052376215399</v>
      </c>
      <c r="AD82" s="103">
        <f>AC82*(1+(Data!$P$189/100))</f>
        <v>0.27230395518788325</v>
      </c>
      <c r="AE82" s="103">
        <f>AD82*(1+(Data!$P$189/100))</f>
        <v>0.28864219249915624</v>
      </c>
      <c r="AF82" s="103">
        <f>AE82*(1+(Data!$P$189/100))</f>
        <v>0.30596072404910563</v>
      </c>
      <c r="AG82" s="103">
        <f>AF82*(1+(Data!$P$189/100))</f>
        <v>0.32431836749205201</v>
      </c>
      <c r="AH82" s="103">
        <f>AG82*(1+(Data!$P$189/100))</f>
        <v>0.34377746954157512</v>
      </c>
      <c r="AI82" s="103">
        <f>AH82*(1+(Data!$P$189/100))</f>
        <v>0.36440411771406966</v>
      </c>
      <c r="AJ82" s="103">
        <f>AI82*(1+(Data!$P$189/100))</f>
        <v>0.38626836477691384</v>
      </c>
    </row>
    <row r="83" spans="7:38" ht="15" hidden="1" customHeight="1" x14ac:dyDescent="0.2">
      <c r="G83" s="14" t="s">
        <v>259</v>
      </c>
      <c r="H83" s="69"/>
      <c r="I83" s="69"/>
      <c r="J83" s="196"/>
      <c r="K83" s="392">
        <f>Data!$P$179</f>
        <v>0.09</v>
      </c>
      <c r="L83" s="103">
        <f>K83*(1+(Data!$P$190/100))</f>
        <v>9.5399999999999999E-2</v>
      </c>
      <c r="M83" s="103">
        <f>L83*(1+(Data!$P$190/100))</f>
        <v>0.10112400000000001</v>
      </c>
      <c r="N83" s="103">
        <f>M83*(1+(Data!$P$190/100))</f>
        <v>0.10719144000000001</v>
      </c>
      <c r="O83" s="103">
        <f>N83*(1+(Data!$P$190/100))</f>
        <v>0.11362292640000002</v>
      </c>
      <c r="P83" s="103">
        <f>O83*(1+(Data!$P$190/100))</f>
        <v>0.12044030198400002</v>
      </c>
      <c r="Q83" s="103">
        <f>P83*(1+(Data!$P$190/100))</f>
        <v>0.12766672010304003</v>
      </c>
      <c r="R83" s="103">
        <f>Q83*(1+(Data!$P$190/100))</f>
        <v>0.13532672330922244</v>
      </c>
      <c r="S83" s="103">
        <f>R83*(1+(Data!$P$190/100))</f>
        <v>0.1434463267077758</v>
      </c>
      <c r="T83" s="103">
        <f>S83*(1+(Data!$P$190/100))</f>
        <v>0.15205310631024235</v>
      </c>
      <c r="U83" s="103">
        <f>T83*(1+(Data!$P$190/100))</f>
        <v>0.16117629268885691</v>
      </c>
      <c r="V83" s="103">
        <f>U83*(1+(Data!$P$190/100))</f>
        <v>0.17084687025018833</v>
      </c>
      <c r="W83" s="103">
        <f>V83*(1+(Data!$P$190/100))</f>
        <v>0.18109768246519964</v>
      </c>
      <c r="X83" s="103">
        <f>W83*(1+(Data!$P$190/100))</f>
        <v>0.19196354341311161</v>
      </c>
      <c r="Y83" s="103">
        <f>X83*(1+(Data!$P$190/100))</f>
        <v>0.20348135601789832</v>
      </c>
      <c r="Z83" s="103">
        <f>Y83*(1+(Data!$P$190/100))</f>
        <v>0.21569023737897222</v>
      </c>
      <c r="AA83" s="103">
        <f>Z83*(1+(Data!$P$190/100))</f>
        <v>0.22863165162171056</v>
      </c>
      <c r="AB83" s="103">
        <f>AA83*(1+(Data!$P$190/100))</f>
        <v>0.24234955071901321</v>
      </c>
      <c r="AC83" s="103">
        <f>AB83*(1+(Data!$P$190/100))</f>
        <v>0.25689052376215399</v>
      </c>
      <c r="AD83" s="103">
        <f>AC83*(1+(Data!$P$190/100))</f>
        <v>0.27230395518788325</v>
      </c>
      <c r="AE83" s="103">
        <f>AD83*(1+(Data!$P$190/100))</f>
        <v>0.28864219249915624</v>
      </c>
      <c r="AF83" s="103">
        <f>AE83*(1+(Data!$P$190/100))</f>
        <v>0.30596072404910563</v>
      </c>
      <c r="AG83" s="103">
        <f>AF83*(1+(Data!$P$190/100))</f>
        <v>0.32431836749205201</v>
      </c>
      <c r="AH83" s="103">
        <f>AG83*(1+(Data!$P$190/100))</f>
        <v>0.34377746954157512</v>
      </c>
      <c r="AI83" s="103">
        <f>AH83*(1+(Data!$P$190/100))</f>
        <v>0.36440411771406966</v>
      </c>
      <c r="AJ83" s="103">
        <f>AI83*(1+(Data!$P$190/100))</f>
        <v>0.38626836477691384</v>
      </c>
    </row>
    <row r="84" spans="7:38" ht="15" hidden="1" customHeight="1" x14ac:dyDescent="0.2">
      <c r="G84" s="14" t="s">
        <v>320</v>
      </c>
      <c r="H84" s="69"/>
      <c r="I84" s="69"/>
      <c r="J84" s="196"/>
      <c r="K84" s="392">
        <f>Data!$P$180</f>
        <v>0.16463429999999998</v>
      </c>
      <c r="L84" s="103">
        <f>K84*(1+(Data!$P$191/100))</f>
        <v>0.17451235799999998</v>
      </c>
      <c r="M84" s="103">
        <f>L84*(1+(Data!$P$191/100))</f>
        <v>0.18498309948</v>
      </c>
      <c r="N84" s="103">
        <f>M84*(1+(Data!$P$191/100))</f>
        <v>0.19608208544880001</v>
      </c>
      <c r="O84" s="103">
        <f>N84*(1+(Data!$P$191/100))</f>
        <v>0.20784701057572802</v>
      </c>
      <c r="P84" s="103">
        <f>O84*(1+(Data!$P$191/100))</f>
        <v>0.22031783121027171</v>
      </c>
      <c r="Q84" s="103">
        <f>P84*(1+(Data!$P$191/100))</f>
        <v>0.23353690108288802</v>
      </c>
      <c r="R84" s="103">
        <f>Q84*(1+(Data!$P$191/100))</f>
        <v>0.24754911514786132</v>
      </c>
      <c r="S84" s="103">
        <f>R84*(1+(Data!$P$191/100))</f>
        <v>0.262402062056733</v>
      </c>
      <c r="T84" s="103">
        <f>S84*(1+(Data!$P$191/100))</f>
        <v>0.278146185780137</v>
      </c>
      <c r="U84" s="103">
        <f>T84*(1+(Data!$P$191/100))</f>
        <v>0.29483495692694522</v>
      </c>
      <c r="V84" s="103">
        <f>U84*(1+(Data!$P$191/100))</f>
        <v>0.31252505434256195</v>
      </c>
      <c r="W84" s="103">
        <f>V84*(1+(Data!$P$191/100))</f>
        <v>0.3312765576031157</v>
      </c>
      <c r="X84" s="103">
        <f>W84*(1+(Data!$P$191/100))</f>
        <v>0.35115315105930267</v>
      </c>
      <c r="Y84" s="103">
        <f>X84*(1+(Data!$P$191/100))</f>
        <v>0.37222234012286087</v>
      </c>
      <c r="Z84" s="103">
        <f>Y84*(1+(Data!$P$191/100))</f>
        <v>0.39455568053023254</v>
      </c>
      <c r="AA84" s="103">
        <f>Z84*(1+(Data!$P$191/100))</f>
        <v>0.41822902136204654</v>
      </c>
      <c r="AB84" s="103">
        <f>AA84*(1+(Data!$P$191/100))</f>
        <v>0.44332276264376935</v>
      </c>
      <c r="AC84" s="103">
        <f>AB84*(1+(Data!$P$191/100))</f>
        <v>0.46992212840239556</v>
      </c>
      <c r="AD84" s="103">
        <f>AC84*(1+(Data!$P$191/100))</f>
        <v>0.49811745610653929</v>
      </c>
      <c r="AE84" s="103">
        <f>AD84*(1+(Data!$P$191/100))</f>
        <v>0.52800450347293171</v>
      </c>
      <c r="AF84" s="103">
        <f>AE84*(1+(Data!$P$191/100))</f>
        <v>0.55968477368130765</v>
      </c>
      <c r="AG84" s="103">
        <f>AF84*(1+(Data!$P$191/100))</f>
        <v>0.59326586010218618</v>
      </c>
      <c r="AH84" s="103">
        <f>AG84*(1+(Data!$P$191/100))</f>
        <v>0.62886181170831734</v>
      </c>
      <c r="AI84" s="103">
        <f>AH84*(1+(Data!$P$191/100))</f>
        <v>0.66659352041081643</v>
      </c>
      <c r="AJ84" s="103">
        <f>AI84*(1+(Data!$P$191/100))</f>
        <v>0.70658913163546544</v>
      </c>
    </row>
    <row r="85" spans="7:38" ht="15" hidden="1" customHeight="1" x14ac:dyDescent="0.2">
      <c r="G85" s="14" t="s">
        <v>252</v>
      </c>
      <c r="H85" s="69"/>
      <c r="I85" s="69"/>
      <c r="J85" s="196"/>
      <c r="K85" s="392">
        <f>Data!$P$181</f>
        <v>0.31</v>
      </c>
      <c r="L85" s="103">
        <f>K85*(1+(Data!$P$192/100))</f>
        <v>0.34100000000000003</v>
      </c>
      <c r="M85" s="103">
        <f>L85*(1+(Data!$P$192/100))</f>
        <v>0.37510000000000004</v>
      </c>
      <c r="N85" s="103">
        <f>M85*(1+(Data!$P$192/100))</f>
        <v>0.41261000000000009</v>
      </c>
      <c r="O85" s="103">
        <f>N85*(1+(Data!$P$192/100))</f>
        <v>0.45387100000000014</v>
      </c>
      <c r="P85" s="103">
        <f>O85*(1+(Data!$P$192/100))</f>
        <v>0.4992581000000002</v>
      </c>
      <c r="Q85" s="103">
        <f>P85*(1+(Data!$P$192/100))</f>
        <v>0.54918391000000022</v>
      </c>
      <c r="R85" s="103">
        <f>Q85*(1+(Data!$P$192/100))</f>
        <v>0.60410230100000029</v>
      </c>
      <c r="S85" s="103">
        <f>R85*(1+(Data!$P$192/100))</f>
        <v>0.66451253110000041</v>
      </c>
      <c r="T85" s="103">
        <f>S85*(1+(Data!$P$192/100))</f>
        <v>0.73096378421000052</v>
      </c>
      <c r="U85" s="103">
        <f>T85*(1+(Data!$P$192/100))</f>
        <v>0.80406016263100066</v>
      </c>
      <c r="V85" s="103">
        <f>U85*(1+(Data!$P$192/100))</f>
        <v>0.88446617889410084</v>
      </c>
      <c r="W85" s="103">
        <f>V85*(1+(Data!$P$192/100))</f>
        <v>0.97291279678351106</v>
      </c>
      <c r="X85" s="103">
        <f>W85*(1+(Data!$P$192/100))</f>
        <v>1.0702040764618623</v>
      </c>
      <c r="Y85" s="103">
        <f>X85*(1+(Data!$P$192/100))</f>
        <v>1.1772244841080486</v>
      </c>
      <c r="Z85" s="103">
        <f>Y85*(1+(Data!$P$192/100))</f>
        <v>1.2949469325188536</v>
      </c>
      <c r="AA85" s="103">
        <f>Z85*(1+(Data!$P$192/100))</f>
        <v>1.4244416257707391</v>
      </c>
      <c r="AB85" s="103">
        <f>AA85*(1+(Data!$P$192/100))</f>
        <v>1.5668857883478131</v>
      </c>
      <c r="AC85" s="103">
        <f>AB85*(1+(Data!$P$192/100))</f>
        <v>1.7235743671825945</v>
      </c>
      <c r="AD85" s="103">
        <f>AC85*(1+(Data!$P$192/100))</f>
        <v>1.8959318039008541</v>
      </c>
      <c r="AE85" s="103">
        <f>AD85*(1+(Data!$P$192/100))</f>
        <v>2.0855249842909398</v>
      </c>
      <c r="AF85" s="103">
        <f>AE85*(1+(Data!$P$192/100))</f>
        <v>2.2940774827200339</v>
      </c>
      <c r="AG85" s="103">
        <f>AF85*(1+(Data!$P$192/100))</f>
        <v>2.5234852309920375</v>
      </c>
      <c r="AH85" s="103">
        <f>AG85*(1+(Data!$P$192/100))</f>
        <v>2.7758337540912414</v>
      </c>
      <c r="AI85" s="103">
        <f>AH85*(1+(Data!$P$192/100))</f>
        <v>3.053417129500366</v>
      </c>
      <c r="AJ85" s="103">
        <f>AI85*(1+(Data!$P$192/100))</f>
        <v>3.3587588424504031</v>
      </c>
    </row>
    <row r="86" spans="7:38" ht="15" hidden="1" customHeight="1" x14ac:dyDescent="0.2">
      <c r="G86" s="14"/>
      <c r="H86" s="69"/>
      <c r="I86" s="69"/>
      <c r="J86" s="196"/>
      <c r="K86" s="392"/>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row>
    <row r="87" spans="7:38" ht="15" hidden="1" customHeight="1" x14ac:dyDescent="0.2">
      <c r="G87" s="14" t="s">
        <v>307</v>
      </c>
      <c r="H87" s="14"/>
      <c r="I87" s="14"/>
      <c r="J87" s="14"/>
      <c r="K87" s="103">
        <v>1</v>
      </c>
      <c r="L87" s="103">
        <f>K87*(1+(Data!$P$194)/100)</f>
        <v>1.02</v>
      </c>
      <c r="M87" s="103">
        <f>L87*(1+(Data!$P$194)/100)</f>
        <v>1.0404</v>
      </c>
      <c r="N87" s="103">
        <f>M87*(1+(Data!$P$194)/100)</f>
        <v>1.0612079999999999</v>
      </c>
      <c r="O87" s="103">
        <f>N87*(1+(Data!$P$194)/100)</f>
        <v>1.08243216</v>
      </c>
      <c r="P87" s="103">
        <f>O87*(1+(Data!$P$194)/100)</f>
        <v>1.1040808032</v>
      </c>
      <c r="Q87" s="103">
        <f>P87*(1+(Data!$P$194)/100)</f>
        <v>1.1261624192640001</v>
      </c>
      <c r="R87" s="103">
        <f>Q87*(1+(Data!$P$194)/100)</f>
        <v>1.14868566764928</v>
      </c>
      <c r="S87" s="103">
        <f>R87*(1+(Data!$P$194)/100)</f>
        <v>1.1716593810022657</v>
      </c>
      <c r="T87" s="103">
        <f>S87*(1+(Data!$P$194)/100)</f>
        <v>1.1950925686223111</v>
      </c>
      <c r="U87" s="103">
        <f>T87*(1+(Data!$P$194)/100)</f>
        <v>1.2189944199947573</v>
      </c>
      <c r="V87" s="103">
        <f>U87*(1+(Data!$P$194)/100)</f>
        <v>1.2433743083946525</v>
      </c>
      <c r="W87" s="103">
        <f>V87*(1+(Data!$P$194)/100)</f>
        <v>1.2682417945625455</v>
      </c>
      <c r="X87" s="103">
        <f>W87*(1+(Data!$P$194)/100)</f>
        <v>1.2936066304537963</v>
      </c>
      <c r="Y87" s="103">
        <f>X87*(1+(Data!$P$194)/100)</f>
        <v>1.3194787630628724</v>
      </c>
      <c r="Z87" s="103">
        <f>Y87*(1+(Data!$P$194)/100)</f>
        <v>1.3458683383241299</v>
      </c>
      <c r="AA87" s="103">
        <f>Z87*(1+(Data!$P$194)/100)</f>
        <v>1.3727857050906125</v>
      </c>
      <c r="AB87" s="103">
        <f>AA87*(1+(Data!$P$194)/100)</f>
        <v>1.4002414191924248</v>
      </c>
      <c r="AC87" s="103">
        <f>AB87*(1+(Data!$P$194)/100)</f>
        <v>1.4282462475762734</v>
      </c>
      <c r="AD87" s="103">
        <f>AC87*(1+(Data!$P$194)/100)</f>
        <v>1.4568111725277988</v>
      </c>
      <c r="AE87" s="103">
        <f>AD87*(1+(Data!$P$194)/100)</f>
        <v>1.4859473959783549</v>
      </c>
      <c r="AF87" s="103">
        <f>AE87*(1+(Data!$P$194)/100)</f>
        <v>1.5156663438979221</v>
      </c>
      <c r="AG87" s="103">
        <f>AF87*(1+(Data!$P$194)/100)</f>
        <v>1.5459796707758806</v>
      </c>
      <c r="AH87" s="103">
        <f>AG87*(1+(Data!$P$194)/100)</f>
        <v>1.5768992641913981</v>
      </c>
      <c r="AI87" s="103">
        <f>AH87*(1+(Data!$P$194)/100)</f>
        <v>1.6084372494752261</v>
      </c>
      <c r="AJ87" s="103">
        <f>AI87*(1+(Data!$P$194)/100)</f>
        <v>1.6406059944647307</v>
      </c>
    </row>
    <row r="88" spans="7:38" ht="15" hidden="1" customHeight="1" x14ac:dyDescent="0.2">
      <c r="G88" s="14" t="s">
        <v>3</v>
      </c>
      <c r="H88" s="14"/>
      <c r="I88" s="14"/>
      <c r="J88" s="14"/>
      <c r="K88" s="103">
        <f>Data!$P$183</f>
        <v>0.1</v>
      </c>
      <c r="L88" s="103">
        <f>K88*((100+Data!$P$202)/100)</f>
        <v>0.10200000000000001</v>
      </c>
      <c r="M88" s="103">
        <f>L88*((100+Data!$P$202)/100)</f>
        <v>0.10404000000000001</v>
      </c>
      <c r="N88" s="103">
        <f>M88*((100+Data!$P$202)/100)</f>
        <v>0.10612080000000002</v>
      </c>
      <c r="O88" s="103">
        <f>N88*((100+Data!$P$202)/100)</f>
        <v>0.10824321600000002</v>
      </c>
      <c r="P88" s="103">
        <f>O88*((100+Data!$P$202)/100)</f>
        <v>0.11040808032000002</v>
      </c>
      <c r="Q88" s="103">
        <f>P88*((100+Data!$P$202)/100)</f>
        <v>0.11261624192640002</v>
      </c>
      <c r="R88" s="103">
        <f>Q88*((100+Data!$P$202)/100)</f>
        <v>0.11486856676492802</v>
      </c>
      <c r="S88" s="103">
        <f>R88*((100+Data!$P$202)/100)</f>
        <v>0.11716593810022657</v>
      </c>
      <c r="T88" s="103">
        <f>S88*((100+Data!$P$202)/100)</f>
        <v>0.11950925686223111</v>
      </c>
      <c r="U88" s="103">
        <f>T88*((100+Data!$P$202)/100)</f>
        <v>0.12189944199947574</v>
      </c>
      <c r="V88" s="103">
        <f>U88*((100+Data!$P$202)/100)</f>
        <v>0.12433743083946525</v>
      </c>
      <c r="W88" s="103">
        <f>V88*((100+Data!$P$202)/100)</f>
        <v>0.12682417945625454</v>
      </c>
      <c r="X88" s="103">
        <f>W88*((100+Data!$P$202)/100)</f>
        <v>0.12936066304537963</v>
      </c>
      <c r="Y88" s="103">
        <f>X88*((100+Data!$P$202)/100)</f>
        <v>0.13194787630628724</v>
      </c>
      <c r="Z88" s="103">
        <f>Y88*((100+Data!$P$202)/100)</f>
        <v>0.13458683383241299</v>
      </c>
      <c r="AA88" s="103">
        <f>Z88*((100+Data!$P$202)/100)</f>
        <v>0.13727857050906125</v>
      </c>
      <c r="AB88" s="103">
        <f>AA88*((100+Data!$P$202)/100)</f>
        <v>0.14002414191924248</v>
      </c>
      <c r="AC88" s="103">
        <f>AB88*((100+Data!$P$202)/100)</f>
        <v>0.14282462475762733</v>
      </c>
      <c r="AD88" s="103">
        <f>AC88*((100+Data!$P$202)/100)</f>
        <v>0.14568111725277988</v>
      </c>
      <c r="AE88" s="103">
        <f>AD88*((100+Data!$P$202)/100)</f>
        <v>0.14859473959783548</v>
      </c>
      <c r="AF88" s="103">
        <f>AE88*((100+Data!$P$202)/100)</f>
        <v>0.1515666343897922</v>
      </c>
      <c r="AG88" s="103">
        <f>AF88*((100+Data!$P$202)/100)</f>
        <v>0.15459796707758805</v>
      </c>
      <c r="AH88" s="103">
        <f>AG88*((100+Data!$P$202)/100)</f>
        <v>0.15768992641913981</v>
      </c>
      <c r="AI88" s="103">
        <f>AH88*((100+Data!$P$202)/100)</f>
        <v>0.16084372494752261</v>
      </c>
      <c r="AJ88" s="103">
        <f>AI88*((100+Data!$P$202)/100)</f>
        <v>0.16406059944647305</v>
      </c>
    </row>
    <row r="89" spans="7:38" ht="15" hidden="1" customHeight="1" x14ac:dyDescent="0.2">
      <c r="G89" s="10"/>
      <c r="H89" s="10"/>
      <c r="K89" s="10"/>
      <c r="M89" s="10"/>
      <c r="N89" s="10"/>
      <c r="O89" s="10"/>
      <c r="P89" s="10"/>
      <c r="Q89" s="10"/>
      <c r="R89" s="10"/>
      <c r="T89" s="10"/>
      <c r="U89" s="10"/>
      <c r="V89" s="10"/>
      <c r="W89" s="10"/>
      <c r="X89" s="10"/>
      <c r="Y89" s="10"/>
      <c r="AA89" s="10"/>
      <c r="AB89" s="10"/>
      <c r="AC89" s="10"/>
      <c r="AD89" s="10"/>
      <c r="AE89" s="10"/>
      <c r="AF89" s="10"/>
      <c r="AG89" s="10"/>
      <c r="AH89" s="10"/>
      <c r="AI89" s="10"/>
      <c r="AJ89" s="10"/>
    </row>
    <row r="90" spans="7:38" ht="15" hidden="1" customHeight="1" x14ac:dyDescent="0.2">
      <c r="G90" s="489" t="s">
        <v>290</v>
      </c>
      <c r="H90" s="14"/>
      <c r="I90" s="13"/>
      <c r="J90" s="13"/>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row>
    <row r="91" spans="7:38" ht="15" hidden="1" customHeight="1" x14ac:dyDescent="0.2">
      <c r="G91" s="14"/>
      <c r="H91" s="14"/>
      <c r="I91" s="13"/>
      <c r="J91" s="13"/>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row>
    <row r="92" spans="7:38" ht="15" hidden="1" customHeight="1" x14ac:dyDescent="0.2">
      <c r="G92" s="14" t="s">
        <v>2</v>
      </c>
      <c r="H92" s="13"/>
      <c r="I92" s="13"/>
      <c r="J92" s="13"/>
      <c r="K92" s="39">
        <f>K$79</f>
        <v>0.19338</v>
      </c>
      <c r="L92" s="39">
        <f t="shared" ref="L92:AJ92" si="12">L$79</f>
        <v>0.18757859999999998</v>
      </c>
      <c r="M92" s="39">
        <f t="shared" si="12"/>
        <v>0.18195124199999999</v>
      </c>
      <c r="N92" s="39">
        <f t="shared" si="12"/>
        <v>0.17649270473999998</v>
      </c>
      <c r="O92" s="39">
        <f t="shared" si="12"/>
        <v>0.17119792359779998</v>
      </c>
      <c r="P92" s="39">
        <f t="shared" si="12"/>
        <v>0.16606198588986598</v>
      </c>
      <c r="Q92" s="39">
        <f t="shared" si="12"/>
        <v>0.16108012631317001</v>
      </c>
      <c r="R92" s="39">
        <f t="shared" si="12"/>
        <v>0.15624772252377489</v>
      </c>
      <c r="S92" s="39">
        <f t="shared" si="12"/>
        <v>0.15156029084806164</v>
      </c>
      <c r="T92" s="39">
        <f t="shared" si="12"/>
        <v>0.14701348212261978</v>
      </c>
      <c r="U92" s="39">
        <f t="shared" si="12"/>
        <v>0.14260307765894117</v>
      </c>
      <c r="V92" s="39">
        <f t="shared" si="12"/>
        <v>0.13832498532917292</v>
      </c>
      <c r="W92" s="39">
        <f t="shared" si="12"/>
        <v>0.13417523576929774</v>
      </c>
      <c r="X92" s="39">
        <f t="shared" si="12"/>
        <v>0.1301499786962188</v>
      </c>
      <c r="Y92" s="39">
        <f t="shared" si="12"/>
        <v>0.12624547933533223</v>
      </c>
      <c r="Z92" s="39">
        <f t="shared" si="12"/>
        <v>0.12245811495527226</v>
      </c>
      <c r="AA92" s="39">
        <f t="shared" si="12"/>
        <v>0.11878437150661408</v>
      </c>
      <c r="AB92" s="39">
        <f t="shared" si="12"/>
        <v>0.11522084036141565</v>
      </c>
      <c r="AC92" s="39">
        <f t="shared" si="12"/>
        <v>0.11176421515057318</v>
      </c>
      <c r="AD92" s="39">
        <f t="shared" si="12"/>
        <v>0.10841128869605599</v>
      </c>
      <c r="AE92" s="39">
        <f t="shared" si="12"/>
        <v>0.10515895003517431</v>
      </c>
      <c r="AF92" s="39">
        <f t="shared" si="12"/>
        <v>0.10200418153411908</v>
      </c>
      <c r="AG92" s="39">
        <f t="shared" si="12"/>
        <v>9.8944056088095506E-2</v>
      </c>
      <c r="AH92" s="39">
        <f t="shared" si="12"/>
        <v>9.5975734405452637E-2</v>
      </c>
      <c r="AI92" s="39">
        <f t="shared" si="12"/>
        <v>9.3096462373289057E-2</v>
      </c>
      <c r="AJ92" s="39">
        <f t="shared" si="12"/>
        <v>9.0303568502090384E-2</v>
      </c>
      <c r="AL92" s="986"/>
    </row>
    <row r="93" spans="7:38" ht="15" hidden="1" customHeight="1" x14ac:dyDescent="0.2">
      <c r="G93" s="14" t="s">
        <v>1</v>
      </c>
      <c r="H93" s="13"/>
      <c r="I93" s="13"/>
      <c r="J93" s="13"/>
      <c r="K93" s="39">
        <f>K$85</f>
        <v>0.31</v>
      </c>
      <c r="L93" s="39">
        <f t="shared" ref="L93:AJ93" si="13">L$85</f>
        <v>0.34100000000000003</v>
      </c>
      <c r="M93" s="39">
        <f t="shared" si="13"/>
        <v>0.37510000000000004</v>
      </c>
      <c r="N93" s="39">
        <f t="shared" si="13"/>
        <v>0.41261000000000009</v>
      </c>
      <c r="O93" s="39">
        <f t="shared" si="13"/>
        <v>0.45387100000000014</v>
      </c>
      <c r="P93" s="39">
        <f t="shared" si="13"/>
        <v>0.4992581000000002</v>
      </c>
      <c r="Q93" s="39">
        <f t="shared" si="13"/>
        <v>0.54918391000000022</v>
      </c>
      <c r="R93" s="39">
        <f t="shared" si="13"/>
        <v>0.60410230100000029</v>
      </c>
      <c r="S93" s="39">
        <f t="shared" si="13"/>
        <v>0.66451253110000041</v>
      </c>
      <c r="T93" s="39">
        <f t="shared" si="13"/>
        <v>0.73096378421000052</v>
      </c>
      <c r="U93" s="39">
        <f t="shared" si="13"/>
        <v>0.80406016263100066</v>
      </c>
      <c r="V93" s="39">
        <f t="shared" si="13"/>
        <v>0.88446617889410084</v>
      </c>
      <c r="W93" s="39">
        <f t="shared" si="13"/>
        <v>0.97291279678351106</v>
      </c>
      <c r="X93" s="39">
        <f t="shared" si="13"/>
        <v>1.0702040764618623</v>
      </c>
      <c r="Y93" s="39">
        <f t="shared" si="13"/>
        <v>1.1772244841080486</v>
      </c>
      <c r="Z93" s="39">
        <f t="shared" si="13"/>
        <v>1.2949469325188536</v>
      </c>
      <c r="AA93" s="39">
        <f t="shared" si="13"/>
        <v>1.4244416257707391</v>
      </c>
      <c r="AB93" s="39">
        <f t="shared" si="13"/>
        <v>1.5668857883478131</v>
      </c>
      <c r="AC93" s="39">
        <f t="shared" si="13"/>
        <v>1.7235743671825945</v>
      </c>
      <c r="AD93" s="39">
        <f t="shared" si="13"/>
        <v>1.8959318039008541</v>
      </c>
      <c r="AE93" s="39">
        <f t="shared" si="13"/>
        <v>2.0855249842909398</v>
      </c>
      <c r="AF93" s="39">
        <f t="shared" si="13"/>
        <v>2.2940774827200339</v>
      </c>
      <c r="AG93" s="39">
        <f t="shared" si="13"/>
        <v>2.5234852309920375</v>
      </c>
      <c r="AH93" s="39">
        <f t="shared" si="13"/>
        <v>2.7758337540912414</v>
      </c>
      <c r="AI93" s="39">
        <f t="shared" si="13"/>
        <v>3.053417129500366</v>
      </c>
      <c r="AJ93" s="39">
        <f t="shared" si="13"/>
        <v>3.3587588424504031</v>
      </c>
      <c r="AL93" s="986"/>
    </row>
    <row r="94" spans="7:38" ht="15" hidden="1" customHeight="1" x14ac:dyDescent="0.2">
      <c r="G94" s="13"/>
      <c r="H94" s="13"/>
      <c r="I94" s="13"/>
      <c r="J94" s="13"/>
      <c r="K94" s="13"/>
      <c r="L94" s="14"/>
      <c r="M94" s="13"/>
      <c r="N94" s="13"/>
      <c r="O94" s="13"/>
      <c r="P94" s="13"/>
      <c r="Q94" s="13"/>
      <c r="R94" s="28"/>
      <c r="S94" s="14"/>
      <c r="T94" s="13"/>
      <c r="U94" s="13"/>
      <c r="V94" s="13"/>
      <c r="W94" s="13"/>
      <c r="X94" s="13"/>
      <c r="Y94" s="13"/>
      <c r="Z94" s="14"/>
      <c r="AA94" s="13"/>
      <c r="AB94" s="13"/>
      <c r="AC94" s="13"/>
      <c r="AD94" s="13"/>
      <c r="AE94" s="13"/>
      <c r="AF94" s="13"/>
      <c r="AG94" s="13"/>
      <c r="AH94" s="13"/>
      <c r="AI94" s="13"/>
      <c r="AJ94" s="13"/>
    </row>
    <row r="95" spans="7:38" ht="15" hidden="1" customHeight="1" x14ac:dyDescent="0.2">
      <c r="G95" s="14" t="s">
        <v>4</v>
      </c>
      <c r="H95" s="14"/>
      <c r="I95" s="13"/>
      <c r="J95" s="13"/>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row>
    <row r="96" spans="7:38" ht="15" hidden="1" customHeight="1" x14ac:dyDescent="0.2">
      <c r="G96" s="14" t="s">
        <v>5</v>
      </c>
      <c r="H96" s="14"/>
      <c r="I96" s="13"/>
      <c r="J96" s="13"/>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row>
    <row r="97" spans="7:36" ht="15" hidden="1" customHeight="1" x14ac:dyDescent="0.2">
      <c r="G97" s="14" t="s">
        <v>6</v>
      </c>
      <c r="H97" s="14"/>
      <c r="I97" s="13"/>
      <c r="J97" s="13"/>
      <c r="K97" s="75">
        <f>$J$11</f>
        <v>0</v>
      </c>
      <c r="L97" s="75">
        <f t="shared" ref="L97:AJ97" si="14">$J$11</f>
        <v>0</v>
      </c>
      <c r="M97" s="75">
        <f t="shared" si="14"/>
        <v>0</v>
      </c>
      <c r="N97" s="75">
        <f t="shared" si="14"/>
        <v>0</v>
      </c>
      <c r="O97" s="75">
        <f t="shared" si="14"/>
        <v>0</v>
      </c>
      <c r="P97" s="75">
        <f t="shared" si="14"/>
        <v>0</v>
      </c>
      <c r="Q97" s="75">
        <f t="shared" si="14"/>
        <v>0</v>
      </c>
      <c r="R97" s="75">
        <f t="shared" si="14"/>
        <v>0</v>
      </c>
      <c r="S97" s="75">
        <f t="shared" si="14"/>
        <v>0</v>
      </c>
      <c r="T97" s="75">
        <f t="shared" si="14"/>
        <v>0</v>
      </c>
      <c r="U97" s="75">
        <f t="shared" si="14"/>
        <v>0</v>
      </c>
      <c r="V97" s="75">
        <f t="shared" si="14"/>
        <v>0</v>
      </c>
      <c r="W97" s="75">
        <f t="shared" si="14"/>
        <v>0</v>
      </c>
      <c r="X97" s="75">
        <f t="shared" si="14"/>
        <v>0</v>
      </c>
      <c r="Y97" s="75">
        <f t="shared" si="14"/>
        <v>0</v>
      </c>
      <c r="Z97" s="75">
        <f t="shared" si="14"/>
        <v>0</v>
      </c>
      <c r="AA97" s="75">
        <f t="shared" si="14"/>
        <v>0</v>
      </c>
      <c r="AB97" s="75">
        <f t="shared" si="14"/>
        <v>0</v>
      </c>
      <c r="AC97" s="75">
        <f t="shared" si="14"/>
        <v>0</v>
      </c>
      <c r="AD97" s="75">
        <f t="shared" si="14"/>
        <v>0</v>
      </c>
      <c r="AE97" s="75">
        <f t="shared" si="14"/>
        <v>0</v>
      </c>
      <c r="AF97" s="75">
        <f t="shared" si="14"/>
        <v>0</v>
      </c>
      <c r="AG97" s="75">
        <f t="shared" si="14"/>
        <v>0</v>
      </c>
      <c r="AH97" s="75">
        <f t="shared" si="14"/>
        <v>0</v>
      </c>
      <c r="AI97" s="75">
        <f t="shared" si="14"/>
        <v>0</v>
      </c>
      <c r="AJ97" s="75">
        <f t="shared" si="14"/>
        <v>0</v>
      </c>
    </row>
    <row r="98" spans="7:36" ht="15" hidden="1" customHeight="1" x14ac:dyDescent="0.2">
      <c r="G98" s="14"/>
      <c r="H98" s="14"/>
      <c r="I98" s="13"/>
      <c r="J98" s="13"/>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row>
    <row r="99" spans="7:36" ht="15" hidden="1" customHeight="1" x14ac:dyDescent="0.2">
      <c r="G99" s="14" t="s">
        <v>7</v>
      </c>
      <c r="H99" s="14"/>
      <c r="I99" s="13"/>
      <c r="J99" s="13"/>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row>
    <row r="100" spans="7:36" ht="15" hidden="1" customHeight="1" x14ac:dyDescent="0.2">
      <c r="G100" s="14" t="s">
        <v>8</v>
      </c>
      <c r="H100" s="14"/>
      <c r="I100" s="13"/>
      <c r="J100" s="13"/>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row>
    <row r="101" spans="7:36" ht="15" hidden="1" customHeight="1" x14ac:dyDescent="0.2">
      <c r="G101" s="14" t="s">
        <v>9</v>
      </c>
      <c r="H101" s="14"/>
      <c r="I101" s="13"/>
      <c r="J101" s="13"/>
      <c r="K101" s="31">
        <f>K92*K97</f>
        <v>0</v>
      </c>
      <c r="L101" s="31">
        <f t="shared" ref="L101:AJ101" si="15">L92*L97</f>
        <v>0</v>
      </c>
      <c r="M101" s="31">
        <f t="shared" si="15"/>
        <v>0</v>
      </c>
      <c r="N101" s="31">
        <f t="shared" si="15"/>
        <v>0</v>
      </c>
      <c r="O101" s="31">
        <f t="shared" si="15"/>
        <v>0</v>
      </c>
      <c r="P101" s="31">
        <f t="shared" si="15"/>
        <v>0</v>
      </c>
      <c r="Q101" s="31">
        <f t="shared" si="15"/>
        <v>0</v>
      </c>
      <c r="R101" s="31">
        <f t="shared" si="15"/>
        <v>0</v>
      </c>
      <c r="S101" s="31">
        <f t="shared" si="15"/>
        <v>0</v>
      </c>
      <c r="T101" s="31">
        <f t="shared" si="15"/>
        <v>0</v>
      </c>
      <c r="U101" s="31">
        <f t="shared" si="15"/>
        <v>0</v>
      </c>
      <c r="V101" s="31">
        <f t="shared" si="15"/>
        <v>0</v>
      </c>
      <c r="W101" s="31">
        <f t="shared" si="15"/>
        <v>0</v>
      </c>
      <c r="X101" s="31">
        <f t="shared" si="15"/>
        <v>0</v>
      </c>
      <c r="Y101" s="31">
        <f t="shared" si="15"/>
        <v>0</v>
      </c>
      <c r="Z101" s="31">
        <f t="shared" si="15"/>
        <v>0</v>
      </c>
      <c r="AA101" s="31">
        <f t="shared" si="15"/>
        <v>0</v>
      </c>
      <c r="AB101" s="31">
        <f t="shared" si="15"/>
        <v>0</v>
      </c>
      <c r="AC101" s="31">
        <f t="shared" si="15"/>
        <v>0</v>
      </c>
      <c r="AD101" s="31">
        <f t="shared" si="15"/>
        <v>0</v>
      </c>
      <c r="AE101" s="31">
        <f t="shared" si="15"/>
        <v>0</v>
      </c>
      <c r="AF101" s="31">
        <f t="shared" si="15"/>
        <v>0</v>
      </c>
      <c r="AG101" s="31">
        <f t="shared" si="15"/>
        <v>0</v>
      </c>
      <c r="AH101" s="31">
        <f t="shared" si="15"/>
        <v>0</v>
      </c>
      <c r="AI101" s="31">
        <f t="shared" si="15"/>
        <v>0</v>
      </c>
      <c r="AJ101" s="31">
        <f t="shared" si="15"/>
        <v>0</v>
      </c>
    </row>
    <row r="102" spans="7:36" ht="15" hidden="1" customHeight="1" x14ac:dyDescent="0.2">
      <c r="G102" s="14"/>
      <c r="H102" s="14"/>
      <c r="I102" s="13"/>
      <c r="J102" s="13"/>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row>
    <row r="103" spans="7:36" ht="15" hidden="1" customHeight="1" x14ac:dyDescent="0.2">
      <c r="G103" s="14" t="s">
        <v>10</v>
      </c>
      <c r="H103" s="14"/>
      <c r="I103" s="13"/>
      <c r="J103" s="13"/>
      <c r="K103" s="75">
        <f>IF($K$48=0,IF(K70=$K$43,$K$42,0),IF(K$70=$K$43,$K$42*K$87,IF(OR(AND($K$43=0,K$70=$K$43),AND(K$70&gt;=$K$43+$K$48,INT((K$70-$K$43)/($K$48))=(K$70-$K$43)/($K$48))),$K$47*K$87,0)))</f>
        <v>0</v>
      </c>
      <c r="L103" s="75">
        <f t="shared" ref="L103:AJ103" si="16">IF($K$48=0,IF(L70=$K$43,$K$42,0),IF(L$70=$K$43,$K$42*L$87,IF(OR(AND($K$43=0,L$70=$K$43),AND(L$70&gt;=$K$43+$K$48,INT((L$70-$K$43)/($K$48))=(L$70-$K$43)/($K$48))),$K$47*L$87,0)))</f>
        <v>0</v>
      </c>
      <c r="M103" s="75">
        <f t="shared" si="16"/>
        <v>0</v>
      </c>
      <c r="N103" s="75">
        <f t="shared" si="16"/>
        <v>0</v>
      </c>
      <c r="O103" s="75">
        <f t="shared" si="16"/>
        <v>0</v>
      </c>
      <c r="P103" s="75">
        <f t="shared" si="16"/>
        <v>0</v>
      </c>
      <c r="Q103" s="75">
        <f t="shared" si="16"/>
        <v>0</v>
      </c>
      <c r="R103" s="75">
        <f t="shared" si="16"/>
        <v>0</v>
      </c>
      <c r="S103" s="75">
        <f t="shared" si="16"/>
        <v>0</v>
      </c>
      <c r="T103" s="75">
        <f t="shared" si="16"/>
        <v>0</v>
      </c>
      <c r="U103" s="75">
        <f t="shared" si="16"/>
        <v>0</v>
      </c>
      <c r="V103" s="75">
        <f t="shared" si="16"/>
        <v>0</v>
      </c>
      <c r="W103" s="75">
        <f t="shared" si="16"/>
        <v>0</v>
      </c>
      <c r="X103" s="75">
        <f t="shared" si="16"/>
        <v>0</v>
      </c>
      <c r="Y103" s="75">
        <f t="shared" si="16"/>
        <v>0</v>
      </c>
      <c r="Z103" s="75">
        <f t="shared" si="16"/>
        <v>0</v>
      </c>
      <c r="AA103" s="75">
        <f t="shared" si="16"/>
        <v>0</v>
      </c>
      <c r="AB103" s="75">
        <f t="shared" si="16"/>
        <v>0</v>
      </c>
      <c r="AC103" s="75">
        <f t="shared" si="16"/>
        <v>0</v>
      </c>
      <c r="AD103" s="75">
        <f t="shared" si="16"/>
        <v>0</v>
      </c>
      <c r="AE103" s="75">
        <f t="shared" si="16"/>
        <v>0</v>
      </c>
      <c r="AF103" s="75">
        <f t="shared" si="16"/>
        <v>0</v>
      </c>
      <c r="AG103" s="75">
        <f t="shared" si="16"/>
        <v>0</v>
      </c>
      <c r="AH103" s="75">
        <f t="shared" si="16"/>
        <v>0</v>
      </c>
      <c r="AI103" s="75">
        <f t="shared" si="16"/>
        <v>0</v>
      </c>
      <c r="AJ103" s="75">
        <f t="shared" si="16"/>
        <v>0</v>
      </c>
    </row>
    <row r="104" spans="7:36" ht="15" hidden="1" customHeight="1" x14ac:dyDescent="0.2">
      <c r="G104" s="14" t="s">
        <v>11</v>
      </c>
      <c r="H104" s="14"/>
      <c r="I104" s="13"/>
      <c r="J104" s="13"/>
      <c r="K104" s="31">
        <f t="shared" ref="K104:AI104" si="17">($K$45*K$87)-($K$46*K$87)</f>
        <v>0</v>
      </c>
      <c r="L104" s="31">
        <f t="shared" si="17"/>
        <v>0</v>
      </c>
      <c r="M104" s="31">
        <f t="shared" si="17"/>
        <v>0</v>
      </c>
      <c r="N104" s="31">
        <f t="shared" si="17"/>
        <v>0</v>
      </c>
      <c r="O104" s="31">
        <f t="shared" si="17"/>
        <v>0</v>
      </c>
      <c r="P104" s="31">
        <f t="shared" si="17"/>
        <v>0</v>
      </c>
      <c r="Q104" s="31">
        <f t="shared" si="17"/>
        <v>0</v>
      </c>
      <c r="R104" s="31">
        <f t="shared" si="17"/>
        <v>0</v>
      </c>
      <c r="S104" s="31">
        <f t="shared" si="17"/>
        <v>0</v>
      </c>
      <c r="T104" s="31">
        <f t="shared" si="17"/>
        <v>0</v>
      </c>
      <c r="U104" s="31">
        <f t="shared" si="17"/>
        <v>0</v>
      </c>
      <c r="V104" s="31">
        <f t="shared" si="17"/>
        <v>0</v>
      </c>
      <c r="W104" s="31">
        <f t="shared" si="17"/>
        <v>0</v>
      </c>
      <c r="X104" s="31">
        <f t="shared" si="17"/>
        <v>0</v>
      </c>
      <c r="Y104" s="31">
        <f t="shared" si="17"/>
        <v>0</v>
      </c>
      <c r="Z104" s="31">
        <f t="shared" si="17"/>
        <v>0</v>
      </c>
      <c r="AA104" s="31">
        <f t="shared" si="17"/>
        <v>0</v>
      </c>
      <c r="AB104" s="31">
        <f t="shared" si="17"/>
        <v>0</v>
      </c>
      <c r="AC104" s="31">
        <f t="shared" si="17"/>
        <v>0</v>
      </c>
      <c r="AD104" s="31">
        <f t="shared" si="17"/>
        <v>0</v>
      </c>
      <c r="AE104" s="31">
        <f t="shared" si="17"/>
        <v>0</v>
      </c>
      <c r="AF104" s="31">
        <f t="shared" si="17"/>
        <v>0</v>
      </c>
      <c r="AG104" s="31">
        <f t="shared" si="17"/>
        <v>0</v>
      </c>
      <c r="AH104" s="31">
        <f t="shared" si="17"/>
        <v>0</v>
      </c>
      <c r="AI104" s="31">
        <f t="shared" si="17"/>
        <v>0</v>
      </c>
      <c r="AJ104" s="31">
        <f>($K$45*AJ$87)-($K$46*AJ$87)</f>
        <v>0</v>
      </c>
    </row>
    <row r="105" spans="7:36" ht="15" hidden="1" customHeight="1" x14ac:dyDescent="0.2">
      <c r="G105" s="14" t="s">
        <v>12</v>
      </c>
      <c r="H105" s="14"/>
      <c r="I105" s="13"/>
      <c r="J105" s="13"/>
      <c r="K105" s="31">
        <f t="shared" ref="K105:AJ105" si="18">K$93*K97</f>
        <v>0</v>
      </c>
      <c r="L105" s="31">
        <f t="shared" si="18"/>
        <v>0</v>
      </c>
      <c r="M105" s="31">
        <f t="shared" si="18"/>
        <v>0</v>
      </c>
      <c r="N105" s="31">
        <f t="shared" si="18"/>
        <v>0</v>
      </c>
      <c r="O105" s="31">
        <f t="shared" si="18"/>
        <v>0</v>
      </c>
      <c r="P105" s="31">
        <f t="shared" si="18"/>
        <v>0</v>
      </c>
      <c r="Q105" s="31">
        <f t="shared" si="18"/>
        <v>0</v>
      </c>
      <c r="R105" s="31">
        <f t="shared" si="18"/>
        <v>0</v>
      </c>
      <c r="S105" s="31">
        <f t="shared" si="18"/>
        <v>0</v>
      </c>
      <c r="T105" s="31">
        <f t="shared" si="18"/>
        <v>0</v>
      </c>
      <c r="U105" s="31">
        <f t="shared" si="18"/>
        <v>0</v>
      </c>
      <c r="V105" s="31">
        <f t="shared" si="18"/>
        <v>0</v>
      </c>
      <c r="W105" s="31">
        <f t="shared" si="18"/>
        <v>0</v>
      </c>
      <c r="X105" s="31">
        <f t="shared" si="18"/>
        <v>0</v>
      </c>
      <c r="Y105" s="31">
        <f t="shared" si="18"/>
        <v>0</v>
      </c>
      <c r="Z105" s="31">
        <f t="shared" si="18"/>
        <v>0</v>
      </c>
      <c r="AA105" s="31">
        <f t="shared" si="18"/>
        <v>0</v>
      </c>
      <c r="AB105" s="31">
        <f t="shared" si="18"/>
        <v>0</v>
      </c>
      <c r="AC105" s="31">
        <f t="shared" si="18"/>
        <v>0</v>
      </c>
      <c r="AD105" s="31">
        <f t="shared" si="18"/>
        <v>0</v>
      </c>
      <c r="AE105" s="31">
        <f t="shared" si="18"/>
        <v>0</v>
      </c>
      <c r="AF105" s="31">
        <f t="shared" si="18"/>
        <v>0</v>
      </c>
      <c r="AG105" s="31">
        <f t="shared" si="18"/>
        <v>0</v>
      </c>
      <c r="AH105" s="31">
        <f t="shared" si="18"/>
        <v>0</v>
      </c>
      <c r="AI105" s="31">
        <f t="shared" si="18"/>
        <v>0</v>
      </c>
      <c r="AJ105" s="31">
        <f t="shared" si="18"/>
        <v>0</v>
      </c>
    </row>
    <row r="106" spans="7:36" ht="15" hidden="1" customHeight="1" x14ac:dyDescent="0.2">
      <c r="G106" s="14" t="s">
        <v>13</v>
      </c>
      <c r="H106" s="14"/>
      <c r="I106" s="13"/>
      <c r="J106" s="13"/>
      <c r="K106" s="31">
        <f t="shared" ref="K106:AJ106" si="19">K88*K101</f>
        <v>0</v>
      </c>
      <c r="L106" s="31">
        <f t="shared" si="19"/>
        <v>0</v>
      </c>
      <c r="M106" s="31">
        <f t="shared" si="19"/>
        <v>0</v>
      </c>
      <c r="N106" s="31">
        <f t="shared" si="19"/>
        <v>0</v>
      </c>
      <c r="O106" s="31">
        <f t="shared" si="19"/>
        <v>0</v>
      </c>
      <c r="P106" s="31">
        <f t="shared" si="19"/>
        <v>0</v>
      </c>
      <c r="Q106" s="31">
        <f t="shared" si="19"/>
        <v>0</v>
      </c>
      <c r="R106" s="31">
        <f t="shared" si="19"/>
        <v>0</v>
      </c>
      <c r="S106" s="31">
        <f t="shared" si="19"/>
        <v>0</v>
      </c>
      <c r="T106" s="31">
        <f t="shared" si="19"/>
        <v>0</v>
      </c>
      <c r="U106" s="31">
        <f t="shared" si="19"/>
        <v>0</v>
      </c>
      <c r="V106" s="31">
        <f t="shared" si="19"/>
        <v>0</v>
      </c>
      <c r="W106" s="31">
        <f t="shared" si="19"/>
        <v>0</v>
      </c>
      <c r="X106" s="31">
        <f t="shared" si="19"/>
        <v>0</v>
      </c>
      <c r="Y106" s="31">
        <f t="shared" si="19"/>
        <v>0</v>
      </c>
      <c r="Z106" s="31">
        <f t="shared" si="19"/>
        <v>0</v>
      </c>
      <c r="AA106" s="31">
        <f t="shared" si="19"/>
        <v>0</v>
      </c>
      <c r="AB106" s="31">
        <f t="shared" si="19"/>
        <v>0</v>
      </c>
      <c r="AC106" s="31">
        <f t="shared" si="19"/>
        <v>0</v>
      </c>
      <c r="AD106" s="31">
        <f t="shared" si="19"/>
        <v>0</v>
      </c>
      <c r="AE106" s="31">
        <f t="shared" si="19"/>
        <v>0</v>
      </c>
      <c r="AF106" s="31">
        <f t="shared" si="19"/>
        <v>0</v>
      </c>
      <c r="AG106" s="31">
        <f t="shared" si="19"/>
        <v>0</v>
      </c>
      <c r="AH106" s="31">
        <f t="shared" si="19"/>
        <v>0</v>
      </c>
      <c r="AI106" s="31">
        <f t="shared" si="19"/>
        <v>0</v>
      </c>
      <c r="AJ106" s="31">
        <f t="shared" si="19"/>
        <v>0</v>
      </c>
    </row>
    <row r="107" spans="7:36" ht="15" hidden="1" customHeight="1" x14ac:dyDescent="0.2">
      <c r="G107" s="14"/>
      <c r="H107" s="14"/>
      <c r="I107" s="13"/>
      <c r="J107" s="13"/>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row>
    <row r="108" spans="7:36" ht="15" hidden="1" customHeight="1" x14ac:dyDescent="0.2">
      <c r="G108" s="14" t="s">
        <v>14</v>
      </c>
      <c r="H108" s="14"/>
      <c r="I108" s="13"/>
      <c r="J108" s="13"/>
      <c r="K108" s="31">
        <f t="shared" ref="K108:Z108" si="20">SUM(K103:K106)</f>
        <v>0</v>
      </c>
      <c r="L108" s="31">
        <f t="shared" si="20"/>
        <v>0</v>
      </c>
      <c r="M108" s="31">
        <f t="shared" si="20"/>
        <v>0</v>
      </c>
      <c r="N108" s="31">
        <f t="shared" si="20"/>
        <v>0</v>
      </c>
      <c r="O108" s="31">
        <f t="shared" si="20"/>
        <v>0</v>
      </c>
      <c r="P108" s="31">
        <f t="shared" si="20"/>
        <v>0</v>
      </c>
      <c r="Q108" s="31">
        <f t="shared" si="20"/>
        <v>0</v>
      </c>
      <c r="R108" s="31">
        <f t="shared" si="20"/>
        <v>0</v>
      </c>
      <c r="S108" s="31">
        <f t="shared" si="20"/>
        <v>0</v>
      </c>
      <c r="T108" s="31">
        <f t="shared" si="20"/>
        <v>0</v>
      </c>
      <c r="U108" s="31">
        <f t="shared" si="20"/>
        <v>0</v>
      </c>
      <c r="V108" s="31">
        <f t="shared" si="20"/>
        <v>0</v>
      </c>
      <c r="W108" s="31">
        <f t="shared" si="20"/>
        <v>0</v>
      </c>
      <c r="X108" s="31">
        <f t="shared" si="20"/>
        <v>0</v>
      </c>
      <c r="Y108" s="31">
        <f t="shared" si="20"/>
        <v>0</v>
      </c>
      <c r="Z108" s="31">
        <f t="shared" si="20"/>
        <v>0</v>
      </c>
      <c r="AA108" s="31">
        <f t="shared" ref="AA108:AH108" si="21">SUM(AA103:AA106)</f>
        <v>0</v>
      </c>
      <c r="AB108" s="31">
        <f t="shared" si="21"/>
        <v>0</v>
      </c>
      <c r="AC108" s="31">
        <f t="shared" si="21"/>
        <v>0</v>
      </c>
      <c r="AD108" s="31">
        <f t="shared" si="21"/>
        <v>0</v>
      </c>
      <c r="AE108" s="31">
        <f t="shared" si="21"/>
        <v>0</v>
      </c>
      <c r="AF108" s="31">
        <f t="shared" si="21"/>
        <v>0</v>
      </c>
      <c r="AG108" s="31">
        <f t="shared" si="21"/>
        <v>0</v>
      </c>
      <c r="AH108" s="31">
        <f t="shared" si="21"/>
        <v>0</v>
      </c>
      <c r="AI108" s="31">
        <f>SUM(AI103:AI106)</f>
        <v>0</v>
      </c>
      <c r="AJ108" s="31">
        <f>SUM(AJ103:AJ106)</f>
        <v>0</v>
      </c>
    </row>
    <row r="109" spans="7:36" ht="15" hidden="1" customHeight="1" x14ac:dyDescent="0.2">
      <c r="G109" s="14" t="s">
        <v>15</v>
      </c>
      <c r="H109" s="14"/>
      <c r="I109" s="13"/>
      <c r="J109" s="13"/>
      <c r="K109" s="31">
        <f>K108</f>
        <v>0</v>
      </c>
      <c r="L109" s="31">
        <f t="shared" ref="L109:AJ109" si="22">K109+L108</f>
        <v>0</v>
      </c>
      <c r="M109" s="31">
        <f t="shared" si="22"/>
        <v>0</v>
      </c>
      <c r="N109" s="31">
        <f t="shared" si="22"/>
        <v>0</v>
      </c>
      <c r="O109" s="31">
        <f t="shared" si="22"/>
        <v>0</v>
      </c>
      <c r="P109" s="31">
        <f t="shared" si="22"/>
        <v>0</v>
      </c>
      <c r="Q109" s="31">
        <f t="shared" si="22"/>
        <v>0</v>
      </c>
      <c r="R109" s="31">
        <f t="shared" si="22"/>
        <v>0</v>
      </c>
      <c r="S109" s="31">
        <f t="shared" si="22"/>
        <v>0</v>
      </c>
      <c r="T109" s="31">
        <f t="shared" si="22"/>
        <v>0</v>
      </c>
      <c r="U109" s="31">
        <f t="shared" si="22"/>
        <v>0</v>
      </c>
      <c r="V109" s="31">
        <f t="shared" si="22"/>
        <v>0</v>
      </c>
      <c r="W109" s="31">
        <f t="shared" si="22"/>
        <v>0</v>
      </c>
      <c r="X109" s="31">
        <f t="shared" si="22"/>
        <v>0</v>
      </c>
      <c r="Y109" s="31">
        <f t="shared" si="22"/>
        <v>0</v>
      </c>
      <c r="Z109" s="31">
        <f t="shared" si="22"/>
        <v>0</v>
      </c>
      <c r="AA109" s="31">
        <f t="shared" si="22"/>
        <v>0</v>
      </c>
      <c r="AB109" s="31">
        <f t="shared" si="22"/>
        <v>0</v>
      </c>
      <c r="AC109" s="31">
        <f t="shared" si="22"/>
        <v>0</v>
      </c>
      <c r="AD109" s="31">
        <f t="shared" si="22"/>
        <v>0</v>
      </c>
      <c r="AE109" s="31">
        <f t="shared" si="22"/>
        <v>0</v>
      </c>
      <c r="AF109" s="31">
        <f t="shared" si="22"/>
        <v>0</v>
      </c>
      <c r="AG109" s="31">
        <f t="shared" si="22"/>
        <v>0</v>
      </c>
      <c r="AH109" s="31">
        <f t="shared" si="22"/>
        <v>0</v>
      </c>
      <c r="AI109" s="31">
        <f t="shared" si="22"/>
        <v>0</v>
      </c>
      <c r="AJ109" s="31">
        <f t="shared" si="22"/>
        <v>0</v>
      </c>
    </row>
    <row r="110" spans="7:36" ht="15" hidden="1" customHeight="1" x14ac:dyDescent="0.2">
      <c r="G110" s="13"/>
      <c r="H110" s="13"/>
      <c r="I110" s="13"/>
      <c r="J110" s="13"/>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row>
    <row r="111" spans="7:36" ht="15" hidden="1" customHeight="1" x14ac:dyDescent="0.2">
      <c r="G111" s="14" t="s">
        <v>17</v>
      </c>
      <c r="H111" s="13"/>
      <c r="I111" s="13"/>
      <c r="J111" s="13"/>
      <c r="K111" s="31">
        <f>K108/(((Data!$P$186/100)+1)^K$70)</f>
        <v>0</v>
      </c>
      <c r="L111" s="31">
        <f>L108/(((Data!$P$186/100)+1)^L$70)</f>
        <v>0</v>
      </c>
      <c r="M111" s="31">
        <f>M108/(((Data!$P$186/100)+1)^M$70)</f>
        <v>0</v>
      </c>
      <c r="N111" s="31">
        <f>N108/(((Data!$P$186/100)+1)^N$70)</f>
        <v>0</v>
      </c>
      <c r="O111" s="31">
        <f>O108/(((Data!$P$186/100)+1)^O$70)</f>
        <v>0</v>
      </c>
      <c r="P111" s="31">
        <f>P108/(((Data!$P$186/100)+1)^P$70)</f>
        <v>0</v>
      </c>
      <c r="Q111" s="31">
        <f>Q108/(((Data!$P$186/100)+1)^Q$70)</f>
        <v>0</v>
      </c>
      <c r="R111" s="31">
        <f>R108/(((Data!$P$186/100)+1)^R$70)</f>
        <v>0</v>
      </c>
      <c r="S111" s="31">
        <f>S108/(((Data!$P$186/100)+1)^S$70)</f>
        <v>0</v>
      </c>
      <c r="T111" s="31">
        <f>T108/(((Data!$P$186/100)+1)^T$70)</f>
        <v>0</v>
      </c>
      <c r="U111" s="31">
        <f>U108/(((Data!$P$186/100)+1)^U$70)</f>
        <v>0</v>
      </c>
      <c r="V111" s="31">
        <f>V108/(((Data!$P$186/100)+1)^V$70)</f>
        <v>0</v>
      </c>
      <c r="W111" s="31">
        <f>W108/(((Data!$P$186/100)+1)^W$70)</f>
        <v>0</v>
      </c>
      <c r="X111" s="31">
        <f>X108/(((Data!$P$186/100)+1)^X$70)</f>
        <v>0</v>
      </c>
      <c r="Y111" s="31">
        <f>Y108/(((Data!$P$186/100)+1)^Y$70)</f>
        <v>0</v>
      </c>
      <c r="Z111" s="31">
        <f>Z108/(((Data!$P$186/100)+1)^Z$70)</f>
        <v>0</v>
      </c>
      <c r="AA111" s="31">
        <f>AA108/(((Data!$P$186/100)+1)^AA$70)</f>
        <v>0</v>
      </c>
      <c r="AB111" s="31">
        <f>AB108/(((Data!$P$186/100)+1)^AB$70)</f>
        <v>0</v>
      </c>
      <c r="AC111" s="31">
        <f>AC108/(((Data!$P$186/100)+1)^AC$70)</f>
        <v>0</v>
      </c>
      <c r="AD111" s="31">
        <f>AD108/(((Data!$P$186/100)+1)^AD$70)</f>
        <v>0</v>
      </c>
      <c r="AE111" s="31">
        <f>AE108/(((Data!$P$186/100)+1)^AE$70)</f>
        <v>0</v>
      </c>
      <c r="AF111" s="31">
        <f>AF108/(((Data!$P$186/100)+1)^AF$70)</f>
        <v>0</v>
      </c>
      <c r="AG111" s="31">
        <f>AG108/(((Data!$P$186/100)+1)^AG$70)</f>
        <v>0</v>
      </c>
      <c r="AH111" s="31">
        <f>AH108/(((Data!$P$186/100)+1)^AH$70)</f>
        <v>0</v>
      </c>
      <c r="AI111" s="31">
        <f>AI108/(((Data!$P$186/100)+1)^AI$70)</f>
        <v>0</v>
      </c>
      <c r="AJ111" s="31">
        <f>AJ108/(((Data!$P$186/100)+1)^AJ$70)</f>
        <v>0</v>
      </c>
    </row>
    <row r="112" spans="7:36" ht="15" hidden="1" customHeight="1" x14ac:dyDescent="0.2">
      <c r="G112" s="30" t="s">
        <v>186</v>
      </c>
      <c r="H112" s="33"/>
      <c r="I112" s="13"/>
      <c r="J112" s="13"/>
      <c r="K112" s="34">
        <f>K111</f>
        <v>0</v>
      </c>
      <c r="L112" s="34">
        <f t="shared" ref="L112:AJ112" si="23">K112+L111</f>
        <v>0</v>
      </c>
      <c r="M112" s="34">
        <f t="shared" si="23"/>
        <v>0</v>
      </c>
      <c r="N112" s="34">
        <f t="shared" si="23"/>
        <v>0</v>
      </c>
      <c r="O112" s="34">
        <f t="shared" si="23"/>
        <v>0</v>
      </c>
      <c r="P112" s="34">
        <f t="shared" si="23"/>
        <v>0</v>
      </c>
      <c r="Q112" s="34">
        <f t="shared" si="23"/>
        <v>0</v>
      </c>
      <c r="R112" s="34">
        <f t="shared" si="23"/>
        <v>0</v>
      </c>
      <c r="S112" s="34">
        <f t="shared" si="23"/>
        <v>0</v>
      </c>
      <c r="T112" s="34">
        <f t="shared" si="23"/>
        <v>0</v>
      </c>
      <c r="U112" s="34">
        <f t="shared" si="23"/>
        <v>0</v>
      </c>
      <c r="V112" s="34">
        <f t="shared" si="23"/>
        <v>0</v>
      </c>
      <c r="W112" s="34">
        <f t="shared" si="23"/>
        <v>0</v>
      </c>
      <c r="X112" s="34">
        <f t="shared" si="23"/>
        <v>0</v>
      </c>
      <c r="Y112" s="34">
        <f t="shared" si="23"/>
        <v>0</v>
      </c>
      <c r="Z112" s="34">
        <f t="shared" si="23"/>
        <v>0</v>
      </c>
      <c r="AA112" s="34">
        <f t="shared" si="23"/>
        <v>0</v>
      </c>
      <c r="AB112" s="34">
        <f t="shared" si="23"/>
        <v>0</v>
      </c>
      <c r="AC112" s="34">
        <f t="shared" si="23"/>
        <v>0</v>
      </c>
      <c r="AD112" s="34">
        <f t="shared" si="23"/>
        <v>0</v>
      </c>
      <c r="AE112" s="34">
        <f t="shared" si="23"/>
        <v>0</v>
      </c>
      <c r="AF112" s="34">
        <f t="shared" si="23"/>
        <v>0</v>
      </c>
      <c r="AG112" s="34">
        <f t="shared" si="23"/>
        <v>0</v>
      </c>
      <c r="AH112" s="34">
        <f t="shared" si="23"/>
        <v>0</v>
      </c>
      <c r="AI112" s="34">
        <f t="shared" si="23"/>
        <v>0</v>
      </c>
      <c r="AJ112" s="34">
        <f t="shared" si="23"/>
        <v>0</v>
      </c>
    </row>
    <row r="113" spans="7:38" ht="15" hidden="1" customHeight="1" x14ac:dyDescent="0.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row>
    <row r="114" spans="7:38" ht="15" hidden="1" customHeight="1" x14ac:dyDescent="0.2">
      <c r="G114" s="532" t="s">
        <v>525</v>
      </c>
      <c r="H114" s="17"/>
      <c r="I114" s="13"/>
      <c r="J114" s="13"/>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row>
    <row r="115" spans="7:38" ht="15" hidden="1" customHeight="1" x14ac:dyDescent="0.2">
      <c r="G115" s="17"/>
      <c r="H115" s="17"/>
      <c r="I115" s="13"/>
      <c r="J115" s="13"/>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row>
    <row r="116" spans="7:38" ht="15" hidden="1" customHeight="1" x14ac:dyDescent="0.2">
      <c r="G116" s="17" t="s">
        <v>2</v>
      </c>
      <c r="H116" s="13"/>
      <c r="I116" s="13"/>
      <c r="J116" s="13"/>
      <c r="K116" s="101">
        <f>K$79</f>
        <v>0.19338</v>
      </c>
      <c r="L116" s="101">
        <f t="shared" ref="L116:AJ116" si="24">L$79</f>
        <v>0.18757859999999998</v>
      </c>
      <c r="M116" s="101">
        <f t="shared" si="24"/>
        <v>0.18195124199999999</v>
      </c>
      <c r="N116" s="101">
        <f t="shared" si="24"/>
        <v>0.17649270473999998</v>
      </c>
      <c r="O116" s="101">
        <f t="shared" si="24"/>
        <v>0.17119792359779998</v>
      </c>
      <c r="P116" s="101">
        <f t="shared" si="24"/>
        <v>0.16606198588986598</v>
      </c>
      <c r="Q116" s="101">
        <f t="shared" si="24"/>
        <v>0.16108012631317001</v>
      </c>
      <c r="R116" s="101">
        <f t="shared" si="24"/>
        <v>0.15624772252377489</v>
      </c>
      <c r="S116" s="101">
        <f t="shared" si="24"/>
        <v>0.15156029084806164</v>
      </c>
      <c r="T116" s="101">
        <f t="shared" si="24"/>
        <v>0.14701348212261978</v>
      </c>
      <c r="U116" s="101">
        <f t="shared" si="24"/>
        <v>0.14260307765894117</v>
      </c>
      <c r="V116" s="101">
        <f t="shared" si="24"/>
        <v>0.13832498532917292</v>
      </c>
      <c r="W116" s="101">
        <f t="shared" si="24"/>
        <v>0.13417523576929774</v>
      </c>
      <c r="X116" s="101">
        <f t="shared" si="24"/>
        <v>0.1301499786962188</v>
      </c>
      <c r="Y116" s="101">
        <f t="shared" si="24"/>
        <v>0.12624547933533223</v>
      </c>
      <c r="Z116" s="101">
        <f t="shared" si="24"/>
        <v>0.12245811495527226</v>
      </c>
      <c r="AA116" s="101">
        <f t="shared" si="24"/>
        <v>0.11878437150661408</v>
      </c>
      <c r="AB116" s="101">
        <f t="shared" si="24"/>
        <v>0.11522084036141565</v>
      </c>
      <c r="AC116" s="101">
        <f t="shared" si="24"/>
        <v>0.11176421515057318</v>
      </c>
      <c r="AD116" s="101">
        <f t="shared" si="24"/>
        <v>0.10841128869605599</v>
      </c>
      <c r="AE116" s="101">
        <f t="shared" si="24"/>
        <v>0.10515895003517431</v>
      </c>
      <c r="AF116" s="101">
        <f t="shared" si="24"/>
        <v>0.10200418153411908</v>
      </c>
      <c r="AG116" s="101">
        <f t="shared" si="24"/>
        <v>9.8944056088095506E-2</v>
      </c>
      <c r="AH116" s="101">
        <f t="shared" si="24"/>
        <v>9.5975734405452637E-2</v>
      </c>
      <c r="AI116" s="101">
        <f t="shared" si="24"/>
        <v>9.3096462373289057E-2</v>
      </c>
      <c r="AJ116" s="101">
        <f t="shared" si="24"/>
        <v>9.0303568502090384E-2</v>
      </c>
      <c r="AL116" s="986"/>
    </row>
    <row r="117" spans="7:38" ht="15" hidden="1" customHeight="1" x14ac:dyDescent="0.2">
      <c r="G117" s="17" t="s">
        <v>1</v>
      </c>
      <c r="H117" s="13"/>
      <c r="I117" s="13"/>
      <c r="J117" s="13"/>
      <c r="K117" s="101">
        <f>K$85</f>
        <v>0.31</v>
      </c>
      <c r="L117" s="101">
        <f t="shared" ref="L117:AJ117" si="25">L$85</f>
        <v>0.34100000000000003</v>
      </c>
      <c r="M117" s="101">
        <f t="shared" si="25"/>
        <v>0.37510000000000004</v>
      </c>
      <c r="N117" s="101">
        <f t="shared" si="25"/>
        <v>0.41261000000000009</v>
      </c>
      <c r="O117" s="101">
        <f t="shared" si="25"/>
        <v>0.45387100000000014</v>
      </c>
      <c r="P117" s="101">
        <f t="shared" si="25"/>
        <v>0.4992581000000002</v>
      </c>
      <c r="Q117" s="101">
        <f t="shared" si="25"/>
        <v>0.54918391000000022</v>
      </c>
      <c r="R117" s="101">
        <f t="shared" si="25"/>
        <v>0.60410230100000029</v>
      </c>
      <c r="S117" s="101">
        <f t="shared" si="25"/>
        <v>0.66451253110000041</v>
      </c>
      <c r="T117" s="101">
        <f t="shared" si="25"/>
        <v>0.73096378421000052</v>
      </c>
      <c r="U117" s="101">
        <f t="shared" si="25"/>
        <v>0.80406016263100066</v>
      </c>
      <c r="V117" s="101">
        <f t="shared" si="25"/>
        <v>0.88446617889410084</v>
      </c>
      <c r="W117" s="101">
        <f t="shared" si="25"/>
        <v>0.97291279678351106</v>
      </c>
      <c r="X117" s="101">
        <f t="shared" si="25"/>
        <v>1.0702040764618623</v>
      </c>
      <c r="Y117" s="101">
        <f t="shared" si="25"/>
        <v>1.1772244841080486</v>
      </c>
      <c r="Z117" s="101">
        <f t="shared" si="25"/>
        <v>1.2949469325188536</v>
      </c>
      <c r="AA117" s="101">
        <f t="shared" si="25"/>
        <v>1.4244416257707391</v>
      </c>
      <c r="AB117" s="101">
        <f t="shared" si="25"/>
        <v>1.5668857883478131</v>
      </c>
      <c r="AC117" s="101">
        <f t="shared" si="25"/>
        <v>1.7235743671825945</v>
      </c>
      <c r="AD117" s="101">
        <f t="shared" si="25"/>
        <v>1.8959318039008541</v>
      </c>
      <c r="AE117" s="101">
        <f t="shared" si="25"/>
        <v>2.0855249842909398</v>
      </c>
      <c r="AF117" s="101">
        <f t="shared" si="25"/>
        <v>2.2940774827200339</v>
      </c>
      <c r="AG117" s="101">
        <f t="shared" si="25"/>
        <v>2.5234852309920375</v>
      </c>
      <c r="AH117" s="101">
        <f t="shared" si="25"/>
        <v>2.7758337540912414</v>
      </c>
      <c r="AI117" s="101">
        <f t="shared" si="25"/>
        <v>3.053417129500366</v>
      </c>
      <c r="AJ117" s="101">
        <f t="shared" si="25"/>
        <v>3.3587588424504031</v>
      </c>
      <c r="AL117" s="986"/>
    </row>
    <row r="118" spans="7:38" ht="15" hidden="1" customHeight="1" x14ac:dyDescent="0.2">
      <c r="G118" s="13"/>
      <c r="H118" s="13"/>
      <c r="I118" s="13"/>
      <c r="J118" s="13"/>
      <c r="K118" s="13"/>
      <c r="L118" s="14"/>
      <c r="M118" s="13"/>
      <c r="N118" s="13"/>
      <c r="O118" s="13"/>
      <c r="P118" s="13"/>
      <c r="Q118" s="13"/>
      <c r="R118" s="28"/>
      <c r="S118" s="14"/>
      <c r="T118" s="13"/>
      <c r="U118" s="13"/>
      <c r="V118" s="13"/>
      <c r="W118" s="13"/>
      <c r="X118" s="13"/>
      <c r="Y118" s="13"/>
      <c r="Z118" s="14"/>
      <c r="AA118" s="13"/>
      <c r="AB118" s="13"/>
      <c r="AC118" s="13"/>
      <c r="AD118" s="13"/>
      <c r="AE118" s="13"/>
      <c r="AF118" s="13"/>
      <c r="AG118" s="13"/>
      <c r="AH118" s="13"/>
      <c r="AI118" s="13"/>
      <c r="AJ118" s="13"/>
    </row>
    <row r="119" spans="7:38" ht="15" hidden="1" customHeight="1" x14ac:dyDescent="0.2">
      <c r="G119" s="17" t="s">
        <v>4</v>
      </c>
      <c r="H119" s="17"/>
      <c r="I119" s="13"/>
      <c r="J119" s="1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row>
    <row r="120" spans="7:38" ht="15" hidden="1" customHeight="1" x14ac:dyDescent="0.2">
      <c r="G120" s="17" t="s">
        <v>5</v>
      </c>
      <c r="H120" s="17"/>
      <c r="I120" s="13"/>
      <c r="J120" s="1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row>
    <row r="121" spans="7:38" ht="15" hidden="1" customHeight="1" x14ac:dyDescent="0.2">
      <c r="G121" s="17" t="s">
        <v>6</v>
      </c>
      <c r="H121" s="17"/>
      <c r="I121" s="13"/>
      <c r="J121" s="13"/>
      <c r="K121" s="35">
        <f t="shared" ref="K121:AJ121" si="26">IF(K$70&lt;$Q$43,$J$11,$P$11)</f>
        <v>0</v>
      </c>
      <c r="L121" s="35">
        <f t="shared" si="26"/>
        <v>0</v>
      </c>
      <c r="M121" s="35">
        <f t="shared" si="26"/>
        <v>0</v>
      </c>
      <c r="N121" s="35">
        <f t="shared" si="26"/>
        <v>0</v>
      </c>
      <c r="O121" s="35">
        <f t="shared" si="26"/>
        <v>0</v>
      </c>
      <c r="P121" s="35">
        <f t="shared" si="26"/>
        <v>0</v>
      </c>
      <c r="Q121" s="35">
        <f t="shared" si="26"/>
        <v>0</v>
      </c>
      <c r="R121" s="35">
        <f t="shared" si="26"/>
        <v>0</v>
      </c>
      <c r="S121" s="35">
        <f t="shared" si="26"/>
        <v>0</v>
      </c>
      <c r="T121" s="35">
        <f t="shared" si="26"/>
        <v>0</v>
      </c>
      <c r="U121" s="35">
        <f t="shared" si="26"/>
        <v>0</v>
      </c>
      <c r="V121" s="35">
        <f t="shared" si="26"/>
        <v>0</v>
      </c>
      <c r="W121" s="35">
        <f t="shared" si="26"/>
        <v>0</v>
      </c>
      <c r="X121" s="35">
        <f t="shared" si="26"/>
        <v>0</v>
      </c>
      <c r="Y121" s="35">
        <f t="shared" si="26"/>
        <v>0</v>
      </c>
      <c r="Z121" s="35">
        <f t="shared" si="26"/>
        <v>0</v>
      </c>
      <c r="AA121" s="35">
        <f t="shared" si="26"/>
        <v>0</v>
      </c>
      <c r="AB121" s="35">
        <f t="shared" si="26"/>
        <v>0</v>
      </c>
      <c r="AC121" s="35">
        <f t="shared" si="26"/>
        <v>0</v>
      </c>
      <c r="AD121" s="35">
        <f t="shared" si="26"/>
        <v>0</v>
      </c>
      <c r="AE121" s="35">
        <f t="shared" si="26"/>
        <v>0</v>
      </c>
      <c r="AF121" s="35">
        <f t="shared" si="26"/>
        <v>0</v>
      </c>
      <c r="AG121" s="35">
        <f t="shared" si="26"/>
        <v>0</v>
      </c>
      <c r="AH121" s="35">
        <f t="shared" si="26"/>
        <v>0</v>
      </c>
      <c r="AI121" s="35">
        <f t="shared" si="26"/>
        <v>0</v>
      </c>
      <c r="AJ121" s="35">
        <f t="shared" si="26"/>
        <v>0</v>
      </c>
    </row>
    <row r="122" spans="7:38" ht="15" hidden="1" customHeight="1" x14ac:dyDescent="0.2">
      <c r="G122" s="17"/>
      <c r="H122" s="17"/>
      <c r="I122" s="13"/>
      <c r="J122" s="13"/>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row>
    <row r="123" spans="7:38" ht="15" hidden="1" customHeight="1" x14ac:dyDescent="0.2">
      <c r="G123" s="17" t="s">
        <v>7</v>
      </c>
      <c r="H123" s="17"/>
      <c r="I123" s="13"/>
      <c r="J123" s="1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row>
    <row r="124" spans="7:38" ht="15" hidden="1" customHeight="1" x14ac:dyDescent="0.2">
      <c r="G124" s="17" t="s">
        <v>8</v>
      </c>
      <c r="H124" s="17"/>
      <c r="I124" s="13"/>
      <c r="J124" s="1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row>
    <row r="125" spans="7:38" ht="15" hidden="1" customHeight="1" x14ac:dyDescent="0.2">
      <c r="G125" s="17" t="s">
        <v>9</v>
      </c>
      <c r="H125" s="17"/>
      <c r="I125" s="13"/>
      <c r="J125" s="13"/>
      <c r="K125" s="35">
        <f t="shared" ref="K125:AJ125" si="27">K$116*K121</f>
        <v>0</v>
      </c>
      <c r="L125" s="35">
        <f t="shared" si="27"/>
        <v>0</v>
      </c>
      <c r="M125" s="35">
        <f t="shared" si="27"/>
        <v>0</v>
      </c>
      <c r="N125" s="35">
        <f t="shared" si="27"/>
        <v>0</v>
      </c>
      <c r="O125" s="35">
        <f t="shared" si="27"/>
        <v>0</v>
      </c>
      <c r="P125" s="35">
        <f t="shared" si="27"/>
        <v>0</v>
      </c>
      <c r="Q125" s="35">
        <f t="shared" si="27"/>
        <v>0</v>
      </c>
      <c r="R125" s="35">
        <f t="shared" si="27"/>
        <v>0</v>
      </c>
      <c r="S125" s="35">
        <f t="shared" si="27"/>
        <v>0</v>
      </c>
      <c r="T125" s="35">
        <f t="shared" si="27"/>
        <v>0</v>
      </c>
      <c r="U125" s="35">
        <f t="shared" si="27"/>
        <v>0</v>
      </c>
      <c r="V125" s="35">
        <f t="shared" si="27"/>
        <v>0</v>
      </c>
      <c r="W125" s="35">
        <f t="shared" si="27"/>
        <v>0</v>
      </c>
      <c r="X125" s="35">
        <f t="shared" si="27"/>
        <v>0</v>
      </c>
      <c r="Y125" s="35">
        <f t="shared" si="27"/>
        <v>0</v>
      </c>
      <c r="Z125" s="35">
        <f t="shared" si="27"/>
        <v>0</v>
      </c>
      <c r="AA125" s="35">
        <f t="shared" si="27"/>
        <v>0</v>
      </c>
      <c r="AB125" s="35">
        <f t="shared" si="27"/>
        <v>0</v>
      </c>
      <c r="AC125" s="35">
        <f t="shared" si="27"/>
        <v>0</v>
      </c>
      <c r="AD125" s="35">
        <f t="shared" si="27"/>
        <v>0</v>
      </c>
      <c r="AE125" s="35">
        <f t="shared" si="27"/>
        <v>0</v>
      </c>
      <c r="AF125" s="35">
        <f t="shared" si="27"/>
        <v>0</v>
      </c>
      <c r="AG125" s="35">
        <f t="shared" si="27"/>
        <v>0</v>
      </c>
      <c r="AH125" s="35">
        <f t="shared" si="27"/>
        <v>0</v>
      </c>
      <c r="AI125" s="35">
        <f t="shared" si="27"/>
        <v>0</v>
      </c>
      <c r="AJ125" s="35">
        <f t="shared" si="27"/>
        <v>0</v>
      </c>
    </row>
    <row r="126" spans="7:38" ht="15" hidden="1" customHeight="1" x14ac:dyDescent="0.2">
      <c r="G126" s="17"/>
      <c r="H126" s="17"/>
      <c r="I126" s="13"/>
      <c r="J126" s="13"/>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row>
    <row r="127" spans="7:38" ht="15" hidden="1" customHeight="1" x14ac:dyDescent="0.2">
      <c r="G127" s="17" t="s">
        <v>10</v>
      </c>
      <c r="H127" s="17"/>
      <c r="I127" s="13"/>
      <c r="J127" s="13"/>
      <c r="K127" s="80">
        <f>IF($Q$48=0,IF(K70=$Q$43,$Q$42,0),IF(K$70=$Q$43,$Q$42*K$87,IF(OR(AND($Q$43=0,K$70=$Q$43),AND(K$70&gt;=$Q$43+$Q$48,INT((K$70-$Q$43)/($Q$48))=(K$70-$Q$43)/($Q$48))),$Q$47*K$87,0)))</f>
        <v>0</v>
      </c>
      <c r="L127" s="80">
        <f t="shared" ref="L127:AJ127" si="28">IF($Q$48=0,IF(L70=$Q$43,$Q$42,0),IF(L$70=$Q$43,$Q$42*L$87,IF(OR(AND($Q$43=0,L$70=$Q$43),AND(L$70&gt;=$Q$43+$Q$48,INT((L$70-$Q$43)/($Q$48))=(L$70-$Q$43)/($Q$48))),$Q$47*L$87,0)))</f>
        <v>0</v>
      </c>
      <c r="M127" s="80">
        <f t="shared" si="28"/>
        <v>0</v>
      </c>
      <c r="N127" s="80">
        <f t="shared" si="28"/>
        <v>0</v>
      </c>
      <c r="O127" s="80">
        <f t="shared" si="28"/>
        <v>0</v>
      </c>
      <c r="P127" s="80">
        <f t="shared" si="28"/>
        <v>0</v>
      </c>
      <c r="Q127" s="80">
        <f t="shared" si="28"/>
        <v>0</v>
      </c>
      <c r="R127" s="80">
        <f t="shared" si="28"/>
        <v>0</v>
      </c>
      <c r="S127" s="80">
        <f t="shared" si="28"/>
        <v>0</v>
      </c>
      <c r="T127" s="80">
        <f t="shared" si="28"/>
        <v>0</v>
      </c>
      <c r="U127" s="80">
        <f t="shared" si="28"/>
        <v>0</v>
      </c>
      <c r="V127" s="80">
        <f t="shared" si="28"/>
        <v>0</v>
      </c>
      <c r="W127" s="80">
        <f t="shared" si="28"/>
        <v>0</v>
      </c>
      <c r="X127" s="80">
        <f t="shared" si="28"/>
        <v>0</v>
      </c>
      <c r="Y127" s="80">
        <f t="shared" si="28"/>
        <v>0</v>
      </c>
      <c r="Z127" s="80">
        <f t="shared" si="28"/>
        <v>0</v>
      </c>
      <c r="AA127" s="80">
        <f t="shared" si="28"/>
        <v>0</v>
      </c>
      <c r="AB127" s="80">
        <f t="shared" si="28"/>
        <v>0</v>
      </c>
      <c r="AC127" s="80">
        <f t="shared" si="28"/>
        <v>0</v>
      </c>
      <c r="AD127" s="80">
        <f t="shared" si="28"/>
        <v>0</v>
      </c>
      <c r="AE127" s="80">
        <f t="shared" si="28"/>
        <v>0</v>
      </c>
      <c r="AF127" s="80">
        <f t="shared" si="28"/>
        <v>0</v>
      </c>
      <c r="AG127" s="80">
        <f t="shared" si="28"/>
        <v>0</v>
      </c>
      <c r="AH127" s="80">
        <f t="shared" si="28"/>
        <v>0</v>
      </c>
      <c r="AI127" s="80">
        <f t="shared" si="28"/>
        <v>0</v>
      </c>
      <c r="AJ127" s="80">
        <f t="shared" si="28"/>
        <v>0</v>
      </c>
    </row>
    <row r="128" spans="7:38" ht="15" hidden="1" customHeight="1" x14ac:dyDescent="0.2">
      <c r="G128" s="17" t="s">
        <v>11</v>
      </c>
      <c r="H128" s="17"/>
      <c r="I128" s="13"/>
      <c r="J128" s="13"/>
      <c r="K128" s="35">
        <f t="shared" ref="K128:AI128" si="29">IF(K$70&lt;$Q$43,($K$45*K$87)-($K$46*K$87),($Q$45*K$87)-($Q$46*K$87))</f>
        <v>0</v>
      </c>
      <c r="L128" s="35">
        <f t="shared" si="29"/>
        <v>0</v>
      </c>
      <c r="M128" s="35">
        <f t="shared" si="29"/>
        <v>0</v>
      </c>
      <c r="N128" s="35">
        <f t="shared" si="29"/>
        <v>0</v>
      </c>
      <c r="O128" s="35">
        <f t="shared" si="29"/>
        <v>0</v>
      </c>
      <c r="P128" s="35">
        <f t="shared" si="29"/>
        <v>0</v>
      </c>
      <c r="Q128" s="35">
        <f t="shared" si="29"/>
        <v>0</v>
      </c>
      <c r="R128" s="35">
        <f t="shared" si="29"/>
        <v>0</v>
      </c>
      <c r="S128" s="35">
        <f t="shared" si="29"/>
        <v>0</v>
      </c>
      <c r="T128" s="35">
        <f t="shared" si="29"/>
        <v>0</v>
      </c>
      <c r="U128" s="35">
        <f t="shared" si="29"/>
        <v>0</v>
      </c>
      <c r="V128" s="35">
        <f t="shared" si="29"/>
        <v>0</v>
      </c>
      <c r="W128" s="35">
        <f t="shared" si="29"/>
        <v>0</v>
      </c>
      <c r="X128" s="35">
        <f t="shared" si="29"/>
        <v>0</v>
      </c>
      <c r="Y128" s="35">
        <f t="shared" si="29"/>
        <v>0</v>
      </c>
      <c r="Z128" s="35">
        <f t="shared" si="29"/>
        <v>0</v>
      </c>
      <c r="AA128" s="35">
        <f t="shared" si="29"/>
        <v>0</v>
      </c>
      <c r="AB128" s="35">
        <f t="shared" si="29"/>
        <v>0</v>
      </c>
      <c r="AC128" s="35">
        <f t="shared" si="29"/>
        <v>0</v>
      </c>
      <c r="AD128" s="35">
        <f t="shared" si="29"/>
        <v>0</v>
      </c>
      <c r="AE128" s="35">
        <f t="shared" si="29"/>
        <v>0</v>
      </c>
      <c r="AF128" s="35">
        <f t="shared" si="29"/>
        <v>0</v>
      </c>
      <c r="AG128" s="35">
        <f t="shared" si="29"/>
        <v>0</v>
      </c>
      <c r="AH128" s="35">
        <f t="shared" si="29"/>
        <v>0</v>
      </c>
      <c r="AI128" s="35">
        <f t="shared" si="29"/>
        <v>0</v>
      </c>
      <c r="AJ128" s="35">
        <f>IF(AJ$70&lt;$Q$43,($K$45*AJ$87)-($K$46*AJ$87),($Q$45*AJ$87)-($Q$46*AJ$87))</f>
        <v>0</v>
      </c>
    </row>
    <row r="129" spans="7:38" ht="15" hidden="1" customHeight="1" x14ac:dyDescent="0.2">
      <c r="G129" s="17" t="s">
        <v>12</v>
      </c>
      <c r="H129" s="17"/>
      <c r="I129" s="13"/>
      <c r="J129" s="13"/>
      <c r="K129" s="35">
        <f t="shared" ref="K129:AJ129" si="30">K$117*K121</f>
        <v>0</v>
      </c>
      <c r="L129" s="35">
        <f t="shared" si="30"/>
        <v>0</v>
      </c>
      <c r="M129" s="35">
        <f t="shared" si="30"/>
        <v>0</v>
      </c>
      <c r="N129" s="35">
        <f t="shared" si="30"/>
        <v>0</v>
      </c>
      <c r="O129" s="35">
        <f t="shared" si="30"/>
        <v>0</v>
      </c>
      <c r="P129" s="35">
        <f t="shared" si="30"/>
        <v>0</v>
      </c>
      <c r="Q129" s="35">
        <f t="shared" si="30"/>
        <v>0</v>
      </c>
      <c r="R129" s="35">
        <f t="shared" si="30"/>
        <v>0</v>
      </c>
      <c r="S129" s="35">
        <f t="shared" si="30"/>
        <v>0</v>
      </c>
      <c r="T129" s="35">
        <f t="shared" si="30"/>
        <v>0</v>
      </c>
      <c r="U129" s="35">
        <f t="shared" si="30"/>
        <v>0</v>
      </c>
      <c r="V129" s="35">
        <f t="shared" si="30"/>
        <v>0</v>
      </c>
      <c r="W129" s="35">
        <f t="shared" si="30"/>
        <v>0</v>
      </c>
      <c r="X129" s="35">
        <f t="shared" si="30"/>
        <v>0</v>
      </c>
      <c r="Y129" s="35">
        <f t="shared" si="30"/>
        <v>0</v>
      </c>
      <c r="Z129" s="35">
        <f t="shared" si="30"/>
        <v>0</v>
      </c>
      <c r="AA129" s="35">
        <f t="shared" si="30"/>
        <v>0</v>
      </c>
      <c r="AB129" s="35">
        <f t="shared" si="30"/>
        <v>0</v>
      </c>
      <c r="AC129" s="35">
        <f t="shared" si="30"/>
        <v>0</v>
      </c>
      <c r="AD129" s="35">
        <f t="shared" si="30"/>
        <v>0</v>
      </c>
      <c r="AE129" s="35">
        <f t="shared" si="30"/>
        <v>0</v>
      </c>
      <c r="AF129" s="35">
        <f t="shared" si="30"/>
        <v>0</v>
      </c>
      <c r="AG129" s="35">
        <f t="shared" si="30"/>
        <v>0</v>
      </c>
      <c r="AH129" s="35">
        <f t="shared" si="30"/>
        <v>0</v>
      </c>
      <c r="AI129" s="35">
        <f t="shared" si="30"/>
        <v>0</v>
      </c>
      <c r="AJ129" s="35">
        <f t="shared" si="30"/>
        <v>0</v>
      </c>
    </row>
    <row r="130" spans="7:38" ht="15" hidden="1" customHeight="1" x14ac:dyDescent="0.2">
      <c r="G130" s="17" t="s">
        <v>13</v>
      </c>
      <c r="H130" s="17"/>
      <c r="I130" s="13"/>
      <c r="J130" s="13"/>
      <c r="K130" s="35">
        <f t="shared" ref="K130:AJ130" si="31">K88*K125</f>
        <v>0</v>
      </c>
      <c r="L130" s="35">
        <f t="shared" si="31"/>
        <v>0</v>
      </c>
      <c r="M130" s="35">
        <f t="shared" si="31"/>
        <v>0</v>
      </c>
      <c r="N130" s="35">
        <f t="shared" si="31"/>
        <v>0</v>
      </c>
      <c r="O130" s="35">
        <f t="shared" si="31"/>
        <v>0</v>
      </c>
      <c r="P130" s="35">
        <f t="shared" si="31"/>
        <v>0</v>
      </c>
      <c r="Q130" s="35">
        <f t="shared" si="31"/>
        <v>0</v>
      </c>
      <c r="R130" s="35">
        <f t="shared" si="31"/>
        <v>0</v>
      </c>
      <c r="S130" s="35">
        <f t="shared" si="31"/>
        <v>0</v>
      </c>
      <c r="T130" s="35">
        <f t="shared" si="31"/>
        <v>0</v>
      </c>
      <c r="U130" s="35">
        <f t="shared" si="31"/>
        <v>0</v>
      </c>
      <c r="V130" s="35">
        <f t="shared" si="31"/>
        <v>0</v>
      </c>
      <c r="W130" s="35">
        <f t="shared" si="31"/>
        <v>0</v>
      </c>
      <c r="X130" s="35">
        <f t="shared" si="31"/>
        <v>0</v>
      </c>
      <c r="Y130" s="35">
        <f t="shared" si="31"/>
        <v>0</v>
      </c>
      <c r="Z130" s="35">
        <f t="shared" si="31"/>
        <v>0</v>
      </c>
      <c r="AA130" s="35">
        <f t="shared" si="31"/>
        <v>0</v>
      </c>
      <c r="AB130" s="35">
        <f t="shared" si="31"/>
        <v>0</v>
      </c>
      <c r="AC130" s="35">
        <f t="shared" si="31"/>
        <v>0</v>
      </c>
      <c r="AD130" s="35">
        <f t="shared" si="31"/>
        <v>0</v>
      </c>
      <c r="AE130" s="35">
        <f t="shared" si="31"/>
        <v>0</v>
      </c>
      <c r="AF130" s="35">
        <f t="shared" si="31"/>
        <v>0</v>
      </c>
      <c r="AG130" s="35">
        <f t="shared" si="31"/>
        <v>0</v>
      </c>
      <c r="AH130" s="35">
        <f t="shared" si="31"/>
        <v>0</v>
      </c>
      <c r="AI130" s="35">
        <f t="shared" si="31"/>
        <v>0</v>
      </c>
      <c r="AJ130" s="35">
        <f t="shared" si="31"/>
        <v>0</v>
      </c>
    </row>
    <row r="131" spans="7:38" ht="15" hidden="1" customHeight="1" x14ac:dyDescent="0.2">
      <c r="G131" s="17"/>
      <c r="H131" s="17"/>
      <c r="I131" s="13"/>
      <c r="J131" s="13"/>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row>
    <row r="132" spans="7:38" ht="15" hidden="1" customHeight="1" x14ac:dyDescent="0.2">
      <c r="G132" s="17" t="s">
        <v>14</v>
      </c>
      <c r="H132" s="17"/>
      <c r="I132" s="13"/>
      <c r="J132" s="13"/>
      <c r="K132" s="35">
        <f>SUM(K127:K130)</f>
        <v>0</v>
      </c>
      <c r="L132" s="35">
        <f t="shared" ref="L132:AH132" si="32">SUM(L127:L130)</f>
        <v>0</v>
      </c>
      <c r="M132" s="35">
        <f t="shared" si="32"/>
        <v>0</v>
      </c>
      <c r="N132" s="35">
        <f t="shared" si="32"/>
        <v>0</v>
      </c>
      <c r="O132" s="35">
        <f t="shared" si="32"/>
        <v>0</v>
      </c>
      <c r="P132" s="35">
        <f t="shared" si="32"/>
        <v>0</v>
      </c>
      <c r="Q132" s="35">
        <f t="shared" si="32"/>
        <v>0</v>
      </c>
      <c r="R132" s="35">
        <f t="shared" si="32"/>
        <v>0</v>
      </c>
      <c r="S132" s="35">
        <f t="shared" si="32"/>
        <v>0</v>
      </c>
      <c r="T132" s="35">
        <f t="shared" si="32"/>
        <v>0</v>
      </c>
      <c r="U132" s="35">
        <f t="shared" si="32"/>
        <v>0</v>
      </c>
      <c r="V132" s="35">
        <f t="shared" si="32"/>
        <v>0</v>
      </c>
      <c r="W132" s="35">
        <f t="shared" si="32"/>
        <v>0</v>
      </c>
      <c r="X132" s="35">
        <f t="shared" si="32"/>
        <v>0</v>
      </c>
      <c r="Y132" s="35">
        <f t="shared" si="32"/>
        <v>0</v>
      </c>
      <c r="Z132" s="35">
        <f t="shared" si="32"/>
        <v>0</v>
      </c>
      <c r="AA132" s="35">
        <f t="shared" si="32"/>
        <v>0</v>
      </c>
      <c r="AB132" s="35">
        <f t="shared" si="32"/>
        <v>0</v>
      </c>
      <c r="AC132" s="35">
        <f t="shared" si="32"/>
        <v>0</v>
      </c>
      <c r="AD132" s="35">
        <f t="shared" si="32"/>
        <v>0</v>
      </c>
      <c r="AE132" s="35">
        <f t="shared" si="32"/>
        <v>0</v>
      </c>
      <c r="AF132" s="35">
        <f t="shared" si="32"/>
        <v>0</v>
      </c>
      <c r="AG132" s="35">
        <f t="shared" si="32"/>
        <v>0</v>
      </c>
      <c r="AH132" s="35">
        <f t="shared" si="32"/>
        <v>0</v>
      </c>
      <c r="AI132" s="35">
        <f>SUM(AI127:AI130)</f>
        <v>0</v>
      </c>
      <c r="AJ132" s="35">
        <f>SUM(AJ127:AJ130)</f>
        <v>0</v>
      </c>
    </row>
    <row r="133" spans="7:38" ht="15" hidden="1" customHeight="1" x14ac:dyDescent="0.2">
      <c r="G133" s="17" t="s">
        <v>435</v>
      </c>
      <c r="H133" s="17"/>
      <c r="I133" s="13"/>
      <c r="J133" s="13"/>
      <c r="K133" s="35">
        <f>K132</f>
        <v>0</v>
      </c>
      <c r="L133" s="35">
        <f t="shared" ref="L133:AJ133" si="33">K133+L132</f>
        <v>0</v>
      </c>
      <c r="M133" s="35">
        <f t="shared" si="33"/>
        <v>0</v>
      </c>
      <c r="N133" s="35">
        <f t="shared" si="33"/>
        <v>0</v>
      </c>
      <c r="O133" s="35">
        <f t="shared" si="33"/>
        <v>0</v>
      </c>
      <c r="P133" s="35">
        <f t="shared" si="33"/>
        <v>0</v>
      </c>
      <c r="Q133" s="35">
        <f t="shared" si="33"/>
        <v>0</v>
      </c>
      <c r="R133" s="35">
        <f t="shared" si="33"/>
        <v>0</v>
      </c>
      <c r="S133" s="35">
        <f t="shared" si="33"/>
        <v>0</v>
      </c>
      <c r="T133" s="35">
        <f t="shared" si="33"/>
        <v>0</v>
      </c>
      <c r="U133" s="35">
        <f t="shared" si="33"/>
        <v>0</v>
      </c>
      <c r="V133" s="35">
        <f t="shared" si="33"/>
        <v>0</v>
      </c>
      <c r="W133" s="35">
        <f t="shared" si="33"/>
        <v>0</v>
      </c>
      <c r="X133" s="35">
        <f t="shared" si="33"/>
        <v>0</v>
      </c>
      <c r="Y133" s="35">
        <f t="shared" si="33"/>
        <v>0</v>
      </c>
      <c r="Z133" s="35">
        <f t="shared" si="33"/>
        <v>0</v>
      </c>
      <c r="AA133" s="35">
        <f t="shared" si="33"/>
        <v>0</v>
      </c>
      <c r="AB133" s="35">
        <f t="shared" si="33"/>
        <v>0</v>
      </c>
      <c r="AC133" s="35">
        <f t="shared" si="33"/>
        <v>0</v>
      </c>
      <c r="AD133" s="35">
        <f t="shared" si="33"/>
        <v>0</v>
      </c>
      <c r="AE133" s="35">
        <f t="shared" si="33"/>
        <v>0</v>
      </c>
      <c r="AF133" s="35">
        <f t="shared" si="33"/>
        <v>0</v>
      </c>
      <c r="AG133" s="35">
        <f t="shared" si="33"/>
        <v>0</v>
      </c>
      <c r="AH133" s="35">
        <f t="shared" si="33"/>
        <v>0</v>
      </c>
      <c r="AI133" s="35">
        <f t="shared" si="33"/>
        <v>0</v>
      </c>
      <c r="AJ133" s="35">
        <f t="shared" si="33"/>
        <v>0</v>
      </c>
    </row>
    <row r="134" spans="7:38" ht="15" hidden="1" customHeight="1" x14ac:dyDescent="0.2">
      <c r="G134" s="17"/>
      <c r="H134" s="17"/>
      <c r="I134" s="13"/>
      <c r="J134" s="13"/>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row>
    <row r="135" spans="7:38" ht="15" hidden="1" customHeight="1" x14ac:dyDescent="0.2">
      <c r="G135" s="17" t="s">
        <v>17</v>
      </c>
      <c r="H135" s="17"/>
      <c r="I135" s="13"/>
      <c r="J135" s="13"/>
      <c r="K135" s="35">
        <f>K132/(((Data!$P$186/100)+1)^K$70)</f>
        <v>0</v>
      </c>
      <c r="L135" s="35">
        <f>L132/(((Data!$P$186/100)+1)^L$70)</f>
        <v>0</v>
      </c>
      <c r="M135" s="35">
        <f>M132/(((Data!$P$186/100)+1)^M$70)</f>
        <v>0</v>
      </c>
      <c r="N135" s="35">
        <f>N132/(((Data!$P$186/100)+1)^N$70)</f>
        <v>0</v>
      </c>
      <c r="O135" s="35">
        <f>O132/(((Data!$P$186/100)+1)^O$70)</f>
        <v>0</v>
      </c>
      <c r="P135" s="35">
        <f>P132/(((Data!$P$186/100)+1)^P$70)</f>
        <v>0</v>
      </c>
      <c r="Q135" s="35">
        <f>Q132/(((Data!$P$186/100)+1)^Q$70)</f>
        <v>0</v>
      </c>
      <c r="R135" s="35">
        <f>R132/(((Data!$P$186/100)+1)^R$70)</f>
        <v>0</v>
      </c>
      <c r="S135" s="35">
        <f>S132/(((Data!$P$186/100)+1)^S$70)</f>
        <v>0</v>
      </c>
      <c r="T135" s="35">
        <f>T132/(((Data!$P$186/100)+1)^T$70)</f>
        <v>0</v>
      </c>
      <c r="U135" s="35">
        <f>U132/(((Data!$P$186/100)+1)^U$70)</f>
        <v>0</v>
      </c>
      <c r="V135" s="35">
        <f>V132/(((Data!$P$186/100)+1)^V$70)</f>
        <v>0</v>
      </c>
      <c r="W135" s="35">
        <f>W132/(((Data!$P$186/100)+1)^W$70)</f>
        <v>0</v>
      </c>
      <c r="X135" s="35">
        <f>X132/(((Data!$P$186/100)+1)^X$70)</f>
        <v>0</v>
      </c>
      <c r="Y135" s="35">
        <f>Y132/(((Data!$P$186/100)+1)^Y$70)</f>
        <v>0</v>
      </c>
      <c r="Z135" s="35">
        <f>Z132/(((Data!$P$186/100)+1)^Z$70)</f>
        <v>0</v>
      </c>
      <c r="AA135" s="35">
        <f>AA132/(((Data!$P$186/100)+1)^AA$70)</f>
        <v>0</v>
      </c>
      <c r="AB135" s="35">
        <f>AB132/(((Data!$P$186/100)+1)^AB$70)</f>
        <v>0</v>
      </c>
      <c r="AC135" s="35">
        <f>AC132/(((Data!$P$186/100)+1)^AC$70)</f>
        <v>0</v>
      </c>
      <c r="AD135" s="35">
        <f>AD132/(((Data!$P$186/100)+1)^AD$70)</f>
        <v>0</v>
      </c>
      <c r="AE135" s="35">
        <f>AE132/(((Data!$P$186/100)+1)^AE$70)</f>
        <v>0</v>
      </c>
      <c r="AF135" s="35">
        <f>AF132/(((Data!$P$186/100)+1)^AF$70)</f>
        <v>0</v>
      </c>
      <c r="AG135" s="35">
        <f>AG132/(((Data!$P$186/100)+1)^AG$70)</f>
        <v>0</v>
      </c>
      <c r="AH135" s="35">
        <f>AH132/(((Data!$P$186/100)+1)^AH$70)</f>
        <v>0</v>
      </c>
      <c r="AI135" s="35">
        <f>AI132/(((Data!$P$186/100)+1)^AI$70)</f>
        <v>0</v>
      </c>
      <c r="AJ135" s="35">
        <f>AJ132/(((Data!$P$186/100)+1)^AJ$70)</f>
        <v>0</v>
      </c>
    </row>
    <row r="136" spans="7:38" ht="15" hidden="1" customHeight="1" x14ac:dyDescent="0.2">
      <c r="G136" s="15" t="s">
        <v>184</v>
      </c>
      <c r="H136" s="15"/>
      <c r="I136" s="13"/>
      <c r="J136" s="13"/>
      <c r="K136" s="36">
        <f>K135</f>
        <v>0</v>
      </c>
      <c r="L136" s="36">
        <f t="shared" ref="L136:AI136" si="34">K136+L135</f>
        <v>0</v>
      </c>
      <c r="M136" s="36">
        <f t="shared" si="34"/>
        <v>0</v>
      </c>
      <c r="N136" s="36">
        <f t="shared" si="34"/>
        <v>0</v>
      </c>
      <c r="O136" s="36">
        <f t="shared" si="34"/>
        <v>0</v>
      </c>
      <c r="P136" s="36">
        <f t="shared" si="34"/>
        <v>0</v>
      </c>
      <c r="Q136" s="36">
        <f t="shared" si="34"/>
        <v>0</v>
      </c>
      <c r="R136" s="36">
        <f t="shared" si="34"/>
        <v>0</v>
      </c>
      <c r="S136" s="36">
        <f t="shared" si="34"/>
        <v>0</v>
      </c>
      <c r="T136" s="36">
        <f t="shared" si="34"/>
        <v>0</v>
      </c>
      <c r="U136" s="36">
        <f t="shared" si="34"/>
        <v>0</v>
      </c>
      <c r="V136" s="36">
        <f t="shared" si="34"/>
        <v>0</v>
      </c>
      <c r="W136" s="36">
        <f t="shared" si="34"/>
        <v>0</v>
      </c>
      <c r="X136" s="36">
        <f t="shared" si="34"/>
        <v>0</v>
      </c>
      <c r="Y136" s="36">
        <f t="shared" si="34"/>
        <v>0</v>
      </c>
      <c r="Z136" s="36">
        <f t="shared" si="34"/>
        <v>0</v>
      </c>
      <c r="AA136" s="36">
        <f t="shared" si="34"/>
        <v>0</v>
      </c>
      <c r="AB136" s="36">
        <f t="shared" si="34"/>
        <v>0</v>
      </c>
      <c r="AC136" s="36">
        <f t="shared" si="34"/>
        <v>0</v>
      </c>
      <c r="AD136" s="36">
        <f t="shared" si="34"/>
        <v>0</v>
      </c>
      <c r="AE136" s="36">
        <f t="shared" si="34"/>
        <v>0</v>
      </c>
      <c r="AF136" s="36">
        <f t="shared" si="34"/>
        <v>0</v>
      </c>
      <c r="AG136" s="36">
        <f t="shared" si="34"/>
        <v>0</v>
      </c>
      <c r="AH136" s="36">
        <f t="shared" si="34"/>
        <v>0</v>
      </c>
      <c r="AI136" s="36">
        <f t="shared" si="34"/>
        <v>0</v>
      </c>
      <c r="AJ136" s="36">
        <f>AI136+AJ135</f>
        <v>0</v>
      </c>
    </row>
    <row r="137" spans="7:38" ht="15" hidden="1" customHeight="1" x14ac:dyDescent="0.2">
      <c r="L137" s="8"/>
      <c r="R137" s="8"/>
      <c r="S137" s="8"/>
      <c r="T137" s="9"/>
      <c r="Z137" s="8"/>
    </row>
    <row r="138" spans="7:38" ht="15" hidden="1" customHeight="1" x14ac:dyDescent="0.2">
      <c r="G138" s="906" t="s">
        <v>530</v>
      </c>
      <c r="H138" s="839"/>
      <c r="I138" s="839"/>
      <c r="J138" s="839"/>
      <c r="K138" s="917"/>
      <c r="L138" s="917"/>
      <c r="M138" s="917"/>
      <c r="N138" s="917"/>
      <c r="O138" s="917"/>
      <c r="P138" s="917"/>
      <c r="Q138" s="917"/>
      <c r="R138" s="917"/>
      <c r="S138" s="917"/>
      <c r="T138" s="917"/>
      <c r="U138" s="917"/>
      <c r="V138" s="917"/>
      <c r="W138" s="917"/>
      <c r="X138" s="917"/>
      <c r="Y138" s="917"/>
      <c r="Z138" s="917"/>
      <c r="AA138" s="917"/>
      <c r="AB138" s="917"/>
      <c r="AC138" s="917"/>
      <c r="AD138" s="917"/>
      <c r="AE138" s="917"/>
      <c r="AF138" s="917"/>
      <c r="AG138" s="917"/>
      <c r="AH138" s="917"/>
      <c r="AI138" s="917"/>
      <c r="AJ138" s="917"/>
    </row>
    <row r="139" spans="7:38" ht="15" hidden="1" customHeight="1" x14ac:dyDescent="0.2">
      <c r="G139" s="839"/>
      <c r="H139" s="839"/>
      <c r="I139" s="839"/>
      <c r="J139" s="839"/>
      <c r="K139" s="917"/>
      <c r="L139" s="917"/>
      <c r="M139" s="917"/>
      <c r="N139" s="917"/>
      <c r="O139" s="917"/>
      <c r="P139" s="917"/>
      <c r="Q139" s="917"/>
      <c r="R139" s="917"/>
      <c r="S139" s="917"/>
      <c r="T139" s="917"/>
      <c r="U139" s="917"/>
      <c r="V139" s="917"/>
      <c r="W139" s="917"/>
      <c r="X139" s="917"/>
      <c r="Y139" s="917"/>
      <c r="Z139" s="917"/>
      <c r="AA139" s="917"/>
      <c r="AB139" s="917"/>
      <c r="AC139" s="917"/>
      <c r="AD139" s="917"/>
      <c r="AE139" s="917"/>
      <c r="AF139" s="917"/>
      <c r="AG139" s="917"/>
      <c r="AH139" s="917"/>
      <c r="AI139" s="917"/>
      <c r="AJ139" s="917"/>
    </row>
    <row r="140" spans="7:38" ht="15" hidden="1" customHeight="1" x14ac:dyDescent="0.2">
      <c r="G140" s="839" t="s">
        <v>2</v>
      </c>
      <c r="H140" s="839"/>
      <c r="I140" s="839"/>
      <c r="J140" s="839"/>
      <c r="K140" s="925">
        <f>K$79</f>
        <v>0.19338</v>
      </c>
      <c r="L140" s="925">
        <f t="shared" ref="L140:AJ140" si="35">L$79</f>
        <v>0.18757859999999998</v>
      </c>
      <c r="M140" s="925">
        <f t="shared" si="35"/>
        <v>0.18195124199999999</v>
      </c>
      <c r="N140" s="925">
        <f t="shared" si="35"/>
        <v>0.17649270473999998</v>
      </c>
      <c r="O140" s="925">
        <f t="shared" si="35"/>
        <v>0.17119792359779998</v>
      </c>
      <c r="P140" s="925">
        <f t="shared" si="35"/>
        <v>0.16606198588986598</v>
      </c>
      <c r="Q140" s="925">
        <f t="shared" si="35"/>
        <v>0.16108012631317001</v>
      </c>
      <c r="R140" s="925">
        <f t="shared" si="35"/>
        <v>0.15624772252377489</v>
      </c>
      <c r="S140" s="925">
        <f t="shared" si="35"/>
        <v>0.15156029084806164</v>
      </c>
      <c r="T140" s="925">
        <f t="shared" si="35"/>
        <v>0.14701348212261978</v>
      </c>
      <c r="U140" s="925">
        <f t="shared" si="35"/>
        <v>0.14260307765894117</v>
      </c>
      <c r="V140" s="925">
        <f t="shared" si="35"/>
        <v>0.13832498532917292</v>
      </c>
      <c r="W140" s="925">
        <f t="shared" si="35"/>
        <v>0.13417523576929774</v>
      </c>
      <c r="X140" s="925">
        <f t="shared" si="35"/>
        <v>0.1301499786962188</v>
      </c>
      <c r="Y140" s="925">
        <f t="shared" si="35"/>
        <v>0.12624547933533223</v>
      </c>
      <c r="Z140" s="925">
        <f t="shared" si="35"/>
        <v>0.12245811495527226</v>
      </c>
      <c r="AA140" s="925">
        <f t="shared" si="35"/>
        <v>0.11878437150661408</v>
      </c>
      <c r="AB140" s="925">
        <f t="shared" si="35"/>
        <v>0.11522084036141565</v>
      </c>
      <c r="AC140" s="925">
        <f t="shared" si="35"/>
        <v>0.11176421515057318</v>
      </c>
      <c r="AD140" s="925">
        <f t="shared" si="35"/>
        <v>0.10841128869605599</v>
      </c>
      <c r="AE140" s="925">
        <f t="shared" si="35"/>
        <v>0.10515895003517431</v>
      </c>
      <c r="AF140" s="925">
        <f t="shared" si="35"/>
        <v>0.10200418153411908</v>
      </c>
      <c r="AG140" s="925">
        <f t="shared" si="35"/>
        <v>9.8944056088095506E-2</v>
      </c>
      <c r="AH140" s="925">
        <f t="shared" si="35"/>
        <v>9.5975734405452637E-2</v>
      </c>
      <c r="AI140" s="925">
        <f t="shared" si="35"/>
        <v>9.3096462373289057E-2</v>
      </c>
      <c r="AJ140" s="925">
        <f t="shared" si="35"/>
        <v>9.0303568502090384E-2</v>
      </c>
      <c r="AL140" s="986"/>
    </row>
    <row r="141" spans="7:38" ht="15" hidden="1" customHeight="1" x14ac:dyDescent="0.2">
      <c r="G141" s="839" t="s">
        <v>1</v>
      </c>
      <c r="H141" s="839"/>
      <c r="I141" s="839"/>
      <c r="J141" s="839"/>
      <c r="K141" s="925">
        <f>K$85</f>
        <v>0.31</v>
      </c>
      <c r="L141" s="925">
        <f t="shared" ref="L141:AJ141" si="36">L$85</f>
        <v>0.34100000000000003</v>
      </c>
      <c r="M141" s="925">
        <f t="shared" si="36"/>
        <v>0.37510000000000004</v>
      </c>
      <c r="N141" s="925">
        <f t="shared" si="36"/>
        <v>0.41261000000000009</v>
      </c>
      <c r="O141" s="925">
        <f t="shared" si="36"/>
        <v>0.45387100000000014</v>
      </c>
      <c r="P141" s="925">
        <f t="shared" si="36"/>
        <v>0.4992581000000002</v>
      </c>
      <c r="Q141" s="925">
        <f t="shared" si="36"/>
        <v>0.54918391000000022</v>
      </c>
      <c r="R141" s="925">
        <f t="shared" si="36"/>
        <v>0.60410230100000029</v>
      </c>
      <c r="S141" s="925">
        <f t="shared" si="36"/>
        <v>0.66451253110000041</v>
      </c>
      <c r="T141" s="925">
        <f t="shared" si="36"/>
        <v>0.73096378421000052</v>
      </c>
      <c r="U141" s="925">
        <f t="shared" si="36"/>
        <v>0.80406016263100066</v>
      </c>
      <c r="V141" s="925">
        <f t="shared" si="36"/>
        <v>0.88446617889410084</v>
      </c>
      <c r="W141" s="925">
        <f t="shared" si="36"/>
        <v>0.97291279678351106</v>
      </c>
      <c r="X141" s="925">
        <f t="shared" si="36"/>
        <v>1.0702040764618623</v>
      </c>
      <c r="Y141" s="925">
        <f t="shared" si="36"/>
        <v>1.1772244841080486</v>
      </c>
      <c r="Z141" s="925">
        <f t="shared" si="36"/>
        <v>1.2949469325188536</v>
      </c>
      <c r="AA141" s="925">
        <f t="shared" si="36"/>
        <v>1.4244416257707391</v>
      </c>
      <c r="AB141" s="925">
        <f t="shared" si="36"/>
        <v>1.5668857883478131</v>
      </c>
      <c r="AC141" s="925">
        <f t="shared" si="36"/>
        <v>1.7235743671825945</v>
      </c>
      <c r="AD141" s="925">
        <f t="shared" si="36"/>
        <v>1.8959318039008541</v>
      </c>
      <c r="AE141" s="925">
        <f t="shared" si="36"/>
        <v>2.0855249842909398</v>
      </c>
      <c r="AF141" s="925">
        <f t="shared" si="36"/>
        <v>2.2940774827200339</v>
      </c>
      <c r="AG141" s="925">
        <f t="shared" si="36"/>
        <v>2.5234852309920375</v>
      </c>
      <c r="AH141" s="925">
        <f t="shared" si="36"/>
        <v>2.7758337540912414</v>
      </c>
      <c r="AI141" s="925">
        <f t="shared" si="36"/>
        <v>3.053417129500366</v>
      </c>
      <c r="AJ141" s="925">
        <f t="shared" si="36"/>
        <v>3.3587588424504031</v>
      </c>
      <c r="AL141" s="986"/>
    </row>
    <row r="142" spans="7:38" ht="15" hidden="1" customHeight="1" x14ac:dyDescent="0.2">
      <c r="G142" s="839"/>
      <c r="H142" s="839"/>
      <c r="I142" s="839"/>
      <c r="J142" s="839"/>
      <c r="K142" s="839"/>
      <c r="L142" s="839"/>
      <c r="M142" s="839"/>
      <c r="N142" s="839"/>
      <c r="O142" s="839"/>
      <c r="P142" s="839"/>
      <c r="Q142" s="839"/>
      <c r="R142" s="839"/>
      <c r="S142" s="839"/>
      <c r="T142" s="839"/>
      <c r="U142" s="839"/>
      <c r="V142" s="839"/>
      <c r="W142" s="839"/>
      <c r="X142" s="839"/>
      <c r="Y142" s="839"/>
      <c r="Z142" s="839"/>
      <c r="AA142" s="839"/>
      <c r="AB142" s="839"/>
      <c r="AC142" s="839"/>
      <c r="AD142" s="839"/>
      <c r="AE142" s="839"/>
      <c r="AF142" s="839"/>
      <c r="AG142" s="839"/>
      <c r="AH142" s="839"/>
      <c r="AI142" s="839"/>
      <c r="AJ142" s="839"/>
    </row>
    <row r="143" spans="7:38" ht="15" hidden="1" customHeight="1" x14ac:dyDescent="0.2">
      <c r="G143" s="839" t="s">
        <v>4</v>
      </c>
      <c r="H143" s="839"/>
      <c r="I143" s="839"/>
      <c r="J143" s="839"/>
      <c r="K143" s="920"/>
      <c r="L143" s="920"/>
      <c r="M143" s="920"/>
      <c r="N143" s="920"/>
      <c r="O143" s="920"/>
      <c r="P143" s="920"/>
      <c r="Q143" s="920"/>
      <c r="R143" s="920"/>
      <c r="S143" s="920"/>
      <c r="T143" s="920"/>
      <c r="U143" s="920"/>
      <c r="V143" s="920"/>
      <c r="W143" s="920"/>
      <c r="X143" s="920"/>
      <c r="Y143" s="920"/>
      <c r="Z143" s="920"/>
      <c r="AA143" s="920"/>
      <c r="AB143" s="920"/>
      <c r="AC143" s="920"/>
      <c r="AD143" s="920"/>
      <c r="AE143" s="920"/>
      <c r="AF143" s="920"/>
      <c r="AG143" s="920"/>
      <c r="AH143" s="920"/>
      <c r="AI143" s="920"/>
      <c r="AJ143" s="920"/>
    </row>
    <row r="144" spans="7:38" ht="15" hidden="1" customHeight="1" x14ac:dyDescent="0.2">
      <c r="G144" s="839" t="s">
        <v>5</v>
      </c>
      <c r="H144" s="839"/>
      <c r="I144" s="839"/>
      <c r="J144" s="839"/>
      <c r="K144" s="920"/>
      <c r="L144" s="920"/>
      <c r="M144" s="920"/>
      <c r="N144" s="920"/>
      <c r="O144" s="920"/>
      <c r="P144" s="920"/>
      <c r="Q144" s="920"/>
      <c r="R144" s="920"/>
      <c r="S144" s="920"/>
      <c r="T144" s="920"/>
      <c r="U144" s="920"/>
      <c r="V144" s="920"/>
      <c r="W144" s="920"/>
      <c r="X144" s="920"/>
      <c r="Y144" s="920"/>
      <c r="Z144" s="920"/>
      <c r="AA144" s="920"/>
      <c r="AB144" s="920"/>
      <c r="AC144" s="920"/>
      <c r="AD144" s="920"/>
      <c r="AE144" s="920"/>
      <c r="AF144" s="920"/>
      <c r="AG144" s="920"/>
      <c r="AH144" s="920"/>
      <c r="AI144" s="920"/>
      <c r="AJ144" s="920"/>
    </row>
    <row r="145" spans="7:36" ht="15" hidden="1" customHeight="1" x14ac:dyDescent="0.2">
      <c r="G145" s="839" t="s">
        <v>6</v>
      </c>
      <c r="H145" s="839"/>
      <c r="I145" s="839"/>
      <c r="J145" s="839"/>
      <c r="K145" s="917">
        <f t="shared" ref="K145:AJ145" si="37">IF(K$70&lt;$AC$43,$J$11,$AB$11)</f>
        <v>0</v>
      </c>
      <c r="L145" s="917">
        <f t="shared" si="37"/>
        <v>0</v>
      </c>
      <c r="M145" s="917">
        <f t="shared" si="37"/>
        <v>0</v>
      </c>
      <c r="N145" s="917">
        <f t="shared" si="37"/>
        <v>0</v>
      </c>
      <c r="O145" s="917">
        <f t="shared" si="37"/>
        <v>0</v>
      </c>
      <c r="P145" s="917">
        <f t="shared" si="37"/>
        <v>0</v>
      </c>
      <c r="Q145" s="917">
        <f t="shared" si="37"/>
        <v>0</v>
      </c>
      <c r="R145" s="917">
        <f t="shared" si="37"/>
        <v>0</v>
      </c>
      <c r="S145" s="917">
        <f t="shared" si="37"/>
        <v>0</v>
      </c>
      <c r="T145" s="917">
        <f t="shared" si="37"/>
        <v>0</v>
      </c>
      <c r="U145" s="917">
        <f t="shared" si="37"/>
        <v>0</v>
      </c>
      <c r="V145" s="917">
        <f t="shared" si="37"/>
        <v>0</v>
      </c>
      <c r="W145" s="917">
        <f t="shared" si="37"/>
        <v>0</v>
      </c>
      <c r="X145" s="917">
        <f t="shared" si="37"/>
        <v>0</v>
      </c>
      <c r="Y145" s="917">
        <f t="shared" si="37"/>
        <v>0</v>
      </c>
      <c r="Z145" s="917">
        <f t="shared" si="37"/>
        <v>0</v>
      </c>
      <c r="AA145" s="917">
        <f t="shared" si="37"/>
        <v>0</v>
      </c>
      <c r="AB145" s="917">
        <f t="shared" si="37"/>
        <v>0</v>
      </c>
      <c r="AC145" s="917">
        <f t="shared" si="37"/>
        <v>0</v>
      </c>
      <c r="AD145" s="917">
        <f t="shared" si="37"/>
        <v>0</v>
      </c>
      <c r="AE145" s="917">
        <f t="shared" si="37"/>
        <v>0</v>
      </c>
      <c r="AF145" s="917">
        <f t="shared" si="37"/>
        <v>0</v>
      </c>
      <c r="AG145" s="917">
        <f t="shared" si="37"/>
        <v>0</v>
      </c>
      <c r="AH145" s="917">
        <f t="shared" si="37"/>
        <v>0</v>
      </c>
      <c r="AI145" s="917">
        <f t="shared" si="37"/>
        <v>0</v>
      </c>
      <c r="AJ145" s="917">
        <f t="shared" si="37"/>
        <v>0</v>
      </c>
    </row>
    <row r="146" spans="7:36" ht="15" hidden="1" customHeight="1" x14ac:dyDescent="0.2">
      <c r="G146" s="839"/>
      <c r="H146" s="839"/>
      <c r="I146" s="839"/>
      <c r="J146" s="839"/>
      <c r="K146" s="917"/>
      <c r="L146" s="917"/>
      <c r="M146" s="917"/>
      <c r="N146" s="917"/>
      <c r="O146" s="917"/>
      <c r="P146" s="917"/>
      <c r="Q146" s="917"/>
      <c r="R146" s="917"/>
      <c r="S146" s="917"/>
      <c r="T146" s="917"/>
      <c r="U146" s="917"/>
      <c r="V146" s="917"/>
      <c r="W146" s="917"/>
      <c r="X146" s="917"/>
      <c r="Y146" s="917"/>
      <c r="Z146" s="917"/>
      <c r="AA146" s="917"/>
      <c r="AB146" s="917"/>
      <c r="AC146" s="917"/>
      <c r="AD146" s="917"/>
      <c r="AE146" s="917"/>
      <c r="AF146" s="917"/>
      <c r="AG146" s="917"/>
      <c r="AH146" s="917"/>
      <c r="AI146" s="917"/>
      <c r="AJ146" s="917"/>
    </row>
    <row r="147" spans="7:36" ht="15" hidden="1" customHeight="1" x14ac:dyDescent="0.2">
      <c r="G147" s="839" t="s">
        <v>7</v>
      </c>
      <c r="H147" s="839"/>
      <c r="I147" s="839"/>
      <c r="J147" s="839"/>
      <c r="K147" s="920"/>
      <c r="L147" s="920"/>
      <c r="M147" s="920"/>
      <c r="N147" s="920"/>
      <c r="O147" s="920"/>
      <c r="P147" s="920"/>
      <c r="Q147" s="920"/>
      <c r="R147" s="920"/>
      <c r="S147" s="920"/>
      <c r="T147" s="920"/>
      <c r="U147" s="920"/>
      <c r="V147" s="920"/>
      <c r="W147" s="920"/>
      <c r="X147" s="920"/>
      <c r="Y147" s="920"/>
      <c r="Z147" s="920"/>
      <c r="AA147" s="920"/>
      <c r="AB147" s="920"/>
      <c r="AC147" s="920"/>
      <c r="AD147" s="920"/>
      <c r="AE147" s="920"/>
      <c r="AF147" s="920"/>
      <c r="AG147" s="920"/>
      <c r="AH147" s="920"/>
      <c r="AI147" s="920"/>
      <c r="AJ147" s="920"/>
    </row>
    <row r="148" spans="7:36" ht="15" hidden="1" customHeight="1" x14ac:dyDescent="0.2">
      <c r="G148" s="839" t="s">
        <v>8</v>
      </c>
      <c r="H148" s="839"/>
      <c r="I148" s="839"/>
      <c r="J148" s="839"/>
      <c r="K148" s="920"/>
      <c r="L148" s="920"/>
      <c r="M148" s="920"/>
      <c r="N148" s="920"/>
      <c r="O148" s="920"/>
      <c r="P148" s="920"/>
      <c r="Q148" s="920"/>
      <c r="R148" s="920"/>
      <c r="S148" s="920"/>
      <c r="T148" s="920"/>
      <c r="U148" s="920"/>
      <c r="V148" s="920"/>
      <c r="W148" s="920"/>
      <c r="X148" s="920"/>
      <c r="Y148" s="920"/>
      <c r="Z148" s="920"/>
      <c r="AA148" s="920"/>
      <c r="AB148" s="920"/>
      <c r="AC148" s="920"/>
      <c r="AD148" s="920"/>
      <c r="AE148" s="920"/>
      <c r="AF148" s="920"/>
      <c r="AG148" s="920"/>
      <c r="AH148" s="920"/>
      <c r="AI148" s="920"/>
      <c r="AJ148" s="920"/>
    </row>
    <row r="149" spans="7:36" ht="15" hidden="1" customHeight="1" x14ac:dyDescent="0.2">
      <c r="G149" s="839" t="s">
        <v>9</v>
      </c>
      <c r="H149" s="839"/>
      <c r="I149" s="839"/>
      <c r="J149" s="839"/>
      <c r="K149" s="917">
        <f t="shared" ref="K149:AJ149" si="38">K$140*K145</f>
        <v>0</v>
      </c>
      <c r="L149" s="917">
        <f t="shared" si="38"/>
        <v>0</v>
      </c>
      <c r="M149" s="917">
        <f t="shared" si="38"/>
        <v>0</v>
      </c>
      <c r="N149" s="917">
        <f t="shared" si="38"/>
        <v>0</v>
      </c>
      <c r="O149" s="917">
        <f t="shared" si="38"/>
        <v>0</v>
      </c>
      <c r="P149" s="917">
        <f t="shared" si="38"/>
        <v>0</v>
      </c>
      <c r="Q149" s="917">
        <f t="shared" si="38"/>
        <v>0</v>
      </c>
      <c r="R149" s="917">
        <f t="shared" si="38"/>
        <v>0</v>
      </c>
      <c r="S149" s="917">
        <f t="shared" si="38"/>
        <v>0</v>
      </c>
      <c r="T149" s="917">
        <f t="shared" si="38"/>
        <v>0</v>
      </c>
      <c r="U149" s="917">
        <f t="shared" si="38"/>
        <v>0</v>
      </c>
      <c r="V149" s="917">
        <f t="shared" si="38"/>
        <v>0</v>
      </c>
      <c r="W149" s="917">
        <f t="shared" si="38"/>
        <v>0</v>
      </c>
      <c r="X149" s="917">
        <f t="shared" si="38"/>
        <v>0</v>
      </c>
      <c r="Y149" s="917">
        <f t="shared" si="38"/>
        <v>0</v>
      </c>
      <c r="Z149" s="917">
        <f t="shared" si="38"/>
        <v>0</v>
      </c>
      <c r="AA149" s="917">
        <f t="shared" si="38"/>
        <v>0</v>
      </c>
      <c r="AB149" s="917">
        <f t="shared" si="38"/>
        <v>0</v>
      </c>
      <c r="AC149" s="917">
        <f t="shared" si="38"/>
        <v>0</v>
      </c>
      <c r="AD149" s="917">
        <f t="shared" si="38"/>
        <v>0</v>
      </c>
      <c r="AE149" s="917">
        <f t="shared" si="38"/>
        <v>0</v>
      </c>
      <c r="AF149" s="917">
        <f t="shared" si="38"/>
        <v>0</v>
      </c>
      <c r="AG149" s="917">
        <f t="shared" si="38"/>
        <v>0</v>
      </c>
      <c r="AH149" s="917">
        <f t="shared" si="38"/>
        <v>0</v>
      </c>
      <c r="AI149" s="917">
        <f t="shared" si="38"/>
        <v>0</v>
      </c>
      <c r="AJ149" s="917">
        <f t="shared" si="38"/>
        <v>0</v>
      </c>
    </row>
    <row r="150" spans="7:36" ht="15" hidden="1" customHeight="1" x14ac:dyDescent="0.2">
      <c r="G150" s="839"/>
      <c r="H150" s="839"/>
      <c r="I150" s="839"/>
      <c r="J150" s="839"/>
      <c r="K150" s="917"/>
      <c r="L150" s="917"/>
      <c r="M150" s="917"/>
      <c r="N150" s="917"/>
      <c r="O150" s="917"/>
      <c r="P150" s="917"/>
      <c r="Q150" s="917"/>
      <c r="R150" s="917"/>
      <c r="S150" s="917"/>
      <c r="T150" s="917"/>
      <c r="U150" s="917"/>
      <c r="V150" s="917"/>
      <c r="W150" s="917"/>
      <c r="X150" s="917"/>
      <c r="Y150" s="917"/>
      <c r="Z150" s="917"/>
      <c r="AA150" s="917"/>
      <c r="AB150" s="917"/>
      <c r="AC150" s="917"/>
      <c r="AD150" s="917"/>
      <c r="AE150" s="917"/>
      <c r="AF150" s="917"/>
      <c r="AG150" s="917"/>
      <c r="AH150" s="917"/>
      <c r="AI150" s="917"/>
      <c r="AJ150" s="917"/>
    </row>
    <row r="151" spans="7:36" ht="15" hidden="1" customHeight="1" x14ac:dyDescent="0.2">
      <c r="G151" s="839" t="s">
        <v>10</v>
      </c>
      <c r="H151" s="839"/>
      <c r="I151" s="839"/>
      <c r="J151" s="839"/>
      <c r="K151" s="918">
        <f>IF($AC$48=0,IF(K70=$AC$43,$AC$42,0),IF(K$70=$AC$43,$AC$42*K$87,IF(OR(AND($AC$43=0,K$70=$AC$43),AND(K$70&gt;=$AC$43+$AC$48,INT((K$70-$AC$43)/($AC$48))=(K$70-$AC$43)/($AC$48))),$AC$47*K$87,0)))</f>
        <v>0</v>
      </c>
      <c r="L151" s="918">
        <f t="shared" ref="L151:AJ151" si="39">IF($AC$48=0,IF(L70=$AC$43,$AC$42,0),IF(L$70=$AC$43,$AC$42*L$87,IF(OR(AND($AC$43=0,L$70=$AC$43),AND(L$70&gt;=$AC$43+$AC$48,INT((L$70-$AC$43)/($AC$48))=(L$70-$AC$43)/($AC$48))),$AC$47*L$87,0)))</f>
        <v>0</v>
      </c>
      <c r="M151" s="918">
        <f t="shared" si="39"/>
        <v>0</v>
      </c>
      <c r="N151" s="918">
        <f t="shared" si="39"/>
        <v>0</v>
      </c>
      <c r="O151" s="918">
        <f t="shared" si="39"/>
        <v>0</v>
      </c>
      <c r="P151" s="918">
        <f t="shared" si="39"/>
        <v>0</v>
      </c>
      <c r="Q151" s="918">
        <f t="shared" si="39"/>
        <v>0</v>
      </c>
      <c r="R151" s="918">
        <f t="shared" si="39"/>
        <v>0</v>
      </c>
      <c r="S151" s="918">
        <f t="shared" si="39"/>
        <v>0</v>
      </c>
      <c r="T151" s="918">
        <f t="shared" si="39"/>
        <v>0</v>
      </c>
      <c r="U151" s="918">
        <f t="shared" si="39"/>
        <v>0</v>
      </c>
      <c r="V151" s="918">
        <f t="shared" si="39"/>
        <v>0</v>
      </c>
      <c r="W151" s="918">
        <f t="shared" si="39"/>
        <v>0</v>
      </c>
      <c r="X151" s="918">
        <f t="shared" si="39"/>
        <v>0</v>
      </c>
      <c r="Y151" s="918">
        <f t="shared" si="39"/>
        <v>0</v>
      </c>
      <c r="Z151" s="918">
        <f t="shared" si="39"/>
        <v>0</v>
      </c>
      <c r="AA151" s="918">
        <f t="shared" si="39"/>
        <v>0</v>
      </c>
      <c r="AB151" s="918">
        <f t="shared" si="39"/>
        <v>0</v>
      </c>
      <c r="AC151" s="918">
        <f t="shared" si="39"/>
        <v>0</v>
      </c>
      <c r="AD151" s="918">
        <f t="shared" si="39"/>
        <v>0</v>
      </c>
      <c r="AE151" s="918">
        <f t="shared" si="39"/>
        <v>0</v>
      </c>
      <c r="AF151" s="918">
        <f t="shared" si="39"/>
        <v>0</v>
      </c>
      <c r="AG151" s="918">
        <f t="shared" si="39"/>
        <v>0</v>
      </c>
      <c r="AH151" s="918">
        <f t="shared" si="39"/>
        <v>0</v>
      </c>
      <c r="AI151" s="918">
        <f t="shared" si="39"/>
        <v>0</v>
      </c>
      <c r="AJ151" s="918">
        <f t="shared" si="39"/>
        <v>0</v>
      </c>
    </row>
    <row r="152" spans="7:36" ht="15" hidden="1" customHeight="1" x14ac:dyDescent="0.2">
      <c r="G152" s="839" t="s">
        <v>11</v>
      </c>
      <c r="H152" s="839"/>
      <c r="I152" s="839"/>
      <c r="J152" s="839"/>
      <c r="K152" s="917">
        <f t="shared" ref="K152:AI152" si="40">IF(K$70&lt;$AC$43,($K$45*K$87)-($K$46*K$87),($AC$45*K$87)-($AC$46*K$87))</f>
        <v>0</v>
      </c>
      <c r="L152" s="917">
        <f t="shared" si="40"/>
        <v>0</v>
      </c>
      <c r="M152" s="917">
        <f t="shared" si="40"/>
        <v>0</v>
      </c>
      <c r="N152" s="917">
        <f t="shared" si="40"/>
        <v>0</v>
      </c>
      <c r="O152" s="917">
        <f t="shared" si="40"/>
        <v>0</v>
      </c>
      <c r="P152" s="917">
        <f t="shared" si="40"/>
        <v>0</v>
      </c>
      <c r="Q152" s="917">
        <f t="shared" si="40"/>
        <v>0</v>
      </c>
      <c r="R152" s="917">
        <f t="shared" si="40"/>
        <v>0</v>
      </c>
      <c r="S152" s="917">
        <f t="shared" si="40"/>
        <v>0</v>
      </c>
      <c r="T152" s="917">
        <f t="shared" si="40"/>
        <v>0</v>
      </c>
      <c r="U152" s="917">
        <f t="shared" si="40"/>
        <v>0</v>
      </c>
      <c r="V152" s="917">
        <f t="shared" si="40"/>
        <v>0</v>
      </c>
      <c r="W152" s="917">
        <f t="shared" si="40"/>
        <v>0</v>
      </c>
      <c r="X152" s="917">
        <f t="shared" si="40"/>
        <v>0</v>
      </c>
      <c r="Y152" s="917">
        <f t="shared" si="40"/>
        <v>0</v>
      </c>
      <c r="Z152" s="917">
        <f t="shared" si="40"/>
        <v>0</v>
      </c>
      <c r="AA152" s="917">
        <f t="shared" si="40"/>
        <v>0</v>
      </c>
      <c r="AB152" s="917">
        <f t="shared" si="40"/>
        <v>0</v>
      </c>
      <c r="AC152" s="917">
        <f t="shared" si="40"/>
        <v>0</v>
      </c>
      <c r="AD152" s="917">
        <f t="shared" si="40"/>
        <v>0</v>
      </c>
      <c r="AE152" s="917">
        <f t="shared" si="40"/>
        <v>0</v>
      </c>
      <c r="AF152" s="917">
        <f t="shared" si="40"/>
        <v>0</v>
      </c>
      <c r="AG152" s="917">
        <f t="shared" si="40"/>
        <v>0</v>
      </c>
      <c r="AH152" s="917">
        <f t="shared" si="40"/>
        <v>0</v>
      </c>
      <c r="AI152" s="917">
        <f t="shared" si="40"/>
        <v>0</v>
      </c>
      <c r="AJ152" s="917">
        <f>IF(AJ$70&lt;$AC$43,($K$45*AJ$87)-($K$46*AJ$87),($AC$45*AJ$87)-($AC$46*AJ$87))</f>
        <v>0</v>
      </c>
    </row>
    <row r="153" spans="7:36" ht="15" hidden="1" customHeight="1" x14ac:dyDescent="0.2">
      <c r="G153" s="839" t="s">
        <v>12</v>
      </c>
      <c r="H153" s="839"/>
      <c r="I153" s="839"/>
      <c r="J153" s="839"/>
      <c r="K153" s="917">
        <f t="shared" ref="K153:AJ153" si="41">K$141*K145</f>
        <v>0</v>
      </c>
      <c r="L153" s="917">
        <f t="shared" si="41"/>
        <v>0</v>
      </c>
      <c r="M153" s="917">
        <f t="shared" si="41"/>
        <v>0</v>
      </c>
      <c r="N153" s="917">
        <f t="shared" si="41"/>
        <v>0</v>
      </c>
      <c r="O153" s="917">
        <f t="shared" si="41"/>
        <v>0</v>
      </c>
      <c r="P153" s="917">
        <f t="shared" si="41"/>
        <v>0</v>
      </c>
      <c r="Q153" s="917">
        <f t="shared" si="41"/>
        <v>0</v>
      </c>
      <c r="R153" s="917">
        <f t="shared" si="41"/>
        <v>0</v>
      </c>
      <c r="S153" s="917">
        <f t="shared" si="41"/>
        <v>0</v>
      </c>
      <c r="T153" s="917">
        <f t="shared" si="41"/>
        <v>0</v>
      </c>
      <c r="U153" s="917">
        <f t="shared" si="41"/>
        <v>0</v>
      </c>
      <c r="V153" s="917">
        <f t="shared" si="41"/>
        <v>0</v>
      </c>
      <c r="W153" s="917">
        <f t="shared" si="41"/>
        <v>0</v>
      </c>
      <c r="X153" s="917">
        <f t="shared" si="41"/>
        <v>0</v>
      </c>
      <c r="Y153" s="917">
        <f t="shared" si="41"/>
        <v>0</v>
      </c>
      <c r="Z153" s="917">
        <f t="shared" si="41"/>
        <v>0</v>
      </c>
      <c r="AA153" s="917">
        <f t="shared" si="41"/>
        <v>0</v>
      </c>
      <c r="AB153" s="917">
        <f t="shared" si="41"/>
        <v>0</v>
      </c>
      <c r="AC153" s="917">
        <f t="shared" si="41"/>
        <v>0</v>
      </c>
      <c r="AD153" s="917">
        <f t="shared" si="41"/>
        <v>0</v>
      </c>
      <c r="AE153" s="917">
        <f t="shared" si="41"/>
        <v>0</v>
      </c>
      <c r="AF153" s="917">
        <f t="shared" si="41"/>
        <v>0</v>
      </c>
      <c r="AG153" s="917">
        <f t="shared" si="41"/>
        <v>0</v>
      </c>
      <c r="AH153" s="917">
        <f t="shared" si="41"/>
        <v>0</v>
      </c>
      <c r="AI153" s="917">
        <f t="shared" si="41"/>
        <v>0</v>
      </c>
      <c r="AJ153" s="917">
        <f t="shared" si="41"/>
        <v>0</v>
      </c>
    </row>
    <row r="154" spans="7:36" ht="15" hidden="1" customHeight="1" x14ac:dyDescent="0.2">
      <c r="G154" s="839" t="s">
        <v>13</v>
      </c>
      <c r="H154" s="839"/>
      <c r="I154" s="839"/>
      <c r="J154" s="839"/>
      <c r="K154" s="917">
        <f t="shared" ref="K154:AJ154" si="42">K$88*K149</f>
        <v>0</v>
      </c>
      <c r="L154" s="917">
        <f t="shared" si="42"/>
        <v>0</v>
      </c>
      <c r="M154" s="917">
        <f t="shared" si="42"/>
        <v>0</v>
      </c>
      <c r="N154" s="917">
        <f t="shared" si="42"/>
        <v>0</v>
      </c>
      <c r="O154" s="917">
        <f t="shared" si="42"/>
        <v>0</v>
      </c>
      <c r="P154" s="917">
        <f t="shared" si="42"/>
        <v>0</v>
      </c>
      <c r="Q154" s="917">
        <f t="shared" si="42"/>
        <v>0</v>
      </c>
      <c r="R154" s="917">
        <f t="shared" si="42"/>
        <v>0</v>
      </c>
      <c r="S154" s="917">
        <f t="shared" si="42"/>
        <v>0</v>
      </c>
      <c r="T154" s="917">
        <f t="shared" si="42"/>
        <v>0</v>
      </c>
      <c r="U154" s="917">
        <f t="shared" si="42"/>
        <v>0</v>
      </c>
      <c r="V154" s="917">
        <f t="shared" si="42"/>
        <v>0</v>
      </c>
      <c r="W154" s="917">
        <f t="shared" si="42"/>
        <v>0</v>
      </c>
      <c r="X154" s="917">
        <f t="shared" si="42"/>
        <v>0</v>
      </c>
      <c r="Y154" s="917">
        <f t="shared" si="42"/>
        <v>0</v>
      </c>
      <c r="Z154" s="917">
        <f t="shared" si="42"/>
        <v>0</v>
      </c>
      <c r="AA154" s="917">
        <f t="shared" si="42"/>
        <v>0</v>
      </c>
      <c r="AB154" s="917">
        <f t="shared" si="42"/>
        <v>0</v>
      </c>
      <c r="AC154" s="917">
        <f t="shared" si="42"/>
        <v>0</v>
      </c>
      <c r="AD154" s="917">
        <f t="shared" si="42"/>
        <v>0</v>
      </c>
      <c r="AE154" s="917">
        <f t="shared" si="42"/>
        <v>0</v>
      </c>
      <c r="AF154" s="917">
        <f t="shared" si="42"/>
        <v>0</v>
      </c>
      <c r="AG154" s="917">
        <f t="shared" si="42"/>
        <v>0</v>
      </c>
      <c r="AH154" s="917">
        <f t="shared" si="42"/>
        <v>0</v>
      </c>
      <c r="AI154" s="917">
        <f t="shared" si="42"/>
        <v>0</v>
      </c>
      <c r="AJ154" s="917">
        <f t="shared" si="42"/>
        <v>0</v>
      </c>
    </row>
    <row r="155" spans="7:36" ht="15" hidden="1" customHeight="1" x14ac:dyDescent="0.2">
      <c r="G155" s="839"/>
      <c r="H155" s="839"/>
      <c r="I155" s="839"/>
      <c r="J155" s="839"/>
      <c r="K155" s="917"/>
      <c r="L155" s="917"/>
      <c r="M155" s="917"/>
      <c r="N155" s="917"/>
      <c r="O155" s="917"/>
      <c r="P155" s="917"/>
      <c r="Q155" s="917"/>
      <c r="R155" s="917"/>
      <c r="S155" s="917"/>
      <c r="T155" s="917"/>
      <c r="U155" s="917"/>
      <c r="V155" s="917"/>
      <c r="W155" s="917"/>
      <c r="X155" s="917"/>
      <c r="Y155" s="917"/>
      <c r="Z155" s="917"/>
      <c r="AA155" s="917"/>
      <c r="AB155" s="917"/>
      <c r="AC155" s="917"/>
      <c r="AD155" s="917"/>
      <c r="AE155" s="917"/>
      <c r="AF155" s="917"/>
      <c r="AG155" s="917"/>
      <c r="AH155" s="917"/>
      <c r="AI155" s="917"/>
      <c r="AJ155" s="917"/>
    </row>
    <row r="156" spans="7:36" ht="15" hidden="1" customHeight="1" x14ac:dyDescent="0.2">
      <c r="G156" s="839" t="s">
        <v>14</v>
      </c>
      <c r="H156" s="839"/>
      <c r="I156" s="839"/>
      <c r="J156" s="839"/>
      <c r="K156" s="917">
        <f>SUM(K151:K154)</f>
        <v>0</v>
      </c>
      <c r="L156" s="917">
        <f t="shared" ref="L156:AH156" si="43">SUM(L151:L154)</f>
        <v>0</v>
      </c>
      <c r="M156" s="917">
        <f t="shared" si="43"/>
        <v>0</v>
      </c>
      <c r="N156" s="917">
        <f t="shared" si="43"/>
        <v>0</v>
      </c>
      <c r="O156" s="917">
        <f t="shared" si="43"/>
        <v>0</v>
      </c>
      <c r="P156" s="917">
        <f t="shared" si="43"/>
        <v>0</v>
      </c>
      <c r="Q156" s="917">
        <f t="shared" si="43"/>
        <v>0</v>
      </c>
      <c r="R156" s="917">
        <f t="shared" si="43"/>
        <v>0</v>
      </c>
      <c r="S156" s="917">
        <f t="shared" si="43"/>
        <v>0</v>
      </c>
      <c r="T156" s="917">
        <f t="shared" si="43"/>
        <v>0</v>
      </c>
      <c r="U156" s="917">
        <f t="shared" si="43"/>
        <v>0</v>
      </c>
      <c r="V156" s="917">
        <f t="shared" si="43"/>
        <v>0</v>
      </c>
      <c r="W156" s="917">
        <f t="shared" si="43"/>
        <v>0</v>
      </c>
      <c r="X156" s="917">
        <f t="shared" si="43"/>
        <v>0</v>
      </c>
      <c r="Y156" s="917">
        <f t="shared" si="43"/>
        <v>0</v>
      </c>
      <c r="Z156" s="917">
        <f t="shared" si="43"/>
        <v>0</v>
      </c>
      <c r="AA156" s="917">
        <f t="shared" si="43"/>
        <v>0</v>
      </c>
      <c r="AB156" s="917">
        <f t="shared" si="43"/>
        <v>0</v>
      </c>
      <c r="AC156" s="917">
        <f t="shared" si="43"/>
        <v>0</v>
      </c>
      <c r="AD156" s="917">
        <f t="shared" si="43"/>
        <v>0</v>
      </c>
      <c r="AE156" s="917">
        <f t="shared" si="43"/>
        <v>0</v>
      </c>
      <c r="AF156" s="917">
        <f t="shared" si="43"/>
        <v>0</v>
      </c>
      <c r="AG156" s="917">
        <f t="shared" si="43"/>
        <v>0</v>
      </c>
      <c r="AH156" s="917">
        <f t="shared" si="43"/>
        <v>0</v>
      </c>
      <c r="AI156" s="917">
        <f>SUM(AI151:AI154)</f>
        <v>0</v>
      </c>
      <c r="AJ156" s="917">
        <f>SUM(AJ151:AJ154)</f>
        <v>0</v>
      </c>
    </row>
    <row r="157" spans="7:36" ht="15" hidden="1" customHeight="1" x14ac:dyDescent="0.2">
      <c r="G157" s="839" t="s">
        <v>435</v>
      </c>
      <c r="H157" s="839"/>
      <c r="I157" s="839"/>
      <c r="J157" s="839"/>
      <c r="K157" s="917">
        <f>K156</f>
        <v>0</v>
      </c>
      <c r="L157" s="917">
        <f t="shared" ref="L157:AJ157" si="44">K157+L156</f>
        <v>0</v>
      </c>
      <c r="M157" s="917">
        <f t="shared" si="44"/>
        <v>0</v>
      </c>
      <c r="N157" s="917">
        <f t="shared" si="44"/>
        <v>0</v>
      </c>
      <c r="O157" s="917">
        <f t="shared" si="44"/>
        <v>0</v>
      </c>
      <c r="P157" s="917">
        <f t="shared" si="44"/>
        <v>0</v>
      </c>
      <c r="Q157" s="917">
        <f t="shared" si="44"/>
        <v>0</v>
      </c>
      <c r="R157" s="917">
        <f t="shared" si="44"/>
        <v>0</v>
      </c>
      <c r="S157" s="917">
        <f t="shared" si="44"/>
        <v>0</v>
      </c>
      <c r="T157" s="917">
        <f t="shared" si="44"/>
        <v>0</v>
      </c>
      <c r="U157" s="917">
        <f t="shared" si="44"/>
        <v>0</v>
      </c>
      <c r="V157" s="917">
        <f t="shared" si="44"/>
        <v>0</v>
      </c>
      <c r="W157" s="917">
        <f t="shared" si="44"/>
        <v>0</v>
      </c>
      <c r="X157" s="917">
        <f t="shared" si="44"/>
        <v>0</v>
      </c>
      <c r="Y157" s="917">
        <f t="shared" si="44"/>
        <v>0</v>
      </c>
      <c r="Z157" s="917">
        <f t="shared" si="44"/>
        <v>0</v>
      </c>
      <c r="AA157" s="917">
        <f t="shared" si="44"/>
        <v>0</v>
      </c>
      <c r="AB157" s="917">
        <f t="shared" si="44"/>
        <v>0</v>
      </c>
      <c r="AC157" s="917">
        <f t="shared" si="44"/>
        <v>0</v>
      </c>
      <c r="AD157" s="917">
        <f t="shared" si="44"/>
        <v>0</v>
      </c>
      <c r="AE157" s="917">
        <f t="shared" si="44"/>
        <v>0</v>
      </c>
      <c r="AF157" s="917">
        <f t="shared" si="44"/>
        <v>0</v>
      </c>
      <c r="AG157" s="917">
        <f t="shared" si="44"/>
        <v>0</v>
      </c>
      <c r="AH157" s="917">
        <f t="shared" si="44"/>
        <v>0</v>
      </c>
      <c r="AI157" s="917">
        <f t="shared" si="44"/>
        <v>0</v>
      </c>
      <c r="AJ157" s="917">
        <f t="shared" si="44"/>
        <v>0</v>
      </c>
    </row>
    <row r="158" spans="7:36" ht="15" hidden="1" customHeight="1" x14ac:dyDescent="0.2">
      <c r="G158" s="839"/>
      <c r="H158" s="839"/>
      <c r="I158" s="839"/>
      <c r="J158" s="839"/>
      <c r="K158" s="839"/>
      <c r="L158" s="839"/>
      <c r="M158" s="839"/>
      <c r="N158" s="839"/>
      <c r="O158" s="839"/>
      <c r="P158" s="839"/>
      <c r="Q158" s="839"/>
      <c r="R158" s="839"/>
      <c r="S158" s="839"/>
      <c r="T158" s="839"/>
      <c r="U158" s="839"/>
      <c r="V158" s="839"/>
      <c r="W158" s="839"/>
      <c r="X158" s="839"/>
      <c r="Y158" s="839"/>
      <c r="Z158" s="839"/>
      <c r="AA158" s="839"/>
      <c r="AB158" s="839"/>
      <c r="AC158" s="839"/>
      <c r="AD158" s="839"/>
      <c r="AE158" s="839"/>
      <c r="AF158" s="839"/>
      <c r="AG158" s="839"/>
      <c r="AH158" s="839"/>
      <c r="AI158" s="839"/>
      <c r="AJ158" s="839"/>
    </row>
    <row r="159" spans="7:36" ht="15" hidden="1" customHeight="1" x14ac:dyDescent="0.2">
      <c r="G159" s="839" t="s">
        <v>17</v>
      </c>
      <c r="H159" s="839"/>
      <c r="I159" s="839"/>
      <c r="J159" s="839"/>
      <c r="K159" s="917">
        <f>K156/(((Data!$P$186/100)+1)^K$70)</f>
        <v>0</v>
      </c>
      <c r="L159" s="917">
        <f>L156/(((Data!$P$186/100)+1)^L$70)</f>
        <v>0</v>
      </c>
      <c r="M159" s="917">
        <f>M156/(((Data!$P$186/100)+1)^M$70)</f>
        <v>0</v>
      </c>
      <c r="N159" s="917">
        <f>N156/(((Data!$P$186/100)+1)^N$70)</f>
        <v>0</v>
      </c>
      <c r="O159" s="917">
        <f>O156/(((Data!$P$186/100)+1)^O$70)</f>
        <v>0</v>
      </c>
      <c r="P159" s="917">
        <f>P156/(((Data!$P$186/100)+1)^P$70)</f>
        <v>0</v>
      </c>
      <c r="Q159" s="917">
        <f>Q156/(((Data!$P$186/100)+1)^Q$70)</f>
        <v>0</v>
      </c>
      <c r="R159" s="917">
        <f>R156/(((Data!$P$186/100)+1)^R$70)</f>
        <v>0</v>
      </c>
      <c r="S159" s="917">
        <f>S156/(((Data!$P$186/100)+1)^S$70)</f>
        <v>0</v>
      </c>
      <c r="T159" s="917">
        <f>T156/(((Data!$P$186/100)+1)^T$70)</f>
        <v>0</v>
      </c>
      <c r="U159" s="917">
        <f>U156/(((Data!$P$186/100)+1)^U$70)</f>
        <v>0</v>
      </c>
      <c r="V159" s="917">
        <f>V156/(((Data!$P$186/100)+1)^V$70)</f>
        <v>0</v>
      </c>
      <c r="W159" s="917">
        <f>W156/(((Data!$P$186/100)+1)^W$70)</f>
        <v>0</v>
      </c>
      <c r="X159" s="917">
        <f>X156/(((Data!$P$186/100)+1)^X$70)</f>
        <v>0</v>
      </c>
      <c r="Y159" s="917">
        <f>Y156/(((Data!$P$186/100)+1)^Y$70)</f>
        <v>0</v>
      </c>
      <c r="Z159" s="917">
        <f>Z156/(((Data!$P$186/100)+1)^Z$70)</f>
        <v>0</v>
      </c>
      <c r="AA159" s="917">
        <f>AA156/(((Data!$P$186/100)+1)^AA$70)</f>
        <v>0</v>
      </c>
      <c r="AB159" s="917">
        <f>AB156/(((Data!$P$186/100)+1)^AB$70)</f>
        <v>0</v>
      </c>
      <c r="AC159" s="917">
        <f>AC156/(((Data!$P$186/100)+1)^AC$70)</f>
        <v>0</v>
      </c>
      <c r="AD159" s="917">
        <f>AD156/(((Data!$P$186/100)+1)^AD$70)</f>
        <v>0</v>
      </c>
      <c r="AE159" s="917">
        <f>AE156/(((Data!$P$186/100)+1)^AE$70)</f>
        <v>0</v>
      </c>
      <c r="AF159" s="917">
        <f>AF156/(((Data!$P$186/100)+1)^AF$70)</f>
        <v>0</v>
      </c>
      <c r="AG159" s="917">
        <f>AG156/(((Data!$P$186/100)+1)^AG$70)</f>
        <v>0</v>
      </c>
      <c r="AH159" s="917">
        <f>AH156/(((Data!$P$186/100)+1)^AH$70)</f>
        <v>0</v>
      </c>
      <c r="AI159" s="917">
        <f>AI156/(((Data!$P$186/100)+1)^AI$70)</f>
        <v>0</v>
      </c>
      <c r="AJ159" s="917">
        <f>AJ156/(((Data!$P$186/100)+1)^AJ$70)</f>
        <v>0</v>
      </c>
    </row>
    <row r="160" spans="7:36" ht="15" hidden="1" customHeight="1" x14ac:dyDescent="0.2">
      <c r="G160" s="859" t="s">
        <v>185</v>
      </c>
      <c r="H160" s="859"/>
      <c r="I160" s="839"/>
      <c r="J160" s="839"/>
      <c r="K160" s="923">
        <f>K159</f>
        <v>0</v>
      </c>
      <c r="L160" s="923">
        <f t="shared" ref="L160:AJ160" si="45">K160+L159</f>
        <v>0</v>
      </c>
      <c r="M160" s="923">
        <f t="shared" si="45"/>
        <v>0</v>
      </c>
      <c r="N160" s="923">
        <f t="shared" si="45"/>
        <v>0</v>
      </c>
      <c r="O160" s="923">
        <f t="shared" si="45"/>
        <v>0</v>
      </c>
      <c r="P160" s="923">
        <f t="shared" si="45"/>
        <v>0</v>
      </c>
      <c r="Q160" s="923">
        <f t="shared" si="45"/>
        <v>0</v>
      </c>
      <c r="R160" s="923">
        <f t="shared" si="45"/>
        <v>0</v>
      </c>
      <c r="S160" s="923">
        <f t="shared" si="45"/>
        <v>0</v>
      </c>
      <c r="T160" s="923">
        <f t="shared" si="45"/>
        <v>0</v>
      </c>
      <c r="U160" s="923">
        <f t="shared" si="45"/>
        <v>0</v>
      </c>
      <c r="V160" s="923">
        <f t="shared" si="45"/>
        <v>0</v>
      </c>
      <c r="W160" s="923">
        <f t="shared" si="45"/>
        <v>0</v>
      </c>
      <c r="X160" s="923">
        <f t="shared" si="45"/>
        <v>0</v>
      </c>
      <c r="Y160" s="923">
        <f t="shared" si="45"/>
        <v>0</v>
      </c>
      <c r="Z160" s="923">
        <f t="shared" si="45"/>
        <v>0</v>
      </c>
      <c r="AA160" s="923">
        <f t="shared" si="45"/>
        <v>0</v>
      </c>
      <c r="AB160" s="923">
        <f t="shared" si="45"/>
        <v>0</v>
      </c>
      <c r="AC160" s="923">
        <f t="shared" si="45"/>
        <v>0</v>
      </c>
      <c r="AD160" s="923">
        <f t="shared" si="45"/>
        <v>0</v>
      </c>
      <c r="AE160" s="923">
        <f t="shared" si="45"/>
        <v>0</v>
      </c>
      <c r="AF160" s="923">
        <f t="shared" si="45"/>
        <v>0</v>
      </c>
      <c r="AG160" s="923">
        <f t="shared" si="45"/>
        <v>0</v>
      </c>
      <c r="AH160" s="923">
        <f t="shared" si="45"/>
        <v>0</v>
      </c>
      <c r="AI160" s="923">
        <f t="shared" si="45"/>
        <v>0</v>
      </c>
      <c r="AJ160" s="923">
        <f t="shared" si="45"/>
        <v>0</v>
      </c>
    </row>
    <row r="162" spans="12:26" ht="15" customHeight="1" x14ac:dyDescent="0.2">
      <c r="L162" s="8"/>
      <c r="R162" s="8"/>
      <c r="S162" s="8"/>
      <c r="Z162" s="8"/>
    </row>
    <row r="310" spans="7:36" ht="15" customHeight="1" x14ac:dyDescent="0.2">
      <c r="G310" s="421"/>
      <c r="L310" s="8"/>
      <c r="S310" s="8"/>
      <c r="Z310" s="8"/>
      <c r="AB310" s="73"/>
    </row>
    <row r="311" spans="7:36" ht="15" customHeight="1" x14ac:dyDescent="0.2">
      <c r="G311" s="10"/>
      <c r="K311" s="67"/>
      <c r="L311" s="67"/>
      <c r="M311" s="67"/>
      <c r="N311" s="67"/>
      <c r="O311" s="67"/>
      <c r="P311" s="67"/>
      <c r="Q311" s="67"/>
      <c r="R311" s="67"/>
      <c r="S311" s="67"/>
      <c r="T311" s="67"/>
      <c r="U311" s="67"/>
      <c r="V311" s="67"/>
      <c r="W311" s="67"/>
      <c r="X311" s="67"/>
      <c r="Y311" s="67"/>
      <c r="Z311" s="67"/>
      <c r="AA311" s="67"/>
      <c r="AB311" s="67"/>
      <c r="AC311" s="67"/>
      <c r="AD311" s="67"/>
      <c r="AE311" s="67"/>
      <c r="AF311" s="67"/>
      <c r="AG311" s="67"/>
      <c r="AH311" s="67"/>
      <c r="AI311" s="67"/>
      <c r="AJ311" s="67"/>
    </row>
    <row r="312" spans="7:36" ht="15" customHeight="1" x14ac:dyDescent="0.2">
      <c r="G312" s="10"/>
      <c r="K312" s="67"/>
      <c r="L312" s="67"/>
      <c r="M312" s="67"/>
      <c r="N312" s="67"/>
      <c r="O312" s="67"/>
      <c r="P312" s="67"/>
      <c r="Q312" s="67"/>
      <c r="R312" s="67"/>
      <c r="S312" s="67"/>
      <c r="T312" s="67"/>
      <c r="U312" s="67"/>
      <c r="V312" s="67"/>
      <c r="W312" s="67"/>
      <c r="X312" s="67"/>
      <c r="Y312" s="67"/>
      <c r="Z312" s="67"/>
      <c r="AA312" s="67"/>
      <c r="AB312" s="67"/>
      <c r="AC312" s="67"/>
      <c r="AD312" s="67"/>
      <c r="AE312" s="67"/>
      <c r="AF312" s="67"/>
      <c r="AG312" s="67"/>
      <c r="AH312" s="67"/>
      <c r="AI312" s="67"/>
      <c r="AJ312" s="67"/>
    </row>
    <row r="313" spans="7:36" ht="15" customHeight="1" x14ac:dyDescent="0.2">
      <c r="G313" s="10"/>
      <c r="K313" s="67"/>
      <c r="L313" s="67"/>
      <c r="M313" s="67"/>
      <c r="N313" s="67"/>
      <c r="O313" s="67"/>
      <c r="P313" s="67"/>
      <c r="Q313" s="67"/>
      <c r="R313" s="67"/>
      <c r="S313" s="67"/>
      <c r="T313" s="67"/>
      <c r="U313" s="67"/>
      <c r="V313" s="67"/>
      <c r="W313" s="67"/>
      <c r="X313" s="67"/>
      <c r="Y313" s="67"/>
      <c r="Z313" s="67"/>
      <c r="AA313" s="67"/>
      <c r="AB313" s="67"/>
      <c r="AC313" s="67"/>
      <c r="AD313" s="67"/>
      <c r="AE313" s="67"/>
      <c r="AF313" s="67"/>
      <c r="AG313" s="67"/>
      <c r="AH313" s="67"/>
      <c r="AI313" s="67"/>
      <c r="AJ313" s="67"/>
    </row>
    <row r="314" spans="7:36" ht="15" customHeight="1" x14ac:dyDescent="0.2">
      <c r="L314" s="8"/>
      <c r="S314" s="8"/>
      <c r="Z314" s="8"/>
      <c r="AB314" s="73"/>
    </row>
    <row r="315" spans="7:36" ht="15" customHeight="1" x14ac:dyDescent="0.2">
      <c r="G315" s="531"/>
      <c r="H315" s="66"/>
      <c r="I315" s="66"/>
      <c r="J315" s="66"/>
      <c r="K315" s="66"/>
      <c r="L315" s="66"/>
      <c r="M315" s="66"/>
      <c r="N315" s="66"/>
      <c r="O315" s="66"/>
      <c r="P315" s="66"/>
      <c r="Q315" s="66"/>
      <c r="R315" s="66"/>
      <c r="S315" s="66"/>
      <c r="T315" s="66"/>
      <c r="U315" s="66"/>
      <c r="V315" s="66"/>
      <c r="W315" s="66"/>
      <c r="X315" s="66"/>
      <c r="Y315" s="66"/>
      <c r="Z315" s="66"/>
      <c r="AA315" s="66"/>
      <c r="AB315" s="395"/>
      <c r="AC315" s="66"/>
      <c r="AD315" s="66"/>
      <c r="AE315" s="66"/>
      <c r="AF315" s="66"/>
      <c r="AG315" s="66"/>
      <c r="AH315" s="66"/>
      <c r="AI315" s="66"/>
      <c r="AJ315" s="66"/>
    </row>
    <row r="316" spans="7:36" ht="15" customHeight="1" x14ac:dyDescent="0.2">
      <c r="G316" s="66"/>
      <c r="H316" s="66"/>
      <c r="I316" s="66"/>
      <c r="J316" s="66"/>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row>
    <row r="317" spans="7:36" ht="15" customHeight="1" x14ac:dyDescent="0.2">
      <c r="G317" s="66"/>
      <c r="H317" s="66"/>
      <c r="I317" s="66"/>
      <c r="J317" s="66"/>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row>
    <row r="318" spans="7:36" ht="15" customHeight="1" x14ac:dyDescent="0.2">
      <c r="G318" s="66"/>
      <c r="H318" s="66"/>
      <c r="I318" s="66"/>
      <c r="J318" s="66"/>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row>
    <row r="319" spans="7:36" ht="15" customHeight="1" x14ac:dyDescent="0.2">
      <c r="L319" s="8"/>
      <c r="S319" s="8"/>
      <c r="Z319" s="8"/>
      <c r="AB319" s="73"/>
    </row>
    <row r="320" spans="7:36" ht="15" customHeight="1" x14ac:dyDescent="0.2">
      <c r="G320" s="521"/>
      <c r="H320" s="164"/>
      <c r="I320" s="164"/>
      <c r="J320" s="164"/>
      <c r="K320" s="164"/>
      <c r="L320" s="164"/>
      <c r="M320" s="164"/>
      <c r="N320" s="164"/>
      <c r="O320" s="164"/>
      <c r="P320" s="164"/>
      <c r="Q320" s="164"/>
      <c r="R320" s="164"/>
      <c r="S320" s="164"/>
      <c r="T320" s="164"/>
      <c r="U320" s="164"/>
      <c r="V320" s="164"/>
      <c r="W320" s="164"/>
      <c r="X320" s="164"/>
      <c r="Y320" s="164"/>
      <c r="Z320" s="164"/>
      <c r="AA320" s="164"/>
      <c r="AB320" s="396"/>
      <c r="AC320" s="164"/>
      <c r="AD320" s="164"/>
      <c r="AE320" s="164"/>
      <c r="AF320" s="164"/>
      <c r="AG320" s="164"/>
      <c r="AH320" s="164"/>
      <c r="AI320" s="164"/>
      <c r="AJ320" s="164"/>
    </row>
    <row r="321" spans="7:36" ht="15" customHeight="1" x14ac:dyDescent="0.2">
      <c r="G321" s="164"/>
      <c r="H321" s="164"/>
      <c r="I321" s="164"/>
      <c r="J321" s="164"/>
      <c r="K321" s="165"/>
      <c r="L321" s="165"/>
      <c r="M321" s="165"/>
      <c r="N321" s="165"/>
      <c r="O321" s="165"/>
      <c r="P321" s="165"/>
      <c r="Q321" s="165"/>
      <c r="R321" s="165"/>
      <c r="S321" s="165"/>
      <c r="T321" s="165"/>
      <c r="U321" s="165"/>
      <c r="V321" s="165"/>
      <c r="W321" s="165"/>
      <c r="X321" s="165"/>
      <c r="Y321" s="165"/>
      <c r="Z321" s="165"/>
      <c r="AA321" s="165"/>
      <c r="AB321" s="165"/>
      <c r="AC321" s="165"/>
      <c r="AD321" s="165"/>
      <c r="AE321" s="165"/>
      <c r="AF321" s="165"/>
      <c r="AG321" s="165"/>
      <c r="AH321" s="165"/>
      <c r="AI321" s="165"/>
      <c r="AJ321" s="165"/>
    </row>
    <row r="322" spans="7:36" ht="15" customHeight="1" x14ac:dyDescent="0.2">
      <c r="G322" s="164"/>
      <c r="H322" s="164"/>
      <c r="I322" s="164"/>
      <c r="J322" s="164"/>
      <c r="K322" s="165"/>
      <c r="L322" s="165"/>
      <c r="M322" s="165"/>
      <c r="N322" s="165"/>
      <c r="O322" s="165"/>
      <c r="P322" s="165"/>
      <c r="Q322" s="165"/>
      <c r="R322" s="165"/>
      <c r="S322" s="165"/>
      <c r="T322" s="165"/>
      <c r="U322" s="165"/>
      <c r="V322" s="165"/>
      <c r="W322" s="165"/>
      <c r="X322" s="165"/>
      <c r="Y322" s="165"/>
      <c r="Z322" s="165"/>
      <c r="AA322" s="165"/>
      <c r="AB322" s="165"/>
      <c r="AC322" s="165"/>
      <c r="AD322" s="165"/>
      <c r="AE322" s="165"/>
      <c r="AF322" s="165"/>
      <c r="AG322" s="165"/>
      <c r="AH322" s="165"/>
      <c r="AI322" s="165"/>
      <c r="AJ322" s="165"/>
    </row>
    <row r="323" spans="7:36" ht="15" customHeight="1" x14ac:dyDescent="0.2">
      <c r="G323" s="164"/>
      <c r="H323" s="164"/>
      <c r="I323" s="164"/>
      <c r="J323" s="164"/>
      <c r="K323" s="165"/>
      <c r="L323" s="165"/>
      <c r="M323" s="165"/>
      <c r="N323" s="165"/>
      <c r="O323" s="165"/>
      <c r="P323" s="165"/>
      <c r="Q323" s="165"/>
      <c r="R323" s="165"/>
      <c r="S323" s="165"/>
      <c r="T323" s="165"/>
      <c r="U323" s="165"/>
      <c r="V323" s="165"/>
      <c r="W323" s="165"/>
      <c r="X323" s="165"/>
      <c r="Y323" s="165"/>
      <c r="Z323" s="165"/>
      <c r="AA323" s="165"/>
      <c r="AB323" s="165"/>
      <c r="AC323" s="165"/>
      <c r="AD323" s="165"/>
      <c r="AE323" s="165"/>
      <c r="AF323" s="165"/>
      <c r="AG323" s="165"/>
      <c r="AH323" s="165"/>
      <c r="AI323" s="165"/>
      <c r="AJ323" s="165"/>
    </row>
    <row r="324" spans="7:36" ht="15" customHeight="1" x14ac:dyDescent="0.2">
      <c r="G324" s="1"/>
      <c r="H324" s="1"/>
      <c r="I324" s="1"/>
      <c r="J324" s="1"/>
      <c r="K324" s="1"/>
      <c r="L324" s="1"/>
      <c r="M324" s="1"/>
      <c r="N324" s="1"/>
      <c r="O324" s="1"/>
      <c r="P324" s="1"/>
      <c r="Q324" s="1"/>
      <c r="R324" s="5"/>
      <c r="S324" s="1"/>
      <c r="T324" s="1"/>
      <c r="U324" s="1"/>
      <c r="V324" s="1"/>
      <c r="W324" s="1"/>
      <c r="X324" s="1"/>
      <c r="Y324" s="1"/>
      <c r="Z324" s="1"/>
      <c r="AA324" s="1"/>
      <c r="AB324" s="1"/>
      <c r="AC324" s="1"/>
      <c r="AD324" s="1"/>
      <c r="AE324" s="1"/>
      <c r="AF324" s="1"/>
      <c r="AG324" s="1"/>
      <c r="AH324" s="1"/>
      <c r="AI324" s="1"/>
      <c r="AJ324" s="1"/>
    </row>
    <row r="325" spans="7:36" ht="15" customHeight="1" x14ac:dyDescent="0.2">
      <c r="G325" s="1"/>
      <c r="H325" s="1"/>
      <c r="I325" s="1"/>
      <c r="J325" s="1"/>
      <c r="K325" s="1"/>
      <c r="L325" s="1"/>
      <c r="M325" s="1"/>
      <c r="N325" s="1"/>
      <c r="O325" s="1"/>
      <c r="P325" s="1"/>
      <c r="Q325" s="1"/>
      <c r="R325" s="5"/>
      <c r="S325" s="1"/>
      <c r="T325" s="1"/>
      <c r="U325" s="1"/>
      <c r="V325" s="1"/>
      <c r="W325" s="1"/>
      <c r="X325" s="1"/>
      <c r="Y325" s="1"/>
      <c r="Z325" s="1"/>
      <c r="AA325" s="1"/>
      <c r="AB325" s="1"/>
      <c r="AC325" s="1"/>
      <c r="AD325" s="1"/>
      <c r="AE325" s="1"/>
      <c r="AF325" s="1"/>
      <c r="AG325" s="1"/>
      <c r="AH325" s="1"/>
      <c r="AI325" s="1"/>
      <c r="AJ325" s="1"/>
    </row>
    <row r="326" spans="7:36" ht="15" customHeight="1" x14ac:dyDescent="0.2">
      <c r="G326" s="421"/>
      <c r="L326" s="8"/>
      <c r="S326" s="8"/>
      <c r="Z326" s="8"/>
      <c r="AB326" s="73"/>
    </row>
    <row r="327" spans="7:36" ht="15" customHeight="1" x14ac:dyDescent="0.2">
      <c r="G327" s="10"/>
      <c r="K327" s="67"/>
      <c r="L327" s="67"/>
      <c r="M327" s="67"/>
      <c r="N327" s="67"/>
      <c r="O327" s="67"/>
      <c r="P327" s="67"/>
      <c r="Q327" s="67"/>
      <c r="R327" s="67"/>
      <c r="S327" s="67"/>
      <c r="T327" s="67"/>
      <c r="U327" s="67"/>
      <c r="V327" s="67"/>
      <c r="W327" s="67"/>
      <c r="X327" s="67"/>
      <c r="Y327" s="67"/>
      <c r="Z327" s="67"/>
      <c r="AA327" s="67"/>
      <c r="AB327" s="67"/>
      <c r="AC327" s="67"/>
      <c r="AD327" s="67"/>
      <c r="AE327" s="67"/>
      <c r="AF327" s="67"/>
      <c r="AG327" s="67"/>
      <c r="AH327" s="67"/>
      <c r="AI327" s="67"/>
      <c r="AJ327" s="67"/>
    </row>
    <row r="328" spans="7:36" ht="15" customHeight="1" x14ac:dyDescent="0.2">
      <c r="G328" s="10"/>
      <c r="K328" s="67"/>
      <c r="L328" s="67"/>
      <c r="M328" s="67"/>
      <c r="N328" s="67"/>
      <c r="O328" s="67"/>
      <c r="P328" s="67"/>
      <c r="Q328" s="67"/>
      <c r="R328" s="67"/>
      <c r="S328" s="67"/>
      <c r="T328" s="67"/>
      <c r="U328" s="67"/>
      <c r="V328" s="67"/>
      <c r="W328" s="67"/>
      <c r="X328" s="67"/>
      <c r="Y328" s="67"/>
      <c r="Z328" s="67"/>
      <c r="AA328" s="67"/>
      <c r="AB328" s="67"/>
      <c r="AC328" s="67"/>
      <c r="AD328" s="67"/>
      <c r="AE328" s="67"/>
      <c r="AF328" s="67"/>
      <c r="AG328" s="67"/>
      <c r="AH328" s="67"/>
      <c r="AI328" s="67"/>
      <c r="AJ328" s="67"/>
    </row>
    <row r="329" spans="7:36" ht="15" customHeight="1" x14ac:dyDescent="0.2">
      <c r="G329" s="10"/>
      <c r="K329" s="67"/>
      <c r="L329" s="67"/>
      <c r="M329" s="67"/>
      <c r="N329" s="67"/>
      <c r="O329" s="67"/>
      <c r="P329" s="67"/>
      <c r="Q329" s="67"/>
      <c r="R329" s="67"/>
      <c r="S329" s="67"/>
      <c r="T329" s="67"/>
      <c r="U329" s="67"/>
      <c r="V329" s="67"/>
      <c r="W329" s="67"/>
      <c r="X329" s="67"/>
      <c r="Y329" s="67"/>
      <c r="Z329" s="67"/>
      <c r="AA329" s="67"/>
      <c r="AB329" s="67"/>
      <c r="AC329" s="67"/>
      <c r="AD329" s="67"/>
      <c r="AE329" s="67"/>
      <c r="AF329" s="67"/>
      <c r="AG329" s="67"/>
      <c r="AH329" s="67"/>
      <c r="AI329" s="67"/>
      <c r="AJ329" s="67"/>
    </row>
    <row r="330" spans="7:36" ht="15" customHeight="1" x14ac:dyDescent="0.2">
      <c r="L330" s="8"/>
      <c r="S330" s="8"/>
      <c r="Z330" s="8"/>
      <c r="AB330" s="73"/>
    </row>
    <row r="331" spans="7:36" ht="15" customHeight="1" x14ac:dyDescent="0.2">
      <c r="G331" s="531"/>
      <c r="H331" s="66"/>
      <c r="I331" s="66"/>
      <c r="J331" s="66"/>
      <c r="K331" s="66"/>
      <c r="L331" s="66"/>
      <c r="M331" s="66"/>
      <c r="N331" s="66"/>
      <c r="O331" s="66"/>
      <c r="P331" s="66"/>
      <c r="Q331" s="66"/>
      <c r="R331" s="66"/>
      <c r="S331" s="66"/>
      <c r="T331" s="66"/>
      <c r="U331" s="66"/>
      <c r="V331" s="66"/>
      <c r="W331" s="66"/>
      <c r="X331" s="66"/>
      <c r="Y331" s="66"/>
      <c r="Z331" s="66"/>
      <c r="AA331" s="66"/>
      <c r="AB331" s="395"/>
      <c r="AC331" s="66"/>
      <c r="AD331" s="66"/>
      <c r="AE331" s="66"/>
      <c r="AF331" s="66"/>
      <c r="AG331" s="66"/>
      <c r="AH331" s="66"/>
      <c r="AI331" s="66"/>
      <c r="AJ331" s="66"/>
    </row>
    <row r="332" spans="7:36" ht="15" customHeight="1" x14ac:dyDescent="0.2">
      <c r="G332" s="66"/>
      <c r="H332" s="66"/>
      <c r="I332" s="66"/>
      <c r="J332" s="66"/>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row>
    <row r="333" spans="7:36" ht="15" customHeight="1" x14ac:dyDescent="0.2">
      <c r="G333" s="66"/>
      <c r="H333" s="66"/>
      <c r="I333" s="66"/>
      <c r="J333" s="66"/>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row>
    <row r="334" spans="7:36" ht="15" customHeight="1" x14ac:dyDescent="0.2">
      <c r="G334" s="66"/>
      <c r="H334" s="66"/>
      <c r="I334" s="66"/>
      <c r="J334" s="66"/>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row>
    <row r="335" spans="7:36" ht="15" customHeight="1" x14ac:dyDescent="0.2">
      <c r="L335" s="8"/>
      <c r="S335" s="8"/>
      <c r="Z335" s="8"/>
      <c r="AB335" s="73"/>
    </row>
    <row r="336" spans="7:36" ht="15" customHeight="1" x14ac:dyDescent="0.2">
      <c r="G336" s="521"/>
      <c r="H336" s="164"/>
      <c r="I336" s="164"/>
      <c r="J336" s="164"/>
      <c r="K336" s="164"/>
      <c r="L336" s="164"/>
      <c r="M336" s="164"/>
      <c r="N336" s="164"/>
      <c r="O336" s="164"/>
      <c r="P336" s="164"/>
      <c r="Q336" s="164"/>
      <c r="R336" s="164"/>
      <c r="S336" s="164"/>
      <c r="T336" s="164"/>
      <c r="U336" s="164"/>
      <c r="V336" s="164"/>
      <c r="W336" s="164"/>
      <c r="X336" s="164"/>
      <c r="Y336" s="164"/>
      <c r="Z336" s="164"/>
      <c r="AA336" s="164"/>
      <c r="AB336" s="396"/>
      <c r="AC336" s="164"/>
      <c r="AD336" s="164"/>
      <c r="AE336" s="164"/>
      <c r="AF336" s="164"/>
      <c r="AG336" s="164"/>
      <c r="AH336" s="164"/>
      <c r="AI336" s="164"/>
      <c r="AJ336" s="164"/>
    </row>
    <row r="337" spans="7:36" ht="15" customHeight="1" x14ac:dyDescent="0.2">
      <c r="G337" s="164"/>
      <c r="H337" s="164"/>
      <c r="I337" s="164"/>
      <c r="J337" s="164"/>
      <c r="K337" s="99"/>
      <c r="L337" s="99"/>
      <c r="M337" s="99"/>
      <c r="N337" s="99"/>
      <c r="O337" s="99"/>
      <c r="P337" s="99"/>
      <c r="Q337" s="99"/>
      <c r="R337" s="99"/>
      <c r="S337" s="99"/>
      <c r="T337" s="99"/>
      <c r="U337" s="99"/>
      <c r="V337" s="99"/>
      <c r="W337" s="99"/>
      <c r="X337" s="99"/>
      <c r="Y337" s="99"/>
      <c r="Z337" s="99"/>
      <c r="AA337" s="99"/>
      <c r="AB337" s="99"/>
      <c r="AC337" s="99"/>
      <c r="AD337" s="99"/>
      <c r="AE337" s="99"/>
      <c r="AF337" s="99"/>
      <c r="AG337" s="99"/>
      <c r="AH337" s="99"/>
      <c r="AI337" s="99"/>
      <c r="AJ337" s="99"/>
    </row>
    <row r="338" spans="7:36" ht="15" customHeight="1" x14ac:dyDescent="0.2">
      <c r="G338" s="164"/>
      <c r="H338" s="164"/>
      <c r="I338" s="164"/>
      <c r="J338" s="164"/>
      <c r="K338" s="99"/>
      <c r="L338" s="99"/>
      <c r="M338" s="99"/>
      <c r="N338" s="99"/>
      <c r="O338" s="99"/>
      <c r="P338" s="99"/>
      <c r="Q338" s="99"/>
      <c r="R338" s="99"/>
      <c r="S338" s="99"/>
      <c r="T338" s="99"/>
      <c r="U338" s="99"/>
      <c r="V338" s="99"/>
      <c r="W338" s="99"/>
      <c r="X338" s="99"/>
      <c r="Y338" s="99"/>
      <c r="Z338" s="99"/>
      <c r="AA338" s="99"/>
      <c r="AB338" s="99"/>
      <c r="AC338" s="99"/>
      <c r="AD338" s="99"/>
      <c r="AE338" s="99"/>
      <c r="AF338" s="99"/>
      <c r="AG338" s="99"/>
      <c r="AH338" s="99"/>
      <c r="AI338" s="99"/>
      <c r="AJ338" s="99"/>
    </row>
    <row r="339" spans="7:36" ht="15" customHeight="1" x14ac:dyDescent="0.2">
      <c r="G339" s="164"/>
      <c r="H339" s="164"/>
      <c r="I339" s="164"/>
      <c r="J339" s="164"/>
      <c r="K339" s="99"/>
      <c r="L339" s="99"/>
      <c r="M339" s="99"/>
      <c r="N339" s="99"/>
      <c r="O339" s="99"/>
      <c r="P339" s="99"/>
      <c r="Q339" s="99"/>
      <c r="R339" s="99"/>
      <c r="S339" s="99"/>
      <c r="T339" s="99"/>
      <c r="U339" s="99"/>
      <c r="V339" s="99"/>
      <c r="W339" s="99"/>
      <c r="X339" s="99"/>
      <c r="Y339" s="99"/>
      <c r="Z339" s="99"/>
      <c r="AA339" s="99"/>
      <c r="AB339" s="99"/>
      <c r="AC339" s="99"/>
      <c r="AD339" s="99"/>
      <c r="AE339" s="99"/>
      <c r="AF339" s="99"/>
      <c r="AG339" s="99"/>
      <c r="AH339" s="99"/>
      <c r="AI339" s="99"/>
      <c r="AJ339" s="99"/>
    </row>
  </sheetData>
  <mergeCells count="4">
    <mergeCell ref="A1:E3"/>
    <mergeCell ref="B7:D7"/>
    <mergeCell ref="G5:H7"/>
    <mergeCell ref="S10:W10"/>
  </mergeCells>
  <conditionalFormatting sqref="G10">
    <cfRule type="expression" dxfId="123" priority="62">
      <formula>#REF!="No"</formula>
    </cfRule>
  </conditionalFormatting>
  <conditionalFormatting sqref="G42">
    <cfRule type="expression" dxfId="122" priority="38">
      <formula>#REF!="No"</formula>
    </cfRule>
  </conditionalFormatting>
  <conditionalFormatting sqref="G45">
    <cfRule type="expression" dxfId="121" priority="149">
      <formula>#REF!="No"</formula>
    </cfRule>
  </conditionalFormatting>
  <conditionalFormatting sqref="G47">
    <cfRule type="expression" dxfId="120" priority="33">
      <formula>#REF!="No"</formula>
    </cfRule>
  </conditionalFormatting>
  <conditionalFormatting sqref="G90">
    <cfRule type="expression" dxfId="119" priority="50">
      <formula>#REF!="No"</formula>
    </cfRule>
  </conditionalFormatting>
  <conditionalFormatting sqref="G114">
    <cfRule type="expression" dxfId="118" priority="27">
      <formula>#REF!="No"</formula>
    </cfRule>
  </conditionalFormatting>
  <conditionalFormatting sqref="G138">
    <cfRule type="expression" dxfId="117" priority="28">
      <formula>#REF!="No"</formula>
    </cfRule>
  </conditionalFormatting>
  <conditionalFormatting sqref="G310">
    <cfRule type="expression" dxfId="116" priority="56">
      <formula>#REF!="No"</formula>
    </cfRule>
  </conditionalFormatting>
  <conditionalFormatting sqref="G315">
    <cfRule type="expression" dxfId="115" priority="55">
      <formula>#REF!="No"</formula>
    </cfRule>
  </conditionalFormatting>
  <conditionalFormatting sqref="G320">
    <cfRule type="expression" dxfId="114" priority="54">
      <formula>#REF!="No"</formula>
    </cfRule>
  </conditionalFormatting>
  <conditionalFormatting sqref="G326">
    <cfRule type="expression" dxfId="113" priority="53">
      <formula>#REF!="No"</formula>
    </cfRule>
  </conditionalFormatting>
  <conditionalFormatting sqref="G331">
    <cfRule type="expression" dxfId="112" priority="52">
      <formula>#REF!="No"</formula>
    </cfRule>
  </conditionalFormatting>
  <conditionalFormatting sqref="G336">
    <cfRule type="expression" dxfId="111" priority="51">
      <formula>#REF!="No"</formula>
    </cfRule>
  </conditionalFormatting>
  <conditionalFormatting sqref="J11 J51">
    <cfRule type="expression" dxfId="110" priority="37">
      <formula>$J$11&gt;$J$51</formula>
    </cfRule>
  </conditionalFormatting>
  <conditionalFormatting sqref="J15:J17">
    <cfRule type="expression" dxfId="109" priority="3">
      <formula>NOT(OR(I15="User defined 1",I15="User defined 2",I15="User defined 3"))</formula>
    </cfRule>
  </conditionalFormatting>
  <conditionalFormatting sqref="M10">
    <cfRule type="expression" dxfId="108" priority="34">
      <formula>#REF!="No"</formula>
    </cfRule>
  </conditionalFormatting>
  <conditionalFormatting sqref="M12">
    <cfRule type="expression" dxfId="107" priority="127">
      <formula>#REF!="No"</formula>
    </cfRule>
  </conditionalFormatting>
  <conditionalFormatting sqref="M42">
    <cfRule type="expression" dxfId="106" priority="26">
      <formula>#REF!="No"</formula>
    </cfRule>
  </conditionalFormatting>
  <conditionalFormatting sqref="M45">
    <cfRule type="expression" dxfId="105" priority="116">
      <formula>#REF!="No"</formula>
    </cfRule>
  </conditionalFormatting>
  <conditionalFormatting sqref="M47">
    <cfRule type="expression" dxfId="104" priority="32">
      <formula>#REF!="No"</formula>
    </cfRule>
  </conditionalFormatting>
  <conditionalFormatting sqref="P11">
    <cfRule type="expression" dxfId="103" priority="2">
      <formula>P11&gt;$J$51</formula>
    </cfRule>
  </conditionalFormatting>
  <conditionalFormatting sqref="P15:P17">
    <cfRule type="expression" dxfId="102" priority="7">
      <formula>NOT(OR(O15="User defined 1",O15="User defined 2",O15="User defined 3"))</formula>
    </cfRule>
  </conditionalFormatting>
  <conditionalFormatting sqref="S10">
    <cfRule type="expression" dxfId="101" priority="35">
      <formula>#REF!="No"</formula>
    </cfRule>
  </conditionalFormatting>
  <conditionalFormatting sqref="S41:S43">
    <cfRule type="expression" dxfId="100" priority="23">
      <formula>#REF!="No"</formula>
    </cfRule>
  </conditionalFormatting>
  <conditionalFormatting sqref="T41">
    <cfRule type="expression" dxfId="99" priority="42">
      <formula>#REF!="No"</formula>
    </cfRule>
  </conditionalFormatting>
  <conditionalFormatting sqref="V42:W42">
    <cfRule type="expression" dxfId="98" priority="40">
      <formula>#REF!="No"</formula>
    </cfRule>
  </conditionalFormatting>
  <conditionalFormatting sqref="W43">
    <cfRule type="expression" dxfId="97" priority="22">
      <formula>#REF!="No"</formula>
    </cfRule>
  </conditionalFormatting>
  <conditionalFormatting sqref="Y10:Y11">
    <cfRule type="expression" dxfId="96" priority="24">
      <formula>#REF!="No"</formula>
    </cfRule>
  </conditionalFormatting>
  <conditionalFormatting sqref="Y12:Y13">
    <cfRule type="expression" dxfId="95" priority="129">
      <formula>#REF!="No"</formula>
    </cfRule>
  </conditionalFormatting>
  <conditionalFormatting sqref="Y42">
    <cfRule type="expression" dxfId="94" priority="25">
      <formula>#REF!="No"</formula>
    </cfRule>
  </conditionalFormatting>
  <conditionalFormatting sqref="Y45">
    <cfRule type="expression" dxfId="93" priority="97">
      <formula>#REF!="No"</formula>
    </cfRule>
  </conditionalFormatting>
  <conditionalFormatting sqref="Y47">
    <cfRule type="expression" dxfId="92" priority="31">
      <formula>#REF!="No"</formula>
    </cfRule>
  </conditionalFormatting>
  <conditionalFormatting sqref="AB11">
    <cfRule type="expression" dxfId="91" priority="1">
      <formula>AA11&gt;$J$51</formula>
    </cfRule>
  </conditionalFormatting>
  <conditionalFormatting sqref="AB15:AB17">
    <cfRule type="expression" dxfId="90" priority="4">
      <formula>NOT(OR(AA15="User defined 1",AA15="User defined 2",AA15="User defined 3"))</formula>
    </cfRule>
  </conditionalFormatting>
  <dataValidations count="1">
    <dataValidation type="list" allowBlank="1" showInputMessage="1" showErrorMessage="1" sqref="O37 P33 I37 J33 AA37 AB33" xr:uid="{00000000-0002-0000-0B00-000000000000}">
      <formula1>"Yes, No"</formula1>
    </dataValidation>
  </dataValidations>
  <hyperlinks>
    <hyperlink ref="G5:H7" location="SimpleStep2!A1" display="Done" xr:uid="{00000000-0004-0000-0B00-000000000000}"/>
  </hyperlinks>
  <pageMargins left="0.25" right="0.25" top="0.75" bottom="0.75" header="0.3" footer="0.3"/>
  <pageSetup paperSize="8" scale="44"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B00-000002000000}">
          <x14:formula1>
            <xm:f>Data!$G$115:$G$124</xm:f>
          </x14:formula1>
          <xm:sqref>I15:I17 O15:O17 AA15:AA17</xm:sqref>
        </x14:dataValidation>
        <x14:dataValidation type="list" allowBlank="1" showInputMessage="1" showErrorMessage="1" xr:uid="{00000000-0002-0000-0B00-000003000000}">
          <x14:formula1>
            <xm:f>Data!$G$139:$G$141</xm:f>
          </x14:formula1>
          <xm:sqref>I35 O35 AA35</xm:sqref>
        </x14:dataValidation>
        <x14:dataValidation type="list" allowBlank="1" showInputMessage="1" showErrorMessage="1" xr:uid="{00000000-0002-0000-0B00-000004000000}">
          <x14:formula1>
            <xm:f>Data!$G$143:$G$147</xm:f>
          </x14:formula1>
          <xm:sqref>I36 O36 AA36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pageSetUpPr fitToPage="1"/>
  </sheetPr>
  <dimension ref="A1:AL300"/>
  <sheetViews>
    <sheetView showGridLines="0" zoomScale="70" zoomScaleNormal="70" zoomScaleSheetLayoutView="100" workbookViewId="0">
      <selection activeCell="G5" sqref="G5:H7"/>
    </sheetView>
  </sheetViews>
  <sheetFormatPr defaultColWidth="8.7109375" defaultRowHeight="15" customHeight="1" x14ac:dyDescent="0.2"/>
  <cols>
    <col min="1" max="1" width="3.7109375" style="47" customWidth="1"/>
    <col min="2" max="2" width="8.85546875" style="62" customWidth="1"/>
    <col min="3" max="3" width="8.7109375" style="481" customWidth="1"/>
    <col min="4" max="4" width="8.7109375" style="49" customWidth="1"/>
    <col min="5" max="5" width="3.7109375" style="48" customWidth="1"/>
    <col min="6" max="9" width="8.7109375" style="1"/>
    <col min="10" max="17" width="8.7109375" style="1" customWidth="1"/>
    <col min="18" max="18" width="8.7109375" style="5" customWidth="1"/>
    <col min="19" max="25" width="8.7109375" style="1" customWidth="1"/>
    <col min="26" max="36" width="12.140625" style="1" bestFit="1" customWidth="1"/>
    <col min="37" max="37" width="8.7109375" style="1"/>
    <col min="38" max="38" width="8.7109375" style="1" customWidth="1"/>
    <col min="39" max="16384" width="8.7109375" style="1"/>
  </cols>
  <sheetData>
    <row r="1" spans="1:24" ht="15" customHeight="1" x14ac:dyDescent="0.2">
      <c r="A1" s="1075"/>
      <c r="B1" s="1075"/>
      <c r="C1" s="1075"/>
      <c r="D1" s="1075"/>
      <c r="E1" s="1075"/>
      <c r="G1" s="1024" t="s">
        <v>288</v>
      </c>
      <c r="H1" s="1024"/>
    </row>
    <row r="2" spans="1:24" ht="15" customHeight="1" x14ac:dyDescent="0.2">
      <c r="A2" s="1075"/>
      <c r="B2" s="1075"/>
      <c r="C2" s="1075"/>
      <c r="D2" s="1075"/>
      <c r="E2" s="1075"/>
      <c r="G2" s="1024"/>
      <c r="H2" s="1024"/>
      <c r="I2" s="50"/>
      <c r="J2" s="50"/>
      <c r="K2" s="51"/>
      <c r="L2" s="52"/>
      <c r="M2" s="51"/>
      <c r="N2" s="50"/>
      <c r="O2" s="50"/>
      <c r="P2" s="50"/>
      <c r="Q2" s="4"/>
    </row>
    <row r="3" spans="1:24" ht="15" customHeight="1" x14ac:dyDescent="0.2">
      <c r="A3" s="1075"/>
      <c r="B3" s="1075"/>
      <c r="C3" s="1075"/>
      <c r="D3" s="1075"/>
      <c r="E3" s="1075"/>
      <c r="G3" s="1024"/>
      <c r="H3" s="1024"/>
    </row>
    <row r="4" spans="1:24" ht="15" customHeight="1" x14ac:dyDescent="0.2">
      <c r="A4" s="618"/>
      <c r="B4" s="618"/>
      <c r="C4" s="618"/>
      <c r="D4" s="618"/>
      <c r="E4" s="618"/>
      <c r="G4" s="619"/>
      <c r="H4" s="619"/>
    </row>
    <row r="5" spans="1:24" ht="15" customHeight="1" x14ac:dyDescent="0.2">
      <c r="A5" s="669"/>
      <c r="B5" s="62" t="s">
        <v>251</v>
      </c>
      <c r="C5" s="669"/>
      <c r="D5" s="669"/>
      <c r="E5" s="669"/>
      <c r="G5" s="1020" t="s">
        <v>202</v>
      </c>
      <c r="H5" s="1020"/>
      <c r="W5" s="1020" t="s">
        <v>328</v>
      </c>
      <c r="X5" s="1020"/>
    </row>
    <row r="6" spans="1:24" ht="15" customHeight="1" x14ac:dyDescent="0.2">
      <c r="A6" s="669"/>
      <c r="C6" s="48"/>
      <c r="E6" s="669"/>
      <c r="G6" s="1020"/>
      <c r="H6" s="1020"/>
      <c r="W6" s="1020"/>
      <c r="X6" s="1020"/>
    </row>
    <row r="7" spans="1:24" ht="15" customHeight="1" x14ac:dyDescent="0.2">
      <c r="A7" s="669"/>
      <c r="B7" s="1023" t="str">
        <f>IF(Step1!K12="New building",Step1!Q12,Step1!K15)</f>
        <v>1-19 Torrington Place</v>
      </c>
      <c r="C7" s="1023"/>
      <c r="D7" s="1023"/>
      <c r="E7" s="669"/>
      <c r="G7" s="1020"/>
      <c r="H7" s="1020"/>
      <c r="I7" s="6"/>
      <c r="J7" s="6"/>
      <c r="W7" s="1020"/>
      <c r="X7" s="1020"/>
    </row>
    <row r="8" spans="1:24" ht="15" customHeight="1" x14ac:dyDescent="0.2">
      <c r="B8" s="89"/>
      <c r="C8" s="48"/>
      <c r="G8" s="498"/>
      <c r="H8" s="498"/>
      <c r="I8" s="6"/>
      <c r="J8" s="6"/>
      <c r="R8" s="498"/>
      <c r="S8" s="498"/>
    </row>
    <row r="9" spans="1:24" ht="15" customHeight="1" x14ac:dyDescent="0.2">
      <c r="B9" s="89"/>
      <c r="C9" s="48"/>
      <c r="G9" s="498"/>
      <c r="H9" s="498"/>
      <c r="I9" s="6"/>
      <c r="J9" s="6"/>
      <c r="R9" s="498"/>
      <c r="S9" s="498"/>
    </row>
    <row r="10" spans="1:24" ht="15" customHeight="1" x14ac:dyDescent="0.3">
      <c r="B10" s="199" t="s">
        <v>329</v>
      </c>
      <c r="C10" s="593"/>
      <c r="D10" s="594"/>
      <c r="G10" s="805" t="s">
        <v>565</v>
      </c>
      <c r="H10" s="7"/>
      <c r="I10" s="7"/>
      <c r="J10" s="7"/>
      <c r="K10" s="7"/>
      <c r="L10" s="7"/>
      <c r="N10" s="1054" t="s">
        <v>566</v>
      </c>
      <c r="O10" s="1054"/>
      <c r="P10" s="1054"/>
      <c r="Q10" s="1054"/>
      <c r="R10" s="1054"/>
      <c r="S10" s="1054"/>
      <c r="T10" s="1054"/>
      <c r="V10" s="1056" t="s">
        <v>600</v>
      </c>
      <c r="W10" s="1056"/>
      <c r="X10" s="1056"/>
    </row>
    <row r="11" spans="1:24" ht="15" customHeight="1" x14ac:dyDescent="0.3">
      <c r="B11" s="724"/>
      <c r="C11" s="593"/>
      <c r="D11" s="594"/>
      <c r="G11" s="7"/>
      <c r="H11" s="7"/>
      <c r="I11" s="7"/>
      <c r="J11" s="7"/>
      <c r="K11" s="7"/>
      <c r="L11" s="7"/>
      <c r="N11" s="702"/>
      <c r="O11" s="702"/>
      <c r="P11" s="702"/>
      <c r="Q11" s="702"/>
      <c r="R11" s="702"/>
      <c r="S11" s="702"/>
      <c r="T11" s="702"/>
      <c r="V11" s="397"/>
      <c r="W11" s="60"/>
      <c r="X11" s="60"/>
    </row>
    <row r="12" spans="1:24" ht="15" customHeight="1" x14ac:dyDescent="0.3">
      <c r="B12" s="199" t="s">
        <v>575</v>
      </c>
      <c r="C12" s="595"/>
      <c r="D12" s="594"/>
      <c r="N12" s="702"/>
      <c r="O12" s="702"/>
      <c r="P12" s="702"/>
      <c r="Q12" s="702"/>
      <c r="R12" s="702"/>
      <c r="S12" s="702"/>
      <c r="T12" s="702"/>
      <c r="V12" s="17" t="s">
        <v>438</v>
      </c>
      <c r="W12" s="60"/>
      <c r="X12" s="60"/>
    </row>
    <row r="13" spans="1:24" ht="15" customHeight="1" x14ac:dyDescent="0.3">
      <c r="B13" s="199"/>
      <c r="C13" s="597"/>
      <c r="D13" s="594"/>
      <c r="V13" s="17"/>
      <c r="W13" s="1077" t="str">
        <f>SimpleStep2!W13</f>
        <v>No</v>
      </c>
      <c r="X13" s="1077"/>
    </row>
    <row r="14" spans="1:24" ht="15" customHeight="1" x14ac:dyDescent="0.3">
      <c r="B14" s="199" t="s">
        <v>574</v>
      </c>
      <c r="C14" s="593"/>
      <c r="D14" s="594"/>
      <c r="P14" s="19"/>
      <c r="V14" s="17"/>
      <c r="W14" s="1077"/>
      <c r="X14" s="1077"/>
    </row>
    <row r="15" spans="1:24" ht="15" customHeight="1" x14ac:dyDescent="0.3">
      <c r="B15" s="725"/>
      <c r="C15" s="593"/>
      <c r="D15" s="594"/>
      <c r="P15" s="19"/>
      <c r="V15" s="1074" t="s">
        <v>613</v>
      </c>
      <c r="W15" s="1074"/>
      <c r="X15" s="1074"/>
    </row>
    <row r="16" spans="1:24" ht="15" customHeight="1" x14ac:dyDescent="0.3">
      <c r="A16" s="533" t="s">
        <v>330</v>
      </c>
      <c r="B16" s="203" t="s">
        <v>576</v>
      </c>
      <c r="C16" s="593"/>
      <c r="D16" s="594"/>
      <c r="E16" s="55"/>
      <c r="G16" s="499"/>
      <c r="J16" s="6"/>
      <c r="K16" s="6"/>
      <c r="M16" s="6"/>
      <c r="N16" s="6"/>
      <c r="P16" s="2"/>
      <c r="V16" s="17"/>
      <c r="W16" s="60"/>
      <c r="X16" s="60"/>
    </row>
    <row r="17" spans="2:38" ht="15" customHeight="1" x14ac:dyDescent="0.3">
      <c r="B17" s="725"/>
      <c r="C17" s="593"/>
      <c r="D17" s="594"/>
      <c r="G17" s="500"/>
      <c r="J17" s="6"/>
      <c r="K17" s="6"/>
      <c r="M17" s="6"/>
      <c r="N17" s="6"/>
      <c r="P17" s="19"/>
      <c r="V17" s="17" t="s">
        <v>577</v>
      </c>
      <c r="W17" s="60"/>
      <c r="X17" s="60"/>
    </row>
    <row r="18" spans="2:38" ht="15" customHeight="1" x14ac:dyDescent="0.3">
      <c r="B18" s="204" t="s">
        <v>331</v>
      </c>
      <c r="C18" s="593"/>
      <c r="D18" s="594"/>
      <c r="H18" s="54"/>
      <c r="P18" s="19"/>
      <c r="V18" s="17"/>
      <c r="W18" s="1077" t="str">
        <f>SimpleStep2!W18</f>
        <v>No</v>
      </c>
      <c r="X18" s="1077"/>
    </row>
    <row r="19" spans="2:38" ht="15" customHeight="1" x14ac:dyDescent="0.2">
      <c r="B19" s="120"/>
      <c r="C19" s="48"/>
      <c r="G19" s="424"/>
      <c r="J19" s="501"/>
      <c r="M19" s="501"/>
      <c r="P19" s="2"/>
      <c r="V19" s="17"/>
      <c r="W19" s="1077"/>
      <c r="X19" s="1077"/>
    </row>
    <row r="20" spans="2:38" ht="15" customHeight="1" x14ac:dyDescent="0.2">
      <c r="B20" s="120"/>
      <c r="C20" s="48"/>
      <c r="G20" s="500"/>
      <c r="J20" s="3"/>
      <c r="M20" s="3"/>
      <c r="P20" s="19"/>
      <c r="V20" s="1074" t="s">
        <v>613</v>
      </c>
      <c r="W20" s="1074"/>
      <c r="X20" s="1074"/>
    </row>
    <row r="21" spans="2:38" ht="15" customHeight="1" x14ac:dyDescent="0.2">
      <c r="B21" s="120"/>
      <c r="C21" s="48"/>
      <c r="H21" s="54"/>
      <c r="P21" s="19"/>
      <c r="V21" s="17"/>
      <c r="W21" s="60"/>
      <c r="X21" s="60"/>
    </row>
    <row r="22" spans="2:38" ht="15" customHeight="1" x14ac:dyDescent="0.2">
      <c r="V22" s="17" t="s">
        <v>439</v>
      </c>
      <c r="W22" s="60"/>
      <c r="X22" s="60"/>
    </row>
    <row r="23" spans="2:38" ht="15" customHeight="1" x14ac:dyDescent="0.2">
      <c r="E23" s="55"/>
      <c r="V23" s="17"/>
      <c r="W23" s="1077" t="str">
        <f>SimpleStep2!W23</f>
        <v>No</v>
      </c>
      <c r="X23" s="1077"/>
    </row>
    <row r="24" spans="2:38" ht="15" customHeight="1" x14ac:dyDescent="0.2">
      <c r="C24" s="48"/>
      <c r="H24" s="54"/>
      <c r="N24" s="686"/>
      <c r="O24" s="686"/>
      <c r="P24" s="686"/>
      <c r="Q24" s="686"/>
      <c r="R24" s="686"/>
      <c r="S24" s="686"/>
      <c r="T24" s="686"/>
      <c r="V24" s="17"/>
      <c r="W24" s="1077"/>
      <c r="X24" s="1077"/>
    </row>
    <row r="25" spans="2:38" ht="15" customHeight="1" x14ac:dyDescent="0.2">
      <c r="B25" s="62" t="s">
        <v>287</v>
      </c>
      <c r="C25" s="55"/>
      <c r="G25" s="424"/>
      <c r="J25" s="501"/>
      <c r="M25" s="501"/>
      <c r="N25" s="686"/>
      <c r="O25" s="686"/>
      <c r="P25" s="686"/>
      <c r="Q25" s="686"/>
      <c r="R25" s="686"/>
      <c r="S25" s="686"/>
      <c r="T25" s="686"/>
      <c r="V25" s="1074" t="s">
        <v>613</v>
      </c>
      <c r="W25" s="1074"/>
      <c r="X25" s="1074"/>
    </row>
    <row r="26" spans="2:38" ht="15" customHeight="1" x14ac:dyDescent="0.2">
      <c r="B26" s="1049">
        <f>K144</f>
        <v>0</v>
      </c>
      <c r="C26" s="1049"/>
      <c r="D26" s="1049"/>
      <c r="G26" s="500"/>
      <c r="J26" s="3"/>
      <c r="M26" s="3"/>
      <c r="N26" s="1054" t="s">
        <v>567</v>
      </c>
      <c r="O26" s="1054"/>
      <c r="P26" s="1054"/>
      <c r="Q26" s="1054"/>
      <c r="R26" s="1054"/>
      <c r="S26" s="1054"/>
      <c r="T26" s="1054"/>
      <c r="V26" s="17"/>
      <c r="W26" s="60"/>
      <c r="X26" s="60"/>
    </row>
    <row r="27" spans="2:38" ht="15" customHeight="1" x14ac:dyDescent="0.2">
      <c r="B27" s="1049"/>
      <c r="C27" s="1049"/>
      <c r="D27" s="1049"/>
      <c r="H27" s="54"/>
      <c r="P27" s="19"/>
      <c r="V27" s="17" t="s">
        <v>440</v>
      </c>
      <c r="W27" s="60"/>
      <c r="X27" s="60"/>
      <c r="AJ27" s="502"/>
      <c r="AK27" s="502"/>
      <c r="AL27" s="502"/>
    </row>
    <row r="28" spans="2:38" ht="15" customHeight="1" x14ac:dyDescent="0.2">
      <c r="B28" s="89"/>
      <c r="C28" s="48"/>
      <c r="D28" s="398" t="s">
        <v>486</v>
      </c>
      <c r="G28" s="424"/>
      <c r="J28" s="501"/>
      <c r="M28" s="501"/>
      <c r="P28" s="2"/>
      <c r="V28" s="17"/>
      <c r="W28" s="1077" t="str">
        <f>SimpleStep2!W28</f>
        <v>No</v>
      </c>
      <c r="X28" s="1077"/>
      <c r="AJ28" s="502"/>
      <c r="AK28" s="502"/>
      <c r="AL28" s="502"/>
    </row>
    <row r="29" spans="2:38" ht="15" customHeight="1" x14ac:dyDescent="0.2">
      <c r="V29" s="17"/>
      <c r="W29" s="1077"/>
      <c r="X29" s="1077"/>
      <c r="AJ29" s="502"/>
      <c r="AK29" s="502"/>
      <c r="AL29" s="502"/>
    </row>
    <row r="30" spans="2:38" ht="15" customHeight="1" x14ac:dyDescent="0.2">
      <c r="B30" s="62" t="s">
        <v>546</v>
      </c>
      <c r="C30" s="48"/>
      <c r="V30" s="1074" t="s">
        <v>613</v>
      </c>
      <c r="W30" s="1074"/>
      <c r="X30" s="1074"/>
      <c r="AJ30" s="502"/>
      <c r="AK30" s="502"/>
      <c r="AL30" s="502"/>
    </row>
    <row r="31" spans="2:38" ht="15" customHeight="1" x14ac:dyDescent="0.2">
      <c r="B31" s="1049">
        <f>K145</f>
        <v>0</v>
      </c>
      <c r="C31" s="1049"/>
      <c r="D31" s="1049"/>
      <c r="V31" s="17"/>
      <c r="W31" s="60"/>
      <c r="X31" s="60"/>
      <c r="AH31" s="530"/>
      <c r="AJ31" s="502"/>
      <c r="AK31" s="502"/>
      <c r="AL31" s="502"/>
    </row>
    <row r="32" spans="2:38" ht="15" customHeight="1" x14ac:dyDescent="0.2">
      <c r="B32" s="1049"/>
      <c r="C32" s="1049"/>
      <c r="D32" s="1049"/>
      <c r="E32" s="55"/>
      <c r="G32" s="59"/>
      <c r="H32" s="502"/>
      <c r="I32" s="502"/>
      <c r="J32" s="502"/>
      <c r="K32" s="502"/>
      <c r="L32" s="502"/>
      <c r="M32" s="502"/>
      <c r="N32" s="502"/>
      <c r="P32" s="502"/>
      <c r="Q32" s="502"/>
      <c r="R32" s="502"/>
      <c r="S32" s="502"/>
      <c r="T32" s="502"/>
      <c r="U32" s="502"/>
      <c r="V32" s="17" t="s">
        <v>441</v>
      </c>
      <c r="W32" s="60"/>
      <c r="X32" s="60"/>
      <c r="AH32" s="530"/>
      <c r="AJ32" s="502"/>
      <c r="AK32" s="502"/>
      <c r="AL32" s="502"/>
    </row>
    <row r="33" spans="2:38" ht="15" customHeight="1" x14ac:dyDescent="0.2">
      <c r="C33" s="48"/>
      <c r="D33" s="398" t="s">
        <v>487</v>
      </c>
      <c r="U33" s="502"/>
      <c r="V33" s="397"/>
      <c r="W33" s="1077" t="str">
        <f>SimpleStep2!W33</f>
        <v>No</v>
      </c>
      <c r="X33" s="1077"/>
      <c r="AJ33" s="502"/>
      <c r="AK33" s="502"/>
      <c r="AL33" s="502"/>
    </row>
    <row r="34" spans="2:38" ht="15" customHeight="1" x14ac:dyDescent="0.2">
      <c r="C34" s="48"/>
      <c r="U34" s="502"/>
      <c r="V34" s="397"/>
      <c r="W34" s="1077"/>
      <c r="X34" s="1077"/>
      <c r="AJ34" s="502"/>
      <c r="AK34" s="502"/>
      <c r="AL34" s="502"/>
    </row>
    <row r="35" spans="2:38" ht="15" customHeight="1" x14ac:dyDescent="0.2">
      <c r="C35" s="486"/>
      <c r="D35" s="486"/>
      <c r="U35" s="502"/>
      <c r="V35" s="1074" t="s">
        <v>613</v>
      </c>
      <c r="W35" s="1074"/>
      <c r="X35" s="1074"/>
      <c r="AJ35" s="502"/>
      <c r="AK35" s="502"/>
      <c r="AL35" s="502"/>
    </row>
    <row r="36" spans="2:38" ht="15" customHeight="1" x14ac:dyDescent="0.3">
      <c r="B36" s="89"/>
      <c r="C36" s="48"/>
      <c r="E36" s="55"/>
      <c r="G36" s="703"/>
      <c r="N36" s="703"/>
      <c r="R36" s="1"/>
      <c r="U36" s="502"/>
      <c r="V36" s="397"/>
      <c r="W36" s="60"/>
      <c r="X36" s="60"/>
      <c r="AJ36" s="502"/>
      <c r="AK36" s="502"/>
      <c r="AL36" s="504"/>
    </row>
    <row r="37" spans="2:38" ht="15" customHeight="1" x14ac:dyDescent="0.2">
      <c r="B37" s="89"/>
      <c r="C37" s="48"/>
      <c r="J37" s="10"/>
      <c r="K37" s="10"/>
      <c r="L37" s="10"/>
      <c r="P37" s="10"/>
      <c r="R37" s="10"/>
      <c r="S37" s="10"/>
      <c r="T37" s="10"/>
      <c r="V37" s="17" t="s">
        <v>581</v>
      </c>
      <c r="W37" s="60"/>
      <c r="X37" s="60"/>
      <c r="AJ37" s="502"/>
      <c r="AK37" s="502"/>
      <c r="AL37" s="502"/>
    </row>
    <row r="38" spans="2:38" ht="15" customHeight="1" x14ac:dyDescent="0.2">
      <c r="G38" s="10"/>
      <c r="H38" s="10"/>
      <c r="I38" s="10"/>
      <c r="J38" s="10"/>
      <c r="N38" s="10"/>
      <c r="O38" s="10"/>
      <c r="P38" s="10"/>
      <c r="R38" s="10"/>
      <c r="S38" s="10"/>
      <c r="T38" s="10"/>
      <c r="V38" s="17"/>
      <c r="W38" s="1077" t="str">
        <f>SimpleStep2!W38</f>
        <v>No</v>
      </c>
      <c r="X38" s="1077"/>
    </row>
    <row r="39" spans="2:38" ht="15" customHeight="1" x14ac:dyDescent="0.2">
      <c r="G39" s="10"/>
      <c r="H39" s="10"/>
      <c r="I39" s="10"/>
      <c r="J39" s="10"/>
      <c r="N39" s="10"/>
      <c r="O39" s="10"/>
      <c r="P39" s="10"/>
      <c r="R39" s="10"/>
      <c r="S39" s="10"/>
      <c r="T39" s="10"/>
      <c r="V39" s="17"/>
      <c r="W39" s="1077"/>
      <c r="X39" s="1077"/>
    </row>
    <row r="40" spans="2:38" ht="15" customHeight="1" x14ac:dyDescent="0.2">
      <c r="G40" s="10"/>
      <c r="H40" s="10"/>
      <c r="I40" s="10"/>
      <c r="J40" s="10"/>
      <c r="O40" s="794"/>
      <c r="V40" s="1074" t="s">
        <v>613</v>
      </c>
      <c r="W40" s="1074"/>
      <c r="X40" s="1074"/>
    </row>
    <row r="41" spans="2:38" ht="15" customHeight="1" x14ac:dyDescent="0.2">
      <c r="G41" s="10"/>
      <c r="H41" s="10"/>
      <c r="I41" s="10"/>
      <c r="J41" s="10"/>
      <c r="N41" s="794"/>
      <c r="O41" s="794"/>
      <c r="V41" s="397"/>
      <c r="W41" s="60"/>
      <c r="X41" s="60"/>
    </row>
    <row r="42" spans="2:38" ht="15" customHeight="1" x14ac:dyDescent="0.2">
      <c r="G42" s="10"/>
      <c r="H42" s="10"/>
      <c r="I42" s="10"/>
      <c r="J42" s="10"/>
      <c r="N42" s="794"/>
      <c r="O42" s="794"/>
      <c r="V42" s="17" t="s">
        <v>582</v>
      </c>
      <c r="W42" s="60"/>
      <c r="X42" s="60"/>
    </row>
    <row r="43" spans="2:38" ht="15" customHeight="1" x14ac:dyDescent="0.2">
      <c r="G43" s="10"/>
      <c r="H43" s="10"/>
      <c r="I43" s="10"/>
      <c r="J43" s="10"/>
      <c r="N43" s="794"/>
      <c r="O43" s="794"/>
      <c r="V43" s="17"/>
      <c r="W43" s="1077" t="str">
        <f>SimpleStep2!W43</f>
        <v>No</v>
      </c>
      <c r="X43" s="1077"/>
    </row>
    <row r="44" spans="2:38" ht="15" customHeight="1" x14ac:dyDescent="0.2">
      <c r="B44" s="89"/>
      <c r="C44" s="48"/>
      <c r="N44" s="794"/>
      <c r="O44" s="794"/>
      <c r="V44" s="17"/>
      <c r="W44" s="1077"/>
      <c r="X44" s="1077"/>
      <c r="AC44" s="534"/>
      <c r="AD44" s="534"/>
    </row>
    <row r="45" spans="2:38" ht="15" customHeight="1" x14ac:dyDescent="0.2">
      <c r="B45" s="89"/>
      <c r="C45" s="48"/>
      <c r="G45" s="703"/>
      <c r="J45" s="5"/>
      <c r="N45" s="704"/>
      <c r="O45" s="704"/>
      <c r="P45" s="704"/>
      <c r="Q45" s="704"/>
      <c r="R45" s="704"/>
      <c r="S45" s="704"/>
      <c r="T45" s="704"/>
      <c r="V45" s="1074" t="s">
        <v>613</v>
      </c>
      <c r="W45" s="1074"/>
      <c r="X45" s="1074"/>
      <c r="AC45" s="534"/>
      <c r="AD45" s="534"/>
    </row>
    <row r="46" spans="2:38" ht="15" customHeight="1" x14ac:dyDescent="0.2">
      <c r="B46" s="89"/>
      <c r="C46" s="48"/>
      <c r="J46" s="10"/>
      <c r="K46" s="10"/>
      <c r="L46" s="10"/>
      <c r="N46" s="704"/>
      <c r="O46" s="1076" t="s">
        <v>615</v>
      </c>
      <c r="P46" s="1076"/>
      <c r="Q46" s="1076"/>
      <c r="R46" s="1076"/>
      <c r="S46" s="1076"/>
      <c r="T46" s="1076"/>
      <c r="V46" s="397"/>
      <c r="W46" s="34"/>
      <c r="X46" s="34"/>
      <c r="AC46" s="535"/>
      <c r="AD46" s="535"/>
    </row>
    <row r="47" spans="2:38" ht="15" customHeight="1" x14ac:dyDescent="0.2">
      <c r="B47" s="89"/>
      <c r="C47" s="48"/>
      <c r="G47" s="10"/>
      <c r="H47" s="10"/>
      <c r="I47" s="10"/>
      <c r="J47" s="10"/>
      <c r="N47" s="704"/>
      <c r="O47" s="1076"/>
      <c r="P47" s="1076"/>
      <c r="Q47" s="1076"/>
      <c r="R47" s="1076"/>
      <c r="S47" s="1076"/>
      <c r="T47" s="1076"/>
      <c r="V47" s="17" t="s">
        <v>583</v>
      </c>
      <c r="W47" s="34"/>
      <c r="X47" s="34"/>
      <c r="Y47" s="535"/>
      <c r="Z47" s="535"/>
    </row>
    <row r="48" spans="2:38" ht="15" customHeight="1" x14ac:dyDescent="0.2">
      <c r="G48" s="10"/>
      <c r="H48" s="10"/>
      <c r="I48" s="10"/>
      <c r="J48" s="10"/>
      <c r="N48" s="704"/>
      <c r="O48" s="1076"/>
      <c r="P48" s="1076"/>
      <c r="Q48" s="1076"/>
      <c r="R48" s="1076"/>
      <c r="S48" s="1076"/>
      <c r="T48" s="1076"/>
      <c r="V48" s="17"/>
      <c r="W48" s="1077" t="str">
        <f>SimpleStep2!W48</f>
        <v>No</v>
      </c>
      <c r="X48" s="1077"/>
    </row>
    <row r="49" spans="7:36" ht="15" customHeight="1" x14ac:dyDescent="0.2">
      <c r="G49" s="10"/>
      <c r="H49" s="10"/>
      <c r="I49" s="10"/>
      <c r="J49" s="10"/>
      <c r="N49" s="704"/>
      <c r="O49" s="1076"/>
      <c r="P49" s="1076"/>
      <c r="Q49" s="1076"/>
      <c r="R49" s="1076"/>
      <c r="S49" s="1076"/>
      <c r="T49" s="1076"/>
      <c r="V49" s="17"/>
      <c r="W49" s="1077"/>
      <c r="X49" s="1077"/>
    </row>
    <row r="50" spans="7:36" ht="15" customHeight="1" x14ac:dyDescent="0.2">
      <c r="G50" s="10"/>
      <c r="H50" s="10"/>
      <c r="I50" s="10"/>
      <c r="J50" s="10"/>
      <c r="N50" s="704"/>
      <c r="O50" s="1076"/>
      <c r="P50" s="1076"/>
      <c r="Q50" s="1076"/>
      <c r="R50" s="1076"/>
      <c r="S50" s="1076"/>
      <c r="T50" s="1076"/>
      <c r="V50" s="1074" t="s">
        <v>613</v>
      </c>
      <c r="W50" s="1074"/>
      <c r="X50" s="1074"/>
    </row>
    <row r="51" spans="7:36" ht="15" customHeight="1" x14ac:dyDescent="0.2">
      <c r="G51" s="10"/>
      <c r="H51" s="10"/>
      <c r="I51" s="10"/>
      <c r="J51" s="10"/>
      <c r="N51" s="704"/>
      <c r="O51" s="704"/>
      <c r="P51" s="704"/>
      <c r="Q51" s="704"/>
      <c r="R51" s="704"/>
      <c r="S51" s="704"/>
      <c r="T51" s="704"/>
    </row>
    <row r="52" spans="7:36" ht="15" customHeight="1" x14ac:dyDescent="0.2">
      <c r="G52" s="10"/>
      <c r="H52" s="10"/>
      <c r="I52" s="10"/>
      <c r="J52" s="10"/>
      <c r="N52" s="704"/>
      <c r="O52" s="704"/>
      <c r="P52" s="704"/>
      <c r="Q52" s="704"/>
      <c r="R52" s="704"/>
      <c r="S52" s="704"/>
      <c r="T52" s="704"/>
    </row>
    <row r="53" spans="7:36" ht="15" customHeight="1" x14ac:dyDescent="0.2">
      <c r="G53" s="10"/>
      <c r="H53" s="10"/>
      <c r="I53" s="10"/>
      <c r="J53" s="10"/>
      <c r="N53" s="704"/>
      <c r="O53" s="704"/>
      <c r="P53" s="704"/>
      <c r="Q53" s="704"/>
      <c r="R53" s="704"/>
      <c r="S53" s="704"/>
      <c r="T53" s="704"/>
    </row>
    <row r="54" spans="7:36" ht="15" customHeight="1" x14ac:dyDescent="0.2">
      <c r="G54" s="10"/>
      <c r="H54" s="10"/>
      <c r="I54" s="10"/>
      <c r="J54" s="10"/>
      <c r="N54" s="704"/>
      <c r="O54" s="704"/>
      <c r="P54" s="704"/>
      <c r="Q54" s="704"/>
      <c r="R54" s="704"/>
      <c r="S54" s="704"/>
      <c r="T54" s="704"/>
    </row>
    <row r="55" spans="7:36" ht="15" customHeight="1" x14ac:dyDescent="0.2">
      <c r="G55" s="10"/>
      <c r="H55" s="10"/>
      <c r="I55" s="10"/>
      <c r="J55" s="10"/>
      <c r="N55" s="704"/>
      <c r="O55" s="704"/>
      <c r="P55" s="704"/>
      <c r="Q55" s="704"/>
      <c r="R55" s="704"/>
      <c r="S55" s="704"/>
      <c r="T55" s="704"/>
    </row>
    <row r="56" spans="7:36" ht="15" customHeight="1" x14ac:dyDescent="0.2">
      <c r="G56" s="10"/>
      <c r="H56" s="10"/>
      <c r="I56" s="10"/>
      <c r="J56" s="10"/>
      <c r="N56" s="704"/>
      <c r="O56" s="704"/>
      <c r="P56" s="704"/>
      <c r="Q56" s="704"/>
      <c r="R56" s="704"/>
      <c r="S56" s="704"/>
      <c r="T56" s="704"/>
    </row>
    <row r="57" spans="7:36" ht="15" customHeight="1" x14ac:dyDescent="0.2">
      <c r="G57" s="10"/>
      <c r="H57" s="10"/>
      <c r="I57" s="10"/>
      <c r="J57" s="10"/>
      <c r="N57" s="704"/>
      <c r="O57" s="704"/>
      <c r="P57" s="704"/>
      <c r="Q57" s="704"/>
      <c r="R57" s="704"/>
      <c r="S57" s="704"/>
      <c r="T57" s="704"/>
    </row>
    <row r="58" spans="7:36" ht="15" customHeight="1" x14ac:dyDescent="0.2">
      <c r="G58" s="10"/>
      <c r="H58" s="10"/>
      <c r="I58" s="10"/>
      <c r="J58" s="10"/>
      <c r="N58" s="704"/>
      <c r="O58" s="704"/>
      <c r="P58" s="704"/>
      <c r="Q58" s="704"/>
      <c r="R58" s="704"/>
      <c r="S58" s="704"/>
      <c r="T58" s="704"/>
    </row>
    <row r="59" spans="7:36" ht="15" customHeight="1" x14ac:dyDescent="0.2">
      <c r="G59" s="10"/>
      <c r="H59" s="10"/>
      <c r="I59" s="10"/>
      <c r="J59" s="10"/>
      <c r="N59" s="704"/>
      <c r="O59" s="704"/>
      <c r="P59" s="704"/>
      <c r="Q59" s="704"/>
      <c r="R59" s="704"/>
      <c r="S59" s="704"/>
      <c r="T59" s="704"/>
    </row>
    <row r="60" spans="7:36" ht="15" customHeight="1" x14ac:dyDescent="0.2">
      <c r="G60" s="10"/>
      <c r="H60" s="10"/>
      <c r="I60" s="10"/>
      <c r="J60" s="10"/>
      <c r="N60" s="704"/>
      <c r="O60" s="704"/>
      <c r="P60" s="704"/>
      <c r="Q60" s="704"/>
      <c r="R60" s="704"/>
      <c r="S60" s="704"/>
      <c r="T60" s="704"/>
    </row>
    <row r="61" spans="7:36" ht="15" customHeight="1" x14ac:dyDescent="0.2">
      <c r="G61" s="10"/>
      <c r="H61" s="10"/>
      <c r="I61" s="10"/>
      <c r="J61" s="10"/>
      <c r="N61" s="704"/>
      <c r="O61" s="704"/>
      <c r="P61" s="704"/>
      <c r="Q61" s="704"/>
      <c r="R61" s="704"/>
      <c r="S61" s="704"/>
      <c r="T61" s="704"/>
    </row>
    <row r="62" spans="7:36" ht="15" customHeight="1" x14ac:dyDescent="0.2">
      <c r="G62" s="10"/>
      <c r="H62" s="10"/>
      <c r="I62" s="10"/>
      <c r="J62" s="10"/>
      <c r="N62" s="704"/>
      <c r="O62" s="704"/>
      <c r="P62" s="704"/>
      <c r="Q62" s="704"/>
      <c r="R62" s="704"/>
      <c r="S62" s="704"/>
      <c r="T62" s="704"/>
    </row>
    <row r="63" spans="7:36" ht="15" customHeight="1" x14ac:dyDescent="0.2">
      <c r="G63" s="10"/>
      <c r="H63" s="10"/>
      <c r="I63" s="10"/>
      <c r="J63" s="10"/>
      <c r="N63" s="704"/>
      <c r="O63" s="704"/>
      <c r="P63" s="704"/>
      <c r="Q63" s="704"/>
      <c r="R63" s="704"/>
      <c r="S63" s="704"/>
      <c r="T63" s="704"/>
      <c r="V63" s="57"/>
      <c r="W63" s="57"/>
      <c r="X63" s="57"/>
      <c r="Y63" s="57"/>
      <c r="Z63" s="57"/>
      <c r="AA63" s="57"/>
      <c r="AB63" s="57"/>
      <c r="AC63" s="57"/>
      <c r="AD63" s="57"/>
      <c r="AE63" s="57"/>
      <c r="AF63" s="57"/>
      <c r="AG63" s="57"/>
      <c r="AH63" s="57"/>
      <c r="AI63" s="57"/>
      <c r="AJ63" s="57"/>
    </row>
    <row r="64" spans="7:36" ht="15" customHeight="1" x14ac:dyDescent="0.2">
      <c r="V64" s="58"/>
      <c r="W64" s="58"/>
      <c r="X64" s="58"/>
      <c r="Y64" s="58"/>
      <c r="Z64" s="58"/>
      <c r="AA64" s="58"/>
      <c r="AB64" s="58"/>
      <c r="AC64" s="58"/>
      <c r="AD64" s="58"/>
      <c r="AE64" s="58"/>
      <c r="AF64" s="58"/>
      <c r="AG64" s="58"/>
      <c r="AH64" s="58"/>
      <c r="AI64" s="58"/>
      <c r="AJ64" s="58"/>
    </row>
    <row r="65" spans="7:36" ht="15" customHeight="1" x14ac:dyDescent="0.2">
      <c r="V65" s="58"/>
      <c r="W65" s="58"/>
      <c r="X65" s="58"/>
      <c r="Y65" s="58"/>
      <c r="Z65" s="58"/>
      <c r="AA65" s="58"/>
      <c r="AB65" s="58"/>
      <c r="AC65" s="58"/>
      <c r="AD65" s="58"/>
      <c r="AE65" s="58"/>
      <c r="AF65" s="58"/>
      <c r="AG65" s="58"/>
      <c r="AH65" s="58"/>
      <c r="AI65" s="58"/>
      <c r="AJ65" s="58"/>
    </row>
    <row r="66" spans="7:36" ht="15" customHeight="1" x14ac:dyDescent="0.2">
      <c r="R66" s="1"/>
      <c r="S66" s="5"/>
      <c r="Y66" s="29"/>
      <c r="Z66" s="29"/>
      <c r="AA66" s="29"/>
      <c r="AB66" s="29"/>
      <c r="AC66" s="29"/>
      <c r="AD66" s="29"/>
      <c r="AE66" s="29"/>
      <c r="AF66" s="29"/>
      <c r="AG66" s="29"/>
      <c r="AH66" s="29"/>
      <c r="AI66" s="29"/>
      <c r="AJ66" s="29"/>
    </row>
    <row r="70" spans="7:36" ht="15" hidden="1" customHeight="1" x14ac:dyDescent="0.2">
      <c r="G70" s="338" t="s">
        <v>568</v>
      </c>
      <c r="H70" s="400"/>
      <c r="I70" s="308"/>
      <c r="J70" s="308"/>
      <c r="K70" s="308"/>
      <c r="L70" s="634" t="s">
        <v>549</v>
      </c>
      <c r="M70" s="636"/>
      <c r="N70" s="636"/>
      <c r="O70" s="636"/>
      <c r="P70" s="636"/>
      <c r="Q70" s="636"/>
      <c r="R70" s="636" t="s">
        <v>560</v>
      </c>
      <c r="S70" s="636" t="s">
        <v>560</v>
      </c>
      <c r="T70" s="636" t="s">
        <v>560</v>
      </c>
      <c r="U70" s="800" t="s">
        <v>608</v>
      </c>
      <c r="V70" s="800"/>
      <c r="W70" s="800"/>
      <c r="X70" s="800"/>
      <c r="Z70" s="730" t="s">
        <v>607</v>
      </c>
      <c r="AA70" s="730"/>
      <c r="AB70" s="730"/>
      <c r="AC70" s="29"/>
      <c r="AD70" s="29"/>
      <c r="AE70" s="29"/>
      <c r="AF70" s="29"/>
      <c r="AG70" s="29"/>
      <c r="AH70" s="29"/>
      <c r="AI70" s="29"/>
      <c r="AJ70" s="29"/>
    </row>
    <row r="71" spans="7:36" ht="15" hidden="1" customHeight="1" x14ac:dyDescent="0.2">
      <c r="G71" s="60"/>
      <c r="H71" s="508"/>
      <c r="I71" s="508"/>
      <c r="J71" s="60"/>
      <c r="K71" s="60"/>
      <c r="L71" s="415"/>
      <c r="M71" s="601" t="s">
        <v>232</v>
      </c>
      <c r="N71" s="430" t="s">
        <v>488</v>
      </c>
      <c r="O71" s="430" t="s">
        <v>454</v>
      </c>
      <c r="P71" s="601" t="s">
        <v>188</v>
      </c>
      <c r="Q71" s="430" t="s">
        <v>20</v>
      </c>
      <c r="R71" s="430" t="s">
        <v>586</v>
      </c>
      <c r="S71" s="430" t="s">
        <v>587</v>
      </c>
      <c r="T71" s="602" t="s">
        <v>588</v>
      </c>
      <c r="U71" s="793"/>
      <c r="V71" s="60"/>
      <c r="W71" s="60"/>
      <c r="X71" s="790"/>
      <c r="Z71" s="430" t="s">
        <v>498</v>
      </c>
      <c r="AA71" s="430" t="s">
        <v>497</v>
      </c>
      <c r="AB71" s="430" t="s">
        <v>499</v>
      </c>
      <c r="AC71" s="10"/>
      <c r="AD71" s="10"/>
      <c r="AE71" s="10"/>
      <c r="AF71" s="10"/>
      <c r="AG71" s="10"/>
      <c r="AH71" s="10"/>
      <c r="AI71" s="10"/>
      <c r="AJ71" s="10"/>
    </row>
    <row r="72" spans="7:36" ht="15" hidden="1" customHeight="1" thickBot="1" x14ac:dyDescent="0.25">
      <c r="G72" s="60"/>
      <c r="H72" s="60"/>
      <c r="I72" s="60"/>
      <c r="J72" s="60"/>
      <c r="K72" s="60"/>
      <c r="L72" s="415"/>
      <c r="M72" s="417"/>
      <c r="N72" s="417"/>
      <c r="O72" s="417"/>
      <c r="P72" s="417"/>
      <c r="Q72" s="417"/>
      <c r="R72" s="417"/>
      <c r="S72" s="60"/>
      <c r="T72" s="788"/>
      <c r="U72" s="711"/>
      <c r="V72" s="60"/>
      <c r="W72" s="60"/>
      <c r="X72" s="417"/>
      <c r="Z72" s="712"/>
      <c r="AA72" s="712"/>
      <c r="AB72" s="417"/>
      <c r="AC72" s="58"/>
      <c r="AD72" s="58"/>
      <c r="AE72" s="58"/>
      <c r="AF72" s="58"/>
      <c r="AG72" s="58"/>
      <c r="AH72" s="58"/>
      <c r="AI72" s="58"/>
      <c r="AJ72" s="58"/>
    </row>
    <row r="73" spans="7:36" ht="15" hidden="1" customHeight="1" thickBot="1" x14ac:dyDescent="0.25">
      <c r="G73" s="196" t="s">
        <v>491</v>
      </c>
      <c r="H73" s="60"/>
      <c r="I73" s="60"/>
      <c r="J73" s="60"/>
      <c r="K73" s="60"/>
      <c r="L73" s="431">
        <f>SUM(L74:L75)</f>
        <v>0</v>
      </c>
      <c r="M73" s="432">
        <f>SUM(M74:M75)</f>
        <v>0</v>
      </c>
      <c r="N73" s="432">
        <f>SUM(N74:N75)</f>
        <v>0</v>
      </c>
      <c r="O73" s="432">
        <f>IF($W$23="Yes",SimpleH!$P$11,N73)</f>
        <v>0</v>
      </c>
      <c r="P73" s="432">
        <f>O73</f>
        <v>0</v>
      </c>
      <c r="Q73" s="432">
        <f>P73</f>
        <v>0</v>
      </c>
      <c r="R73" s="787">
        <f>IF($W$38="Yes",Q73+(-IF(SimpleBA!$I$15="Natural gas",1*SimpleBA!$K$11,IF(SimpleBA!$I$15="Gas/DH mix",AB73*SimpleBA!$K$11,0)))+(IF(SimpleBA!$O$15="Natural gas",1*SimpleBA!$Q$11,IF(SimpleBA!$O$15="Gas/DH mix",AB73*SimpleBA!$Q$11,0))),Q73)</f>
        <v>0</v>
      </c>
      <c r="S73" s="787">
        <f>IF($W$43="Yes",R73+(-IF(SimpleBB!$I$15="Natural gas",1*SimpleBB!$K$11,IF(SimpleBB!$I$15="Gas/DH mix",AB73*SimpleBB!$K$11,0)))+(IF(SimpleBB!$O$15="Natural gas",1*SimpleBB!$Q$11,IF(SimpleBB!$O$15="Gas/DH mix",AB73*SimpleBB!$Q$11,0))),R73)</f>
        <v>0</v>
      </c>
      <c r="T73" s="787">
        <f>IF($W$48="Yes",S73+(-IF(SimpleBC!$I$15="Natural gas",1*SimpleBC!$K$11,IF(SimpleBC!$I$15="Gas/DH mix",AB73*SimpleBC!$K$11,0)))+(IF(SimpleBC!$O$15="Natural gas",1*SimpleBC!$Q$11,IF(SimpleBC!$O$15="Gas/DH mix",AB73*SimpleBC!$Q$11,0))),S73)</f>
        <v>0</v>
      </c>
      <c r="U73" s="791"/>
      <c r="V73" s="60"/>
      <c r="W73" s="60"/>
      <c r="X73" s="791">
        <f>T73</f>
        <v>0</v>
      </c>
      <c r="Z73" s="409">
        <f>-IF(SimpleBA!$I$15="Natural gas",1*SimpleBA!$K$11,IF(SimpleBA!$I$15="Gas/DH mix",AB73*SimpleBA!$K$11,0))</f>
        <v>0</v>
      </c>
      <c r="AA73" s="409">
        <f>IF(SimpleBA!$O$15="Natural gas",1*SimpleBA!$Q$11,IF(SimpleBA!$O$15="Gas/DH mix",AB73*SimpleBA!$Q$11,0))</f>
        <v>0</v>
      </c>
      <c r="AB73" s="713">
        <f>L73/(L73+L76)</f>
        <v>0</v>
      </c>
      <c r="AC73" s="10"/>
      <c r="AD73" s="10"/>
      <c r="AE73" s="10"/>
      <c r="AF73" s="10"/>
      <c r="AG73" s="10"/>
      <c r="AH73" s="10"/>
      <c r="AI73" s="10"/>
      <c r="AJ73" s="10"/>
    </row>
    <row r="74" spans="7:36" ht="15" hidden="1" customHeight="1" x14ac:dyDescent="0.2">
      <c r="G74" s="60"/>
      <c r="H74" s="14" t="s">
        <v>359</v>
      </c>
      <c r="I74" s="508"/>
      <c r="J74" s="60"/>
      <c r="K74" s="60"/>
      <c r="L74" s="414">
        <f>Step1!$K$24*Step1!$K$35</f>
        <v>0</v>
      </c>
      <c r="M74" s="410">
        <f>IF($W$13="Yes",SimpleF!$P$11*(L74/(L74+L77+L81)),L74)</f>
        <v>0</v>
      </c>
      <c r="N74" s="410">
        <f>IF($W$18="Yes",M74-((SimpleV!$J$11-SimpleV!$P$11)*(L74/(L74+L77+L81))),M74)</f>
        <v>0</v>
      </c>
      <c r="O74" s="411"/>
      <c r="P74" s="411"/>
      <c r="Q74" s="411"/>
      <c r="R74" s="429"/>
      <c r="S74" s="60"/>
      <c r="T74" s="60"/>
      <c r="U74" s="711"/>
      <c r="V74" s="60"/>
      <c r="W74" s="60"/>
      <c r="X74" s="792"/>
      <c r="Z74" s="409"/>
      <c r="AA74" s="409"/>
      <c r="AB74" s="714"/>
      <c r="AC74" s="67"/>
      <c r="AD74" s="67"/>
      <c r="AE74" s="67"/>
      <c r="AF74" s="67"/>
      <c r="AG74" s="67"/>
      <c r="AH74" s="67"/>
      <c r="AI74" s="67"/>
      <c r="AJ74" s="67"/>
    </row>
    <row r="75" spans="7:36" ht="15" hidden="1" customHeight="1" thickBot="1" x14ac:dyDescent="0.25">
      <c r="G75" s="60"/>
      <c r="H75" s="14" t="s">
        <v>360</v>
      </c>
      <c r="I75" s="508"/>
      <c r="J75" s="60"/>
      <c r="K75" s="60"/>
      <c r="L75" s="414">
        <f>Step1!$K$24*Step1!K36</f>
        <v>0</v>
      </c>
      <c r="M75" s="410">
        <f>L75</f>
        <v>0</v>
      </c>
      <c r="N75" s="410">
        <f>M75</f>
        <v>0</v>
      </c>
      <c r="O75" s="410"/>
      <c r="P75" s="410"/>
      <c r="Q75" s="411"/>
      <c r="R75" s="429"/>
      <c r="S75" s="60"/>
      <c r="T75" s="60"/>
      <c r="U75" s="711"/>
      <c r="V75" s="60"/>
      <c r="W75" s="60"/>
      <c r="X75" s="792"/>
      <c r="Z75" s="409"/>
      <c r="AA75" s="409"/>
      <c r="AB75" s="714"/>
      <c r="AC75" s="67"/>
      <c r="AD75" s="67"/>
      <c r="AE75" s="67"/>
      <c r="AF75" s="67"/>
      <c r="AG75" s="67"/>
      <c r="AH75" s="67"/>
      <c r="AI75" s="67"/>
      <c r="AJ75" s="67"/>
    </row>
    <row r="76" spans="7:36" ht="15" hidden="1" customHeight="1" thickBot="1" x14ac:dyDescent="0.25">
      <c r="G76" s="196" t="s">
        <v>492</v>
      </c>
      <c r="H76" s="60"/>
      <c r="I76" s="60"/>
      <c r="J76" s="60"/>
      <c r="K76" s="60"/>
      <c r="L76" s="431">
        <f>SUM(L77:L78)</f>
        <v>1554790.0000000002</v>
      </c>
      <c r="M76" s="432">
        <f>SUM(M77:M78)</f>
        <v>1554790.0000000002</v>
      </c>
      <c r="N76" s="432">
        <f>SUM(N77:N78)</f>
        <v>1554790.0000000002</v>
      </c>
      <c r="O76" s="432">
        <f>IF($W$23="Yes",N76+SimpleH!P14,N76)</f>
        <v>1554790.0000000002</v>
      </c>
      <c r="P76" s="432">
        <f>O76</f>
        <v>1554790.0000000002</v>
      </c>
      <c r="Q76" s="432">
        <f>P76</f>
        <v>1554790.0000000002</v>
      </c>
      <c r="R76" s="432">
        <f>IF($W$38="Yes",Q76+(-IF(SimpleBA!$I$15="District heating",1*SimpleBA!$K$11,IF(SimpleBA!$I$15="Gas/DH mix",AB76*SimpleBA!$K$11,0)))+(IF(SimpleBA!$O$15="District heating",1*SimpleBA!$Q$11,IF(SimpleBA!$O$15="Gas/DH mix",AB76*SimpleBA!$Q$11,0))),Q76)</f>
        <v>1554790.0000000002</v>
      </c>
      <c r="S76" s="432">
        <f>IF($W$43="Yes",R76+(-IF(SimpleBB!$I$15="District heating",1*SimpleBB!$K$11,IF(SimpleBB!$I$15="Gas/DH mix",AB76*SimpleBB!$K$11,0)))+(IF(SimpleBB!$O$15="District heating",1*SimpleBB!$Q$11,IF(SimpleBB!$O$15="Gas/DH mix",AB76*SimpleBB!$Q$11,0))),R76)</f>
        <v>1554790.0000000002</v>
      </c>
      <c r="T76" s="432">
        <f>IF($W$48="Yes",S76+(-IF(SimpleBC!$I$15="District heating",1*SimpleBC!$K$11,IF(SimpleBC!$I$15="Gas/DH mix",AB76*SimpleBC!$K$11,0)))+(IF(SimpleBC!$O$15="District heating",1*SimpleBC!$Q$11,IF(SimpleBC!$O$15="Gas/DH mix",AB76*SimpleBC!$Q$11,0))),S76)</f>
        <v>1554790.0000000002</v>
      </c>
      <c r="U76" s="791"/>
      <c r="V76" s="60"/>
      <c r="W76" s="60"/>
      <c r="X76" s="791">
        <f>T76</f>
        <v>1554790.0000000002</v>
      </c>
      <c r="Z76" s="409">
        <f>-IF(SimpleBA!$I$15="District heating",1*SimpleBA!$K$11,IF(SimpleBA!$I$15="Gas/DH mix",AB76*SimpleBA!$K$11,0))</f>
        <v>0</v>
      </c>
      <c r="AA76" s="409">
        <f>IF(SimpleBA!$O$15="District heating",1*SimpleBA!$Q$11,IF(SimpleBA!$O$15="Gas/DH mix",AB76*SimpleBA!$Q$11,0))</f>
        <v>0</v>
      </c>
      <c r="AB76" s="713">
        <f>L76/(L76+L73)</f>
        <v>1</v>
      </c>
    </row>
    <row r="77" spans="7:36" ht="15" hidden="1" customHeight="1" x14ac:dyDescent="0.2">
      <c r="G77" s="60"/>
      <c r="H77" s="14" t="s">
        <v>361</v>
      </c>
      <c r="I77" s="508"/>
      <c r="J77" s="60"/>
      <c r="K77" s="60"/>
      <c r="L77" s="414">
        <f>Step1!$K$24*Step1!$K$37</f>
        <v>1243832.0000000002</v>
      </c>
      <c r="M77" s="410">
        <f>IF($W$13="Yes",SimpleF!$P$11*(L77/(L74+L77+L81)),L77)</f>
        <v>1243832.0000000002</v>
      </c>
      <c r="N77" s="410">
        <f>IF($W$18="Yes",M77-((SimpleV!$J$11-SimpleV!$P$11)*(L77/(L74+L77+L81))),M77)</f>
        <v>1243832.0000000002</v>
      </c>
      <c r="O77" s="411"/>
      <c r="P77" s="410"/>
      <c r="Q77" s="411"/>
      <c r="R77" s="429"/>
      <c r="S77" s="60"/>
      <c r="T77" s="60"/>
      <c r="U77" s="711"/>
      <c r="V77" s="60"/>
      <c r="W77" s="60"/>
      <c r="X77" s="792"/>
      <c r="Z77" s="409"/>
      <c r="AA77" s="409"/>
      <c r="AB77" s="429"/>
    </row>
    <row r="78" spans="7:36" ht="15" hidden="1" customHeight="1" thickBot="1" x14ac:dyDescent="0.25">
      <c r="G78" s="60"/>
      <c r="H78" s="14" t="s">
        <v>362</v>
      </c>
      <c r="I78" s="60"/>
      <c r="J78" s="60"/>
      <c r="K78" s="60"/>
      <c r="L78" s="414">
        <f>Step1!$K$24*Step1!$K$38</f>
        <v>310958.00000000006</v>
      </c>
      <c r="M78" s="410">
        <f>L78</f>
        <v>310958.00000000006</v>
      </c>
      <c r="N78" s="410">
        <f>L78</f>
        <v>310958.00000000006</v>
      </c>
      <c r="O78" s="410"/>
      <c r="P78" s="409"/>
      <c r="Q78" s="411"/>
      <c r="R78" s="429"/>
      <c r="S78" s="60"/>
      <c r="T78" s="60"/>
      <c r="U78" s="711"/>
      <c r="V78" s="60"/>
      <c r="W78" s="60"/>
      <c r="X78" s="792"/>
      <c r="Z78" s="409"/>
      <c r="AA78" s="409"/>
      <c r="AB78" s="429"/>
    </row>
    <row r="79" spans="7:36" ht="15" hidden="1" customHeight="1" thickBot="1" x14ac:dyDescent="0.25">
      <c r="G79" s="196" t="s">
        <v>343</v>
      </c>
      <c r="H79" s="60"/>
      <c r="I79" s="60"/>
      <c r="J79" s="60"/>
      <c r="K79" s="60"/>
      <c r="L79" s="431">
        <f t="shared" ref="L79:Q79" si="0">L80+L83</f>
        <v>1264581</v>
      </c>
      <c r="M79" s="432">
        <f t="shared" si="0"/>
        <v>1264581</v>
      </c>
      <c r="N79" s="432">
        <f t="shared" si="0"/>
        <v>1264581</v>
      </c>
      <c r="O79" s="432">
        <f t="shared" si="0"/>
        <v>1264581</v>
      </c>
      <c r="P79" s="432">
        <f t="shared" si="0"/>
        <v>1264581</v>
      </c>
      <c r="Q79" s="432">
        <f t="shared" si="0"/>
        <v>1264581</v>
      </c>
      <c r="R79" s="789">
        <f>IF($W$38="Yes",Q79+(-IF(SimpleBA!$I$15="Grid electricity",1*SimpleBA!$K$11,0))+(IF(SimpleBA!$O$15="Grid electricity",1*SimpleBA!$Q$11,0)),Q79)</f>
        <v>1264581</v>
      </c>
      <c r="S79" s="789">
        <f>IF($W$43="Yes",R79+(-IF(SimpleBB!$I$15="Grid electricity",1*SimpleBB!$K$11,0))+(IF(SimpleBB!$O$15="Grid electricity",1*SimpleBB!$Q$11,0)),R79)</f>
        <v>1264581</v>
      </c>
      <c r="T79" s="789">
        <f>IF($W$48="Yes",S79+(-IF(SimpleBC!$I$15="Grid electricity",1*SimpleBC!$K$11,0))+(IF(SimpleBC!$O$15="Grid electricity",1*SimpleBC!$Q$11,0)),S79)</f>
        <v>1264581</v>
      </c>
      <c r="U79" s="791"/>
      <c r="V79" s="60"/>
      <c r="W79" s="60"/>
      <c r="X79" s="791">
        <f>T79</f>
        <v>1264581</v>
      </c>
      <c r="Z79" s="409">
        <f>-IF(SimpleBA!$I$15="Grid electricity",1*SimpleBA!$K$11,0)</f>
        <v>0</v>
      </c>
      <c r="AA79" s="409">
        <f>IF(SimpleBA!$O$15="Grid electricity",1*SimpleBA!$Q$11,0)</f>
        <v>0</v>
      </c>
      <c r="AB79" s="429"/>
    </row>
    <row r="80" spans="7:36" ht="15" hidden="1" customHeight="1" x14ac:dyDescent="0.2">
      <c r="G80" s="60"/>
      <c r="H80" s="552" t="s">
        <v>455</v>
      </c>
      <c r="I80" s="508"/>
      <c r="J80" s="673"/>
      <c r="K80" s="508"/>
      <c r="L80" s="413">
        <f>SUM(L81:L82)</f>
        <v>0</v>
      </c>
      <c r="M80" s="409">
        <f>SUM(M81:M82)</f>
        <v>0</v>
      </c>
      <c r="N80" s="409">
        <f>SUM(N81:N82)</f>
        <v>0</v>
      </c>
      <c r="O80" s="409">
        <f>IF($W$23="Yes",N80+SimpleH!$P$15,N80)</f>
        <v>0</v>
      </c>
      <c r="P80" s="409">
        <f>O80</f>
        <v>0</v>
      </c>
      <c r="Q80" s="409">
        <f>P80</f>
        <v>0</v>
      </c>
      <c r="R80" s="429"/>
      <c r="S80" s="60"/>
      <c r="T80" s="60"/>
      <c r="U80" s="711"/>
      <c r="V80" s="60"/>
      <c r="W80" s="60"/>
      <c r="X80" s="417"/>
      <c r="Z80" s="60"/>
      <c r="AA80" s="60"/>
      <c r="AB80" s="60"/>
    </row>
    <row r="81" spans="7:28" ht="15" hidden="1" customHeight="1" x14ac:dyDescent="0.2">
      <c r="G81" s="60"/>
      <c r="H81" s="508"/>
      <c r="I81" s="18" t="s">
        <v>363</v>
      </c>
      <c r="J81" s="673"/>
      <c r="K81" s="508"/>
      <c r="L81" s="414">
        <f>Step1!$K$24*Step1!$K$39</f>
        <v>0</v>
      </c>
      <c r="M81" s="410">
        <f>IF($W$13="Yes",SimpleF!$P$11*(L81/(L74+L77+L81)),L81)</f>
        <v>0</v>
      </c>
      <c r="N81" s="410">
        <f>IF($W$18="Yes",M81-((SimpleV!$J$11-SimpleV!$P$11)*(L81/($L$74+$L$77+$L$81))),M81)</f>
        <v>0</v>
      </c>
      <c r="O81" s="411"/>
      <c r="P81" s="411"/>
      <c r="Q81" s="411"/>
      <c r="R81" s="429"/>
      <c r="S81" s="60"/>
      <c r="T81" s="60"/>
      <c r="U81" s="711"/>
      <c r="V81" s="60"/>
      <c r="W81" s="60"/>
      <c r="X81" s="417"/>
      <c r="Z81" s="60"/>
      <c r="AA81" s="60"/>
      <c r="AB81" s="60"/>
    </row>
    <row r="82" spans="7:28" ht="15" hidden="1" customHeight="1" x14ac:dyDescent="0.2">
      <c r="G82" s="60"/>
      <c r="H82" s="508"/>
      <c r="I82" s="18" t="s">
        <v>364</v>
      </c>
      <c r="J82" s="673"/>
      <c r="K82" s="508"/>
      <c r="L82" s="414">
        <f>Step1!$K$24*Step1!$K$40</f>
        <v>0</v>
      </c>
      <c r="M82" s="410">
        <f>L82</f>
        <v>0</v>
      </c>
      <c r="N82" s="410">
        <f>M82</f>
        <v>0</v>
      </c>
      <c r="O82" s="410"/>
      <c r="P82" s="411"/>
      <c r="Q82" s="411"/>
      <c r="R82" s="429"/>
      <c r="S82" s="60"/>
      <c r="T82" s="60"/>
      <c r="U82" s="711"/>
      <c r="V82" s="60"/>
      <c r="W82" s="60"/>
      <c r="X82" s="417"/>
      <c r="Z82" s="60"/>
      <c r="AA82" s="60"/>
      <c r="AB82" s="60"/>
    </row>
    <row r="83" spans="7:28" ht="15" hidden="1" customHeight="1" x14ac:dyDescent="0.2">
      <c r="G83" s="60"/>
      <c r="H83" s="552" t="s">
        <v>456</v>
      </c>
      <c r="I83" s="18"/>
      <c r="J83" s="673"/>
      <c r="K83" s="508"/>
      <c r="L83" s="413">
        <f t="shared" ref="L83:Q83" si="1">SUM(L84:L87)</f>
        <v>1264581</v>
      </c>
      <c r="M83" s="409">
        <f t="shared" si="1"/>
        <v>1264581</v>
      </c>
      <c r="N83" s="409">
        <f t="shared" si="1"/>
        <v>1264581</v>
      </c>
      <c r="O83" s="409">
        <f t="shared" si="1"/>
        <v>1264581</v>
      </c>
      <c r="P83" s="409">
        <f t="shared" si="1"/>
        <v>1264581</v>
      </c>
      <c r="Q83" s="409">
        <f t="shared" si="1"/>
        <v>1264581</v>
      </c>
      <c r="R83" s="429"/>
      <c r="S83" s="60"/>
      <c r="T83" s="60"/>
      <c r="U83" s="711"/>
      <c r="V83" s="60"/>
      <c r="W83" s="60"/>
      <c r="X83" s="417"/>
      <c r="Z83" s="60"/>
      <c r="AA83" s="60"/>
      <c r="AB83" s="60"/>
    </row>
    <row r="84" spans="7:28" ht="15" hidden="1" customHeight="1" x14ac:dyDescent="0.2">
      <c r="G84" s="60"/>
      <c r="H84" s="508"/>
      <c r="I84" s="18" t="s">
        <v>188</v>
      </c>
      <c r="J84" s="673"/>
      <c r="K84" s="508"/>
      <c r="L84" s="414">
        <f>Step1!$K$24*Step1!$K$41</f>
        <v>316145.25</v>
      </c>
      <c r="M84" s="410">
        <f t="shared" ref="M84:O85" si="2">L84</f>
        <v>316145.25</v>
      </c>
      <c r="N84" s="410">
        <f t="shared" si="2"/>
        <v>316145.25</v>
      </c>
      <c r="O84" s="410">
        <f t="shared" si="2"/>
        <v>316145.25</v>
      </c>
      <c r="P84" s="410">
        <f>IF($W$28="Yes",O84-(SimpleC!$J$11-SimpleC!$P$11),O84)</f>
        <v>316145.25</v>
      </c>
      <c r="Q84" s="410">
        <f>P84</f>
        <v>316145.25</v>
      </c>
      <c r="R84" s="429"/>
      <c r="S84" s="60"/>
      <c r="T84" s="60"/>
      <c r="U84" s="711"/>
      <c r="V84" s="60"/>
      <c r="W84" s="60"/>
      <c r="X84" s="417"/>
      <c r="Z84" s="60"/>
      <c r="AA84" s="60"/>
      <c r="AB84" s="60"/>
    </row>
    <row r="85" spans="7:28" ht="15" hidden="1" customHeight="1" x14ac:dyDescent="0.2">
      <c r="G85" s="60"/>
      <c r="H85" s="508"/>
      <c r="I85" s="18" t="s">
        <v>20</v>
      </c>
      <c r="J85" s="673"/>
      <c r="K85" s="508"/>
      <c r="L85" s="414">
        <f>Step1!$K$24*Step1!$K$42</f>
        <v>316145.25</v>
      </c>
      <c r="M85" s="410">
        <f t="shared" si="2"/>
        <v>316145.25</v>
      </c>
      <c r="N85" s="410">
        <f t="shared" si="2"/>
        <v>316145.25</v>
      </c>
      <c r="O85" s="410">
        <f t="shared" si="2"/>
        <v>316145.25</v>
      </c>
      <c r="P85" s="410">
        <f>O85</f>
        <v>316145.25</v>
      </c>
      <c r="Q85" s="410">
        <f>IF($W$33="Yes",P85-(SimpleL!$J$11-SimpleL!$P$11),P85)</f>
        <v>316145.25</v>
      </c>
      <c r="R85" s="429"/>
      <c r="S85" s="60"/>
      <c r="T85" s="60"/>
      <c r="U85" s="711"/>
      <c r="V85" s="60"/>
      <c r="W85" s="60"/>
      <c r="X85" s="417"/>
      <c r="Z85" s="60"/>
      <c r="AA85" s="60"/>
      <c r="AB85" s="60"/>
    </row>
    <row r="86" spans="7:28" ht="15" hidden="1" customHeight="1" x14ac:dyDescent="0.2">
      <c r="G86" s="60"/>
      <c r="H86" s="508"/>
      <c r="I86" s="18" t="s">
        <v>433</v>
      </c>
      <c r="J86" s="673"/>
      <c r="K86" s="508"/>
      <c r="L86" s="414">
        <f>Step1!$K$24*Step1!$K$43</f>
        <v>316145.25</v>
      </c>
      <c r="M86" s="410">
        <f>L86</f>
        <v>316145.25</v>
      </c>
      <c r="N86" s="410">
        <f>IF($W$18="Yes",L86-(SimpleV!J29-SimpleV!P29),M86)</f>
        <v>316145.25</v>
      </c>
      <c r="O86" s="410">
        <f>IF($W$23="Yes",N86-(SimpleH!J34-SimpleH!P34),N86)</f>
        <v>316145.25</v>
      </c>
      <c r="P86" s="412">
        <f>IF($W$28="Yes",O86-((SimpleC!J29-SimpleC!P29)+(SimpleC!J33-SimpleC!P33)),O86)</f>
        <v>316145.25</v>
      </c>
      <c r="Q86" s="412">
        <f>IF($W$33="Yes",P86-(SimpleL!J53-SimpleL!P53),P86)</f>
        <v>316145.25</v>
      </c>
      <c r="R86" s="429"/>
      <c r="S86" s="60"/>
      <c r="T86" s="60"/>
      <c r="U86" s="711"/>
      <c r="V86" s="60"/>
      <c r="W86" s="60"/>
      <c r="X86" s="417"/>
      <c r="Z86" s="60"/>
      <c r="AA86" s="60"/>
      <c r="AB86" s="60"/>
    </row>
    <row r="87" spans="7:28" ht="15" hidden="1" customHeight="1" x14ac:dyDescent="0.2">
      <c r="G87" s="69"/>
      <c r="H87" s="508"/>
      <c r="I87" s="18" t="s">
        <v>366</v>
      </c>
      <c r="J87" s="673"/>
      <c r="K87" s="508"/>
      <c r="L87" s="414">
        <f>Step1!$K$24*Step1!$K$44</f>
        <v>316145.25</v>
      </c>
      <c r="M87" s="410">
        <f>L87</f>
        <v>316145.25</v>
      </c>
      <c r="N87" s="410">
        <f>M87</f>
        <v>316145.25</v>
      </c>
      <c r="O87" s="410">
        <f>N87</f>
        <v>316145.25</v>
      </c>
      <c r="P87" s="412">
        <f>O87</f>
        <v>316145.25</v>
      </c>
      <c r="Q87" s="412">
        <f>P87</f>
        <v>316145.25</v>
      </c>
      <c r="R87" s="429"/>
      <c r="S87" s="60"/>
      <c r="T87" s="60"/>
      <c r="U87" s="711"/>
      <c r="V87" s="60"/>
      <c r="W87" s="60"/>
      <c r="X87" s="417"/>
      <c r="Z87" s="60"/>
      <c r="AA87" s="60"/>
      <c r="AB87" s="60"/>
    </row>
    <row r="88" spans="7:28" ht="15" hidden="1" customHeight="1" x14ac:dyDescent="0.2"/>
    <row r="89" spans="7:28" ht="15" hidden="1" customHeight="1" x14ac:dyDescent="0.2"/>
    <row r="90" spans="7:28" ht="15" hidden="1" customHeight="1" x14ac:dyDescent="0.2">
      <c r="G90" s="338" t="s">
        <v>569</v>
      </c>
      <c r="H90" s="400"/>
      <c r="I90" s="308"/>
      <c r="J90" s="308"/>
      <c r="K90" s="308"/>
      <c r="L90" s="400" t="s">
        <v>549</v>
      </c>
      <c r="M90" s="636"/>
      <c r="N90" s="636"/>
      <c r="O90" s="636"/>
      <c r="P90" s="636"/>
      <c r="Q90" s="636"/>
      <c r="R90" s="636" t="s">
        <v>560</v>
      </c>
      <c r="S90" s="636" t="s">
        <v>560</v>
      </c>
      <c r="T90" s="636" t="s">
        <v>560</v>
      </c>
      <c r="U90" s="800" t="s">
        <v>609</v>
      </c>
      <c r="V90" s="308"/>
      <c r="W90" s="800"/>
      <c r="X90" s="800"/>
      <c r="Z90" s="730" t="s">
        <v>607</v>
      </c>
      <c r="AA90" s="730"/>
      <c r="AB90" s="730"/>
    </row>
    <row r="91" spans="7:28" ht="15" hidden="1" customHeight="1" x14ac:dyDescent="0.2">
      <c r="G91" s="60"/>
      <c r="H91" s="508"/>
      <c r="I91" s="508"/>
      <c r="J91" s="60"/>
      <c r="K91" s="60"/>
      <c r="L91" s="415"/>
      <c r="M91" s="601" t="s">
        <v>232</v>
      </c>
      <c r="N91" s="430" t="s">
        <v>488</v>
      </c>
      <c r="O91" s="430" t="s">
        <v>454</v>
      </c>
      <c r="P91" s="601" t="s">
        <v>188</v>
      </c>
      <c r="Q91" s="430" t="s">
        <v>20</v>
      </c>
      <c r="R91" s="430" t="s">
        <v>586</v>
      </c>
      <c r="S91" s="430" t="s">
        <v>587</v>
      </c>
      <c r="T91" s="602" t="s">
        <v>588</v>
      </c>
      <c r="U91" s="793"/>
      <c r="V91" s="60"/>
      <c r="W91" s="60"/>
      <c r="X91" s="790"/>
      <c r="Z91" s="430" t="s">
        <v>498</v>
      </c>
      <c r="AA91" s="430" t="s">
        <v>497</v>
      </c>
      <c r="AB91" s="430" t="s">
        <v>499</v>
      </c>
    </row>
    <row r="92" spans="7:28" ht="15" hidden="1" customHeight="1" thickBot="1" x14ac:dyDescent="0.25">
      <c r="G92" s="60"/>
      <c r="H92" s="60"/>
      <c r="I92" s="60"/>
      <c r="J92" s="60"/>
      <c r="K92" s="60"/>
      <c r="L92" s="415"/>
      <c r="M92" s="417"/>
      <c r="N92" s="417"/>
      <c r="O92" s="417"/>
      <c r="P92" s="417"/>
      <c r="Q92" s="417"/>
      <c r="R92" s="417"/>
      <c r="S92" s="60"/>
      <c r="T92" s="788"/>
      <c r="U92" s="711"/>
      <c r="V92" s="60"/>
      <c r="W92" s="60"/>
      <c r="X92" s="417"/>
      <c r="Z92" s="712"/>
      <c r="AA92" s="712"/>
      <c r="AB92" s="417"/>
    </row>
    <row r="93" spans="7:28" ht="15" hidden="1" customHeight="1" thickBot="1" x14ac:dyDescent="0.25">
      <c r="G93" s="196" t="s">
        <v>491</v>
      </c>
      <c r="H93" s="60"/>
      <c r="I93" s="60"/>
      <c r="J93" s="60"/>
      <c r="K93" s="60"/>
      <c r="L93" s="431">
        <f>SUM(L94:L95)</f>
        <v>0</v>
      </c>
      <c r="M93" s="432">
        <f>SUM(M94:M95)</f>
        <v>0</v>
      </c>
      <c r="N93" s="432">
        <f>SUM(N94:N95)</f>
        <v>0</v>
      </c>
      <c r="O93" s="432">
        <f>IF($W$23="Yes",SimpleH2!$AB$11,N93)</f>
        <v>0</v>
      </c>
      <c r="P93" s="432">
        <f>O93</f>
        <v>0</v>
      </c>
      <c r="Q93" s="432">
        <f>P93</f>
        <v>0</v>
      </c>
      <c r="R93" s="789">
        <f>IF($W$38="Yes",Q93+(-IF(SimpleBA!$I$15="Natural gas",1*SimpleBA!$K$11,IF(SimpleBA!$I$15="Gas/DH mix",AB93*SimpleBA!$K$11,0)))+(IF(SimpleBA!$O$33="Natural gas",1*SimpleBA!$Q$30,IF(SimpleBA!$O$33="Gas/DH mix",AB93*SimpleBA!$Q$30,0))),Q93)</f>
        <v>0</v>
      </c>
      <c r="S93" s="789">
        <f>IF($W$43="Yes",R93+(-IF(SimpleBB!$I$15="Natural gas",1*SimpleBB!$K$11,IF(SimpleBB!$I$15="Gas/DH mix",AB93*SimpleBB!$K$11,0)))+(IF(SimpleBB!$O$33="Natural gas",1*SimpleBB!$Q$30,IF(SimpleBB!$O$33="Gas/DH mix",AB93*SimpleBB!$Q$30,0))),R93)</f>
        <v>0</v>
      </c>
      <c r="T93" s="789">
        <f>IF($W$48="Yes",S93+(-IF(SimpleBC!$I$15="Natural gas",1*SimpleBC!$K$11,IF(SimpleBC!$I$15="Gas/DH mix",AB93*SimpleBC!$K$11,0)))+(IF(SimpleBC!$O$33="Natural gas",1*SimpleBC!$Q$30,IF(SimpleBC!$O$33="Gas/DH mix",AB93*SimpleBC!$Q$30,0))),S93)</f>
        <v>0</v>
      </c>
      <c r="U93" s="791"/>
      <c r="V93" s="60"/>
      <c r="W93" s="60"/>
      <c r="X93" s="791">
        <f>T93</f>
        <v>0</v>
      </c>
      <c r="Z93" s="409">
        <f>-IF(SimpleBA!$I$15="Natural gas",1*SimpleBA!$K$11,IF(SimpleBA!$I$15="Gas/DH mix",AB93*SimpleBA!$K$11,0))</f>
        <v>0</v>
      </c>
      <c r="AA93" s="409">
        <f>IF(SimpleBA!$O$15="Natural gas",1*SimpleBA!$Q$11,IF(SimpleBA!$O$15="Gas/DH mix",AB93*SimpleBA!$Q$11,0))</f>
        <v>0</v>
      </c>
      <c r="AB93" s="713">
        <f>L93/(L93+L96)</f>
        <v>0</v>
      </c>
    </row>
    <row r="94" spans="7:28" ht="15" hidden="1" customHeight="1" x14ac:dyDescent="0.2">
      <c r="G94" s="60"/>
      <c r="H94" s="14" t="s">
        <v>359</v>
      </c>
      <c r="I94" s="508"/>
      <c r="J94" s="60"/>
      <c r="K94" s="60"/>
      <c r="L94" s="414">
        <f>Step1!$K$24*Step1!$K$35</f>
        <v>0</v>
      </c>
      <c r="M94" s="410">
        <f>IF($W$13="Yes",SimpleF!$AB$11*(L94/(L94+L97+L101)),L94)</f>
        <v>0</v>
      </c>
      <c r="N94" s="410">
        <f>IF($W$18="Yes",M94-((SimpleV!$J$11-SimpleV!$AB$11)*(L94/(L94+L97+L101))),M94)</f>
        <v>0</v>
      </c>
      <c r="O94" s="411"/>
      <c r="P94" s="411"/>
      <c r="Q94" s="411"/>
      <c r="R94" s="429"/>
      <c r="S94" s="429"/>
      <c r="T94" s="429"/>
      <c r="U94" s="711"/>
      <c r="V94" s="60"/>
      <c r="W94" s="60"/>
      <c r="X94" s="792"/>
      <c r="Z94" s="409"/>
      <c r="AA94" s="409"/>
      <c r="AB94" s="714"/>
    </row>
    <row r="95" spans="7:28" ht="15" hidden="1" customHeight="1" thickBot="1" x14ac:dyDescent="0.25">
      <c r="G95" s="60"/>
      <c r="H95" s="14" t="s">
        <v>360</v>
      </c>
      <c r="I95" s="508"/>
      <c r="J95" s="60"/>
      <c r="K95" s="60"/>
      <c r="L95" s="414">
        <f>Step1!$K$24*Step1!$K$36</f>
        <v>0</v>
      </c>
      <c r="M95" s="410">
        <f>L95</f>
        <v>0</v>
      </c>
      <c r="N95" s="410">
        <f>M95</f>
        <v>0</v>
      </c>
      <c r="O95" s="410"/>
      <c r="P95" s="410"/>
      <c r="Q95" s="411"/>
      <c r="R95" s="429"/>
      <c r="S95" s="429"/>
      <c r="T95" s="429"/>
      <c r="U95" s="711"/>
      <c r="V95" s="60"/>
      <c r="W95" s="60"/>
      <c r="X95" s="792"/>
      <c r="Z95" s="409"/>
      <c r="AA95" s="409"/>
      <c r="AB95" s="714"/>
    </row>
    <row r="96" spans="7:28" ht="15" hidden="1" customHeight="1" thickBot="1" x14ac:dyDescent="0.25">
      <c r="G96" s="196" t="s">
        <v>492</v>
      </c>
      <c r="H96" s="60"/>
      <c r="I96" s="60"/>
      <c r="J96" s="60"/>
      <c r="K96" s="60"/>
      <c r="L96" s="431">
        <f>SUM(L97:L98)</f>
        <v>1554790.0000000002</v>
      </c>
      <c r="M96" s="432">
        <f>SUM(M97:M98)</f>
        <v>1554790.0000000002</v>
      </c>
      <c r="N96" s="432">
        <f>SUM(N97:N98)</f>
        <v>1554790.0000000002</v>
      </c>
      <c r="O96" s="432">
        <f>IF($W$23="Yes",N96+SimpleH2!$AC$14,N96)</f>
        <v>1554790.0000000002</v>
      </c>
      <c r="P96" s="432">
        <f>O96</f>
        <v>1554790.0000000002</v>
      </c>
      <c r="Q96" s="432">
        <f>P96</f>
        <v>1554790.0000000002</v>
      </c>
      <c r="R96" s="789">
        <f>IF($W$38="Yes",Q96+(-IF(SimpleBA!$I$15="District heating",1*SimpleBA!$K$11,IF(SimpleBA!$I$15="Gas/DH mix",AB96*SimpleBA!$K$11,0)))+(IF(SimpleBA!$O$33="District heating",1*SimpleBA!$Q$30,IF(SimpleBA!$O$33="Gas/DH mix",AB96*SimpleBA!$Q$30,0))),Q96)</f>
        <v>1554790.0000000002</v>
      </c>
      <c r="S96" s="789">
        <f>IF($W$43="Yes",R96+(-IF(SimpleBB!$I$15="District heating",1*SimpleBB!$K$11,IF(SimpleBB!$I$15="Gas/DH mix",AB96*SimpleBB!$K$11,0)))+(IF(SimpleBB!$O$33="District heating",1*SimpleBB!$Q$30,IF(SimpleBB!$O$33="Gas/DH mix",AB96*SimpleBB!$Q$30,0))),R96)</f>
        <v>1554790.0000000002</v>
      </c>
      <c r="T96" s="789">
        <f>IF($W$48="Yes",S96+(-IF(SimpleBC!$I$15="District heating",1*SimpleBC!$K$11,IF(SimpleBC!$I$15="Gas/DH mix",AB96*SimpleBC!$K$11,0)))+(IF(SimpleBC!$O$33="District heating",1*SimpleBC!$Q$30,IF(SimpleBC!$O$33="Gas/DH mix",AB96*SimpleBC!$Q$30,0))),S96)</f>
        <v>1554790.0000000002</v>
      </c>
      <c r="U96" s="791"/>
      <c r="V96" s="60"/>
      <c r="W96" s="60"/>
      <c r="X96" s="791">
        <f>T96</f>
        <v>1554790.0000000002</v>
      </c>
      <c r="Z96" s="409">
        <f>-IF(SimpleBA!$I$15="District heating",1*SimpleBA!$K$11,IF(SimpleBA!$I$15="Gas/DH mix",AB96*SimpleBA!$K$11,0))</f>
        <v>0</v>
      </c>
      <c r="AA96" s="409">
        <f>IF(SimpleBA!$O$15="District heating",1*SimpleBA!$Q$11,IF(SimpleBA!$O$15="Gas/DH mix",AB96*SimpleBA!$Q$11,0))</f>
        <v>0</v>
      </c>
      <c r="AB96" s="713">
        <f>L96/(L96+L93)</f>
        <v>1</v>
      </c>
    </row>
    <row r="97" spans="7:36" ht="15" hidden="1" customHeight="1" x14ac:dyDescent="0.2">
      <c r="G97" s="60"/>
      <c r="H97" s="14" t="s">
        <v>361</v>
      </c>
      <c r="I97" s="508"/>
      <c r="J97" s="60"/>
      <c r="K97" s="60"/>
      <c r="L97" s="414">
        <f>Step1!$K$24*Step1!$K$37</f>
        <v>1243832.0000000002</v>
      </c>
      <c r="M97" s="410">
        <f>IF($W$13="Yes",SimpleF!$AB$11*(L97/(L94+L97+L101)),L97)</f>
        <v>1243832.0000000002</v>
      </c>
      <c r="N97" s="410">
        <f>IF($W$18="Yes",M97-((SimpleV!$J$11-SimpleV!$P$11)*(L97/(L94+L97+L101))),M97)</f>
        <v>1243832.0000000002</v>
      </c>
      <c r="O97" s="411"/>
      <c r="P97" s="410"/>
      <c r="Q97" s="411"/>
      <c r="R97" s="429"/>
      <c r="S97" s="429"/>
      <c r="T97" s="429"/>
      <c r="U97" s="711"/>
      <c r="V97" s="60"/>
      <c r="W97" s="60"/>
      <c r="X97" s="792"/>
      <c r="Z97" s="409"/>
      <c r="AA97" s="409"/>
      <c r="AB97" s="429"/>
    </row>
    <row r="98" spans="7:36" ht="15" hidden="1" customHeight="1" thickBot="1" x14ac:dyDescent="0.25">
      <c r="G98" s="60"/>
      <c r="H98" s="14" t="s">
        <v>362</v>
      </c>
      <c r="I98" s="60"/>
      <c r="J98" s="60"/>
      <c r="K98" s="60"/>
      <c r="L98" s="414">
        <f>Step1!$K$24*Step1!$K$38</f>
        <v>310958.00000000006</v>
      </c>
      <c r="M98" s="410">
        <f>L98</f>
        <v>310958.00000000006</v>
      </c>
      <c r="N98" s="410">
        <f>L98</f>
        <v>310958.00000000006</v>
      </c>
      <c r="O98" s="410"/>
      <c r="P98" s="409"/>
      <c r="Q98" s="411"/>
      <c r="R98" s="429"/>
      <c r="S98" s="429"/>
      <c r="T98" s="429"/>
      <c r="U98" s="711"/>
      <c r="V98" s="60"/>
      <c r="W98" s="60"/>
      <c r="X98" s="792"/>
      <c r="Z98" s="409"/>
      <c r="AA98" s="409"/>
      <c r="AB98" s="429"/>
    </row>
    <row r="99" spans="7:36" ht="15" hidden="1" customHeight="1" thickBot="1" x14ac:dyDescent="0.25">
      <c r="G99" s="196" t="s">
        <v>343</v>
      </c>
      <c r="H99" s="60"/>
      <c r="I99" s="60"/>
      <c r="J99" s="60"/>
      <c r="K99" s="60"/>
      <c r="L99" s="431">
        <f t="shared" ref="L99:Q99" si="3">L100+L103</f>
        <v>1264581</v>
      </c>
      <c r="M99" s="432">
        <f t="shared" si="3"/>
        <v>1264581</v>
      </c>
      <c r="N99" s="432">
        <f t="shared" si="3"/>
        <v>1264581</v>
      </c>
      <c r="O99" s="432">
        <f t="shared" si="3"/>
        <v>1264581</v>
      </c>
      <c r="P99" s="432">
        <f t="shared" si="3"/>
        <v>1264581</v>
      </c>
      <c r="Q99" s="432">
        <f t="shared" si="3"/>
        <v>1264581</v>
      </c>
      <c r="R99" s="789">
        <f>IF($W$38="Yes",Q99+(-IF(SimpleBA!$I$15="Grid electricity",1*SimpleBA!$K$11,0))+(IF(SimpleBA!$O$33="Grid electricity",1*SimpleBA!$Q$30,0)),Q99)</f>
        <v>1264581</v>
      </c>
      <c r="S99" s="789">
        <f>IF($W$43="Yes",R99+(-IF(SimpleBB!$I$15="Grid electricity",1*SimpleBB!$K$11,0))+(IF(SimpleBB!$O$33="Grid electricity",1*SimpleBB!$Q$30,0)),R99)</f>
        <v>1264581</v>
      </c>
      <c r="T99" s="789">
        <f>IF($W$48="Yes",S99+(-IF(SimpleBC!$I$15="Grid electricity",1*SimpleBC!$K$11,0))+(IF(SimpleBC!$O$33="Grid electricity",1*SimpleBC!$Q$30,0)),S99)</f>
        <v>1264581</v>
      </c>
      <c r="U99" s="791"/>
      <c r="V99" s="60"/>
      <c r="W99" s="60"/>
      <c r="X99" s="791">
        <f>T99</f>
        <v>1264581</v>
      </c>
      <c r="Z99" s="409">
        <f>-IF(SimpleBA!$I$15="Grid electricity",1*SimpleBA!$K$11,0)</f>
        <v>0</v>
      </c>
      <c r="AA99" s="409">
        <f>IF(SimpleBA!$O$15="Grid electricity",1*SimpleBA!$Q$11,0)</f>
        <v>0</v>
      </c>
      <c r="AB99" s="429"/>
    </row>
    <row r="100" spans="7:36" ht="15" hidden="1" customHeight="1" x14ac:dyDescent="0.2">
      <c r="G100" s="60"/>
      <c r="H100" s="552" t="s">
        <v>455</v>
      </c>
      <c r="I100" s="508"/>
      <c r="J100" s="673"/>
      <c r="K100" s="508"/>
      <c r="L100" s="413">
        <f>SUM(L101:L102)</f>
        <v>0</v>
      </c>
      <c r="M100" s="409">
        <f>SUM(M101:M102)</f>
        <v>0</v>
      </c>
      <c r="N100" s="409">
        <f>SUM(N101:N102)</f>
        <v>0</v>
      </c>
      <c r="O100" s="409">
        <f>IF($W$23="Yes",N100+SimpleH2!$AC$15,N100)</f>
        <v>0</v>
      </c>
      <c r="P100" s="409">
        <f>O100</f>
        <v>0</v>
      </c>
      <c r="Q100" s="409">
        <f>P100</f>
        <v>0</v>
      </c>
      <c r="R100" s="429"/>
      <c r="S100" s="60"/>
      <c r="T100" s="60"/>
      <c r="U100" s="711"/>
      <c r="V100" s="60"/>
      <c r="W100" s="60"/>
      <c r="X100" s="417"/>
      <c r="Z100" s="60"/>
      <c r="AA100" s="60"/>
      <c r="AB100" s="60"/>
    </row>
    <row r="101" spans="7:36" ht="15" hidden="1" customHeight="1" x14ac:dyDescent="0.2">
      <c r="G101" s="60"/>
      <c r="H101" s="508"/>
      <c r="I101" s="18" t="s">
        <v>363</v>
      </c>
      <c r="J101" s="673"/>
      <c r="K101" s="508"/>
      <c r="L101" s="414">
        <f>Step1!$K$24*Step1!$K$39</f>
        <v>0</v>
      </c>
      <c r="M101" s="410">
        <f>IF($W$13="Yes",SimpleF!$AB$11*(L101/(L94+L97+L101)),L101)</f>
        <v>0</v>
      </c>
      <c r="N101" s="410">
        <f>M101-((SimpleV!$J$11-SimpleV!$AB$11)*(L101/(L74+L77+L81)))</f>
        <v>0</v>
      </c>
      <c r="O101" s="411"/>
      <c r="P101" s="411"/>
      <c r="Q101" s="411"/>
      <c r="R101" s="429"/>
      <c r="S101" s="60"/>
      <c r="T101" s="60"/>
      <c r="U101" s="711"/>
      <c r="V101" s="60"/>
      <c r="W101" s="60"/>
      <c r="X101" s="417"/>
      <c r="Z101" s="60"/>
      <c r="AA101" s="60"/>
      <c r="AB101" s="60"/>
    </row>
    <row r="102" spans="7:36" ht="15" hidden="1" customHeight="1" x14ac:dyDescent="0.2">
      <c r="G102" s="60"/>
      <c r="H102" s="508"/>
      <c r="I102" s="18" t="s">
        <v>364</v>
      </c>
      <c r="J102" s="673"/>
      <c r="K102" s="508"/>
      <c r="L102" s="414">
        <f>Step1!$K$24*Step1!$K$40</f>
        <v>0</v>
      </c>
      <c r="M102" s="410">
        <f>L102</f>
        <v>0</v>
      </c>
      <c r="N102" s="410">
        <f>M102</f>
        <v>0</v>
      </c>
      <c r="O102" s="410"/>
      <c r="P102" s="411"/>
      <c r="Q102" s="411"/>
      <c r="R102" s="429"/>
      <c r="S102" s="60"/>
      <c r="T102" s="60"/>
      <c r="U102" s="711"/>
      <c r="V102" s="60"/>
      <c r="W102" s="60"/>
      <c r="X102" s="417"/>
      <c r="Z102" s="60"/>
      <c r="AA102" s="60"/>
      <c r="AB102" s="60"/>
    </row>
    <row r="103" spans="7:36" ht="15" hidden="1" customHeight="1" x14ac:dyDescent="0.2">
      <c r="G103" s="60"/>
      <c r="H103" s="552" t="s">
        <v>456</v>
      </c>
      <c r="I103" s="18"/>
      <c r="J103" s="673"/>
      <c r="K103" s="508"/>
      <c r="L103" s="413">
        <f t="shared" ref="L103:Q103" si="4">SUM(L104:L107)</f>
        <v>1264581</v>
      </c>
      <c r="M103" s="409">
        <f t="shared" si="4"/>
        <v>1264581</v>
      </c>
      <c r="N103" s="409">
        <f t="shared" si="4"/>
        <v>1264581</v>
      </c>
      <c r="O103" s="409">
        <f t="shared" si="4"/>
        <v>1264581</v>
      </c>
      <c r="P103" s="409">
        <f t="shared" si="4"/>
        <v>1264581</v>
      </c>
      <c r="Q103" s="409">
        <f t="shared" si="4"/>
        <v>1264581</v>
      </c>
      <c r="R103" s="429"/>
      <c r="S103" s="60"/>
      <c r="T103" s="60"/>
      <c r="U103" s="711"/>
      <c r="V103" s="60"/>
      <c r="W103" s="60"/>
      <c r="X103" s="417"/>
      <c r="Z103" s="60"/>
      <c r="AA103" s="60"/>
      <c r="AB103" s="60"/>
    </row>
    <row r="104" spans="7:36" ht="15" hidden="1" customHeight="1" x14ac:dyDescent="0.2">
      <c r="G104" s="60"/>
      <c r="H104" s="508"/>
      <c r="I104" s="18" t="s">
        <v>188</v>
      </c>
      <c r="J104" s="673"/>
      <c r="K104" s="508"/>
      <c r="L104" s="414">
        <f>Step1!$K$24*Step1!$K$41</f>
        <v>316145.25</v>
      </c>
      <c r="M104" s="410">
        <f t="shared" ref="M104:O105" si="5">L104</f>
        <v>316145.25</v>
      </c>
      <c r="N104" s="410">
        <f t="shared" si="5"/>
        <v>316145.25</v>
      </c>
      <c r="O104" s="410">
        <f t="shared" si="5"/>
        <v>316145.25</v>
      </c>
      <c r="P104" s="410">
        <f>IF($W$28="Yes",O104-(SimpleC!$J$11-SimpleC!$AB$11),O104)</f>
        <v>316145.25</v>
      </c>
      <c r="Q104" s="410">
        <f>P104</f>
        <v>316145.25</v>
      </c>
      <c r="R104" s="429"/>
      <c r="S104" s="60"/>
      <c r="T104" s="60"/>
      <c r="U104" s="711"/>
      <c r="V104" s="60"/>
      <c r="W104" s="60"/>
      <c r="X104" s="417"/>
      <c r="Z104" s="60"/>
      <c r="AA104" s="60"/>
      <c r="AB104" s="60"/>
    </row>
    <row r="105" spans="7:36" ht="15" hidden="1" customHeight="1" x14ac:dyDescent="0.2">
      <c r="G105" s="60"/>
      <c r="H105" s="508"/>
      <c r="I105" s="18" t="s">
        <v>20</v>
      </c>
      <c r="J105" s="673"/>
      <c r="K105" s="508"/>
      <c r="L105" s="414">
        <f>Step1!$K$24*Step1!$K$42</f>
        <v>316145.25</v>
      </c>
      <c r="M105" s="410">
        <f t="shared" si="5"/>
        <v>316145.25</v>
      </c>
      <c r="N105" s="410">
        <f t="shared" si="5"/>
        <v>316145.25</v>
      </c>
      <c r="O105" s="410">
        <f t="shared" si="5"/>
        <v>316145.25</v>
      </c>
      <c r="P105" s="410">
        <f>O105</f>
        <v>316145.25</v>
      </c>
      <c r="Q105" s="410">
        <f>IF($W$33="Yes",P105-(SimpleL!$J$11-SimpleL!$AB$11),P105)</f>
        <v>316145.25</v>
      </c>
      <c r="R105" s="429"/>
      <c r="S105" s="60"/>
      <c r="T105" s="60"/>
      <c r="U105" s="711"/>
      <c r="V105" s="60"/>
      <c r="W105" s="60"/>
      <c r="X105" s="417"/>
      <c r="Z105" s="60"/>
      <c r="AA105" s="60"/>
      <c r="AB105" s="60"/>
    </row>
    <row r="106" spans="7:36" ht="15" hidden="1" customHeight="1" x14ac:dyDescent="0.2">
      <c r="G106" s="60"/>
      <c r="H106" s="508"/>
      <c r="I106" s="18" t="s">
        <v>433</v>
      </c>
      <c r="J106" s="673"/>
      <c r="K106" s="508"/>
      <c r="L106" s="414">
        <f>Step1!$K$24*Step1!$K$43</f>
        <v>316145.25</v>
      </c>
      <c r="M106" s="410">
        <f>L106</f>
        <v>316145.25</v>
      </c>
      <c r="N106" s="410">
        <f>IF($W$18="Yes",L106-(SimpleV!J29-SimpleV!AB29),M106)</f>
        <v>316145.25</v>
      </c>
      <c r="O106" s="410">
        <f>IF($W$23="Yes",N106-(SimpleH2!$J$32-SimpleH2!$AB$32),N106)</f>
        <v>316145.25</v>
      </c>
      <c r="P106" s="412">
        <f>IF($W$28="Yes",O106-((SimpleC!$J$29-SimpleC!$AB$29)+(SimpleC!$J$33-SimpleC!$AB$33)),O106)</f>
        <v>316145.25</v>
      </c>
      <c r="Q106" s="412">
        <f>IF($W$33="Yes",P106-(SimpleL!$J$53-SimpleL!$AB$53),P106)</f>
        <v>316145.25</v>
      </c>
      <c r="R106" s="429"/>
      <c r="S106" s="60"/>
      <c r="T106" s="60"/>
      <c r="U106" s="711"/>
      <c r="V106" s="60"/>
      <c r="W106" s="60"/>
      <c r="X106" s="417"/>
      <c r="Z106" s="60"/>
      <c r="AA106" s="60"/>
      <c r="AB106" s="60"/>
    </row>
    <row r="107" spans="7:36" ht="15" hidden="1" customHeight="1" x14ac:dyDescent="0.2">
      <c r="G107" s="69"/>
      <c r="H107" s="508"/>
      <c r="I107" s="18" t="s">
        <v>366</v>
      </c>
      <c r="J107" s="673"/>
      <c r="K107" s="508"/>
      <c r="L107" s="414">
        <f>Step1!$K$24*Step1!$K$44</f>
        <v>316145.25</v>
      </c>
      <c r="M107" s="410">
        <f>L107</f>
        <v>316145.25</v>
      </c>
      <c r="N107" s="410">
        <f>M107</f>
        <v>316145.25</v>
      </c>
      <c r="O107" s="410">
        <f>N107</f>
        <v>316145.25</v>
      </c>
      <c r="P107" s="412">
        <f>O107</f>
        <v>316145.25</v>
      </c>
      <c r="Q107" s="412">
        <f>P107</f>
        <v>316145.25</v>
      </c>
      <c r="R107" s="429"/>
      <c r="S107" s="60"/>
      <c r="T107" s="60"/>
      <c r="U107" s="711"/>
      <c r="V107" s="60"/>
      <c r="W107" s="60"/>
      <c r="X107" s="417"/>
      <c r="Z107" s="60"/>
      <c r="AA107" s="60"/>
      <c r="AB107" s="60"/>
    </row>
    <row r="108" spans="7:36" ht="15" hidden="1" customHeight="1" x14ac:dyDescent="0.2"/>
    <row r="109" spans="7:36" ht="15" hidden="1" customHeight="1" x14ac:dyDescent="0.2"/>
    <row r="110" spans="7:36" ht="15" hidden="1" customHeight="1" x14ac:dyDescent="0.2">
      <c r="G110" s="14" t="s">
        <v>182</v>
      </c>
      <c r="H110" s="14"/>
      <c r="I110" s="13"/>
      <c r="J110" s="13"/>
      <c r="K110" s="715">
        <v>0</v>
      </c>
      <c r="L110" s="715">
        <v>1</v>
      </c>
      <c r="M110" s="715">
        <v>2</v>
      </c>
      <c r="N110" s="715">
        <v>3</v>
      </c>
      <c r="O110" s="715">
        <v>4</v>
      </c>
      <c r="P110" s="715">
        <v>5</v>
      </c>
      <c r="Q110" s="715">
        <v>6</v>
      </c>
      <c r="R110" s="715">
        <v>7</v>
      </c>
      <c r="S110" s="715">
        <v>8</v>
      </c>
      <c r="T110" s="715">
        <v>9</v>
      </c>
      <c r="U110" s="715">
        <v>10</v>
      </c>
      <c r="V110" s="715">
        <v>11</v>
      </c>
      <c r="W110" s="715">
        <v>12</v>
      </c>
      <c r="X110" s="715">
        <v>13</v>
      </c>
      <c r="Y110" s="715">
        <v>14</v>
      </c>
      <c r="Z110" s="715">
        <v>15</v>
      </c>
      <c r="AA110" s="715">
        <v>16</v>
      </c>
      <c r="AB110" s="715">
        <v>17</v>
      </c>
      <c r="AC110" s="715">
        <v>18</v>
      </c>
      <c r="AD110" s="715">
        <v>19</v>
      </c>
      <c r="AE110" s="715">
        <v>20</v>
      </c>
      <c r="AF110" s="715">
        <v>21</v>
      </c>
      <c r="AG110" s="715">
        <v>22</v>
      </c>
      <c r="AH110" s="715">
        <v>23</v>
      </c>
      <c r="AI110" s="715">
        <v>24</v>
      </c>
      <c r="AJ110" s="715">
        <v>25</v>
      </c>
    </row>
    <row r="111" spans="7:36" ht="15" hidden="1" customHeight="1" x14ac:dyDescent="0.2">
      <c r="G111" s="14" t="s">
        <v>183</v>
      </c>
      <c r="H111" s="14"/>
      <c r="I111" s="13"/>
      <c r="J111" s="13"/>
      <c r="K111" s="716">
        <f ca="1">YEAR(TODAY())+1</f>
        <v>2025</v>
      </c>
      <c r="L111" s="716">
        <f t="shared" ref="L111:AJ111" ca="1" si="6">K111+1</f>
        <v>2026</v>
      </c>
      <c r="M111" s="716">
        <f t="shared" ca="1" si="6"/>
        <v>2027</v>
      </c>
      <c r="N111" s="716">
        <f t="shared" ca="1" si="6"/>
        <v>2028</v>
      </c>
      <c r="O111" s="716">
        <f t="shared" ca="1" si="6"/>
        <v>2029</v>
      </c>
      <c r="P111" s="716">
        <f t="shared" ca="1" si="6"/>
        <v>2030</v>
      </c>
      <c r="Q111" s="716">
        <f t="shared" ca="1" si="6"/>
        <v>2031</v>
      </c>
      <c r="R111" s="716">
        <f t="shared" ca="1" si="6"/>
        <v>2032</v>
      </c>
      <c r="S111" s="716">
        <f t="shared" ca="1" si="6"/>
        <v>2033</v>
      </c>
      <c r="T111" s="716">
        <f t="shared" ca="1" si="6"/>
        <v>2034</v>
      </c>
      <c r="U111" s="716">
        <f t="shared" ca="1" si="6"/>
        <v>2035</v>
      </c>
      <c r="V111" s="716">
        <f t="shared" ca="1" si="6"/>
        <v>2036</v>
      </c>
      <c r="W111" s="716">
        <f t="shared" ca="1" si="6"/>
        <v>2037</v>
      </c>
      <c r="X111" s="716">
        <f t="shared" ca="1" si="6"/>
        <v>2038</v>
      </c>
      <c r="Y111" s="716">
        <f t="shared" ca="1" si="6"/>
        <v>2039</v>
      </c>
      <c r="Z111" s="716">
        <f t="shared" ca="1" si="6"/>
        <v>2040</v>
      </c>
      <c r="AA111" s="716">
        <f t="shared" ca="1" si="6"/>
        <v>2041</v>
      </c>
      <c r="AB111" s="716">
        <f t="shared" ca="1" si="6"/>
        <v>2042</v>
      </c>
      <c r="AC111" s="716">
        <f t="shared" ca="1" si="6"/>
        <v>2043</v>
      </c>
      <c r="AD111" s="716">
        <f t="shared" ca="1" si="6"/>
        <v>2044</v>
      </c>
      <c r="AE111" s="716">
        <f t="shared" ca="1" si="6"/>
        <v>2045</v>
      </c>
      <c r="AF111" s="716">
        <f t="shared" ca="1" si="6"/>
        <v>2046</v>
      </c>
      <c r="AG111" s="716">
        <f t="shared" ca="1" si="6"/>
        <v>2047</v>
      </c>
      <c r="AH111" s="716">
        <f t="shared" ca="1" si="6"/>
        <v>2048</v>
      </c>
      <c r="AI111" s="716">
        <f t="shared" ca="1" si="6"/>
        <v>2049</v>
      </c>
      <c r="AJ111" s="716">
        <f t="shared" ca="1" si="6"/>
        <v>2050</v>
      </c>
    </row>
    <row r="112" spans="7:36" ht="15" hidden="1" customHeight="1" x14ac:dyDescent="0.2">
      <c r="G112" s="14"/>
      <c r="H112" s="69"/>
      <c r="I112" s="69"/>
      <c r="J112" s="196"/>
      <c r="K112" s="717"/>
      <c r="L112" s="717"/>
      <c r="M112" s="717"/>
      <c r="N112" s="717"/>
      <c r="O112" s="717"/>
      <c r="P112" s="717"/>
      <c r="Q112" s="717"/>
      <c r="R112" s="717"/>
      <c r="S112" s="717"/>
      <c r="T112" s="717"/>
      <c r="U112" s="717"/>
      <c r="V112" s="717"/>
      <c r="W112" s="717"/>
      <c r="X112" s="717"/>
      <c r="Y112" s="717"/>
      <c r="Z112" s="717"/>
      <c r="AA112" s="717"/>
      <c r="AB112" s="717"/>
      <c r="AC112" s="717"/>
      <c r="AD112" s="717"/>
      <c r="AE112" s="717"/>
      <c r="AF112" s="717"/>
      <c r="AG112" s="717"/>
      <c r="AH112" s="717"/>
      <c r="AI112" s="717"/>
      <c r="AJ112" s="717"/>
    </row>
    <row r="113" spans="7:36" ht="15" hidden="1" customHeight="1" x14ac:dyDescent="0.2">
      <c r="G113" s="14"/>
      <c r="H113" s="69"/>
      <c r="I113" s="69"/>
      <c r="J113" s="196"/>
      <c r="K113" s="717"/>
      <c r="L113" s="717"/>
      <c r="M113" s="717"/>
      <c r="N113" s="717"/>
      <c r="O113" s="717"/>
      <c r="P113" s="717"/>
      <c r="Q113" s="717"/>
      <c r="R113" s="717"/>
      <c r="S113" s="717"/>
      <c r="T113" s="717"/>
      <c r="U113" s="717"/>
      <c r="V113" s="717"/>
      <c r="W113" s="717"/>
      <c r="X113" s="717"/>
      <c r="Y113" s="717"/>
      <c r="Z113" s="717"/>
      <c r="AA113" s="717"/>
      <c r="AB113" s="717"/>
      <c r="AC113" s="717"/>
      <c r="AD113" s="717"/>
      <c r="AE113" s="717"/>
      <c r="AF113" s="717"/>
      <c r="AG113" s="717"/>
      <c r="AH113" s="717"/>
      <c r="AI113" s="717"/>
      <c r="AJ113" s="717"/>
    </row>
    <row r="114" spans="7:36" ht="15" hidden="1" customHeight="1" x14ac:dyDescent="0.2">
      <c r="G114" s="14" t="s">
        <v>284</v>
      </c>
      <c r="H114" s="14"/>
      <c r="I114" s="14"/>
      <c r="J114" s="14"/>
      <c r="K114" s="605">
        <f>Data!$P$171</f>
        <v>0.184</v>
      </c>
      <c r="L114" s="605">
        <f>K114*(1+(Data!$P$197/100))</f>
        <v>0.184</v>
      </c>
      <c r="M114" s="605">
        <f>L114*(1+(Data!$P$197/100))</f>
        <v>0.184</v>
      </c>
      <c r="N114" s="605">
        <f>M114*(1+(Data!$P$197/100))</f>
        <v>0.184</v>
      </c>
      <c r="O114" s="605">
        <f>N114*(1+(Data!$P$197/100))</f>
        <v>0.184</v>
      </c>
      <c r="P114" s="605">
        <f>O114*(1+(Data!$P$197/100))</f>
        <v>0.184</v>
      </c>
      <c r="Q114" s="605">
        <f>P114*(1+(Data!$P$197/100))</f>
        <v>0.184</v>
      </c>
      <c r="R114" s="605">
        <f>Q114*(1+(Data!$P$197/100))</f>
        <v>0.184</v>
      </c>
      <c r="S114" s="605">
        <f>R114*(1+(Data!$P$197/100))</f>
        <v>0.184</v>
      </c>
      <c r="T114" s="605">
        <f>S114*(1+(Data!$P$197/100))</f>
        <v>0.184</v>
      </c>
      <c r="U114" s="605">
        <f>T114*(1+(Data!$P$197/100))</f>
        <v>0.184</v>
      </c>
      <c r="V114" s="605">
        <f>U114*(1+(Data!$P$197/100))</f>
        <v>0.184</v>
      </c>
      <c r="W114" s="605">
        <f>V114*(1+(Data!$P$197/100))</f>
        <v>0.184</v>
      </c>
      <c r="X114" s="605">
        <f>W114*(1+(Data!$P$197/100))</f>
        <v>0.184</v>
      </c>
      <c r="Y114" s="605">
        <f>X114*(1+(Data!$P$197/100))</f>
        <v>0.184</v>
      </c>
      <c r="Z114" s="605">
        <f>Y114*(1+(Data!$P$197/100))</f>
        <v>0.184</v>
      </c>
      <c r="AA114" s="605">
        <f>Z114*(1+(Data!$P$197/100))</f>
        <v>0.184</v>
      </c>
      <c r="AB114" s="605">
        <f>AA114*(1+(Data!$P$197/100))</f>
        <v>0.184</v>
      </c>
      <c r="AC114" s="605">
        <f>AB114*(1+(Data!$P$197/100))</f>
        <v>0.184</v>
      </c>
      <c r="AD114" s="605">
        <f>AC114*(1+(Data!$P$197/100))</f>
        <v>0.184</v>
      </c>
      <c r="AE114" s="605">
        <f>AD114*(1+(Data!$P$197/100))</f>
        <v>0.184</v>
      </c>
      <c r="AF114" s="605">
        <f>AE114*(1+(Data!$P$197/100))</f>
        <v>0.184</v>
      </c>
      <c r="AG114" s="605">
        <f>AF114*(1+(Data!$P$197/100))</f>
        <v>0.184</v>
      </c>
      <c r="AH114" s="605">
        <f>AG114*(1+(Data!$P$197/100))</f>
        <v>0.184</v>
      </c>
      <c r="AI114" s="605">
        <f>AH114*(1+(Data!$P$197/100))</f>
        <v>0.184</v>
      </c>
      <c r="AJ114" s="605">
        <f>AI114*(1+(Data!$P$197/100))</f>
        <v>0.184</v>
      </c>
    </row>
    <row r="115" spans="7:36" ht="15" hidden="1" customHeight="1" x14ac:dyDescent="0.2">
      <c r="G115" s="14" t="s">
        <v>259</v>
      </c>
      <c r="H115" s="14"/>
      <c r="I115" s="14"/>
      <c r="J115" s="14"/>
      <c r="K115" s="605">
        <f>Data!$P$172</f>
        <v>0.17072999999999999</v>
      </c>
      <c r="L115" s="605">
        <f>K115*(1+(Data!$P$198/100))</f>
        <v>0.17072999999999999</v>
      </c>
      <c r="M115" s="605">
        <f>L115*(1+(Data!$P$198/100))</f>
        <v>0.17072999999999999</v>
      </c>
      <c r="N115" s="605">
        <f>M115*(1+(Data!$P$198/100))</f>
        <v>0.17072999999999999</v>
      </c>
      <c r="O115" s="605">
        <f>N115*(1+(Data!$P$198/100))</f>
        <v>0.17072999999999999</v>
      </c>
      <c r="P115" s="605">
        <f>O115*(1+(Data!$P$198/100))</f>
        <v>0.17072999999999999</v>
      </c>
      <c r="Q115" s="605">
        <f>P115*(1+(Data!$P$198/100))</f>
        <v>0.17072999999999999</v>
      </c>
      <c r="R115" s="605">
        <f>Q115*(1+(Data!$P$198/100))</f>
        <v>0.17072999999999999</v>
      </c>
      <c r="S115" s="605">
        <f>R115*(1+(Data!$P$198/100))</f>
        <v>0.17072999999999999</v>
      </c>
      <c r="T115" s="605">
        <f>S115*(1+(Data!$P$198/100))</f>
        <v>0.17072999999999999</v>
      </c>
      <c r="U115" s="605">
        <f>T115*(1+(Data!$P$198/100))</f>
        <v>0.17072999999999999</v>
      </c>
      <c r="V115" s="605">
        <f>U115*(1+(Data!$P$198/100))</f>
        <v>0.17072999999999999</v>
      </c>
      <c r="W115" s="605">
        <f>V115*(1+(Data!$P$198/100))</f>
        <v>0.17072999999999999</v>
      </c>
      <c r="X115" s="605">
        <f>W115*(1+(Data!$P$198/100))</f>
        <v>0.17072999999999999</v>
      </c>
      <c r="Y115" s="605">
        <f>X115*(1+(Data!$P$198/100))</f>
        <v>0.17072999999999999</v>
      </c>
      <c r="Z115" s="605">
        <f>Y115*(1+(Data!$P$198/100))</f>
        <v>0.17072999999999999</v>
      </c>
      <c r="AA115" s="605">
        <f>Z115*(1+(Data!$P$198/100))</f>
        <v>0.17072999999999999</v>
      </c>
      <c r="AB115" s="605">
        <f>AA115*(1+(Data!$P$198/100))</f>
        <v>0.17072999999999999</v>
      </c>
      <c r="AC115" s="605">
        <f>AB115*(1+(Data!$P$198/100))</f>
        <v>0.17072999999999999</v>
      </c>
      <c r="AD115" s="605">
        <f>AC115*(1+(Data!$P$198/100))</f>
        <v>0.17072999999999999</v>
      </c>
      <c r="AE115" s="605">
        <f>AD115*(1+(Data!$P$198/100))</f>
        <v>0.17072999999999999</v>
      </c>
      <c r="AF115" s="605">
        <f>AE115*(1+(Data!$P$198/100))</f>
        <v>0.17072999999999999</v>
      </c>
      <c r="AG115" s="605">
        <f>AF115*(1+(Data!$P$198/100))</f>
        <v>0.17072999999999999</v>
      </c>
      <c r="AH115" s="605">
        <f>AG115*(1+(Data!$P$198/100))</f>
        <v>0.17072999999999999</v>
      </c>
      <c r="AI115" s="605">
        <f>AH115*(1+(Data!$P$198/100))</f>
        <v>0.17072999999999999</v>
      </c>
      <c r="AJ115" s="605">
        <f>AI115*(1+(Data!$P$198/100))</f>
        <v>0.17072999999999999</v>
      </c>
    </row>
    <row r="116" spans="7:36" ht="15" hidden="1" customHeight="1" x14ac:dyDescent="0.2">
      <c r="G116" s="14" t="s">
        <v>252</v>
      </c>
      <c r="H116" s="14"/>
      <c r="I116" s="14"/>
      <c r="J116" s="14"/>
      <c r="K116" s="605">
        <f>Data!$P$174</f>
        <v>0.19338</v>
      </c>
      <c r="L116" s="605">
        <f>K116*(1+(Data!$P$200/100))</f>
        <v>0.18757859999999998</v>
      </c>
      <c r="M116" s="605">
        <f>L116*(1+(Data!$P$200/100))</f>
        <v>0.18195124199999999</v>
      </c>
      <c r="N116" s="605">
        <f>M116*(1+(Data!$P$200/100))</f>
        <v>0.17649270473999998</v>
      </c>
      <c r="O116" s="605">
        <f>N116*(1+(Data!$P$200/100))</f>
        <v>0.17119792359779998</v>
      </c>
      <c r="P116" s="605">
        <f>O116*(1+(Data!$P$200/100))</f>
        <v>0.16606198588986598</v>
      </c>
      <c r="Q116" s="605">
        <f>P116*(1+(Data!$P$200/100))</f>
        <v>0.16108012631317001</v>
      </c>
      <c r="R116" s="605">
        <f>Q116*(1+(Data!$P$200/100))</f>
        <v>0.15624772252377489</v>
      </c>
      <c r="S116" s="605">
        <f>R116*(1+(Data!$P$200/100))</f>
        <v>0.15156029084806164</v>
      </c>
      <c r="T116" s="605">
        <f>S116*(1+(Data!$P$200/100))</f>
        <v>0.14701348212261978</v>
      </c>
      <c r="U116" s="605">
        <f>T116*(1+(Data!$P$200/100))</f>
        <v>0.14260307765894117</v>
      </c>
      <c r="V116" s="605">
        <f>U116*(1+(Data!$P$200/100))</f>
        <v>0.13832498532917292</v>
      </c>
      <c r="W116" s="605">
        <f>V116*(1+(Data!$P$200/100))</f>
        <v>0.13417523576929774</v>
      </c>
      <c r="X116" s="605">
        <f>W116*(1+(Data!$P$200/100))</f>
        <v>0.1301499786962188</v>
      </c>
      <c r="Y116" s="605">
        <f>X116*(1+(Data!$P$200/100))</f>
        <v>0.12624547933533223</v>
      </c>
      <c r="Z116" s="605">
        <f>Y116*(1+(Data!$P$200/100))</f>
        <v>0.12245811495527226</v>
      </c>
      <c r="AA116" s="605">
        <f>Z116*(1+(Data!$P$200/100))</f>
        <v>0.11878437150661408</v>
      </c>
      <c r="AB116" s="605">
        <f>AA116*(1+(Data!$P$200/100))</f>
        <v>0.11522084036141565</v>
      </c>
      <c r="AC116" s="605">
        <f>AB116*(1+(Data!$P$200/100))</f>
        <v>0.11176421515057318</v>
      </c>
      <c r="AD116" s="605">
        <f>AC116*(1+(Data!$P$200/100))</f>
        <v>0.10841128869605599</v>
      </c>
      <c r="AE116" s="605">
        <f>AD116*(1+(Data!$P$200/100))</f>
        <v>0.10515895003517431</v>
      </c>
      <c r="AF116" s="605">
        <f>AE116*(1+(Data!$P$200/100))</f>
        <v>0.10200418153411908</v>
      </c>
      <c r="AG116" s="605">
        <f>AF116*(1+(Data!$P$200/100))</f>
        <v>9.8944056088095506E-2</v>
      </c>
      <c r="AH116" s="605">
        <f>AG116*(1+(Data!$P$200/100))</f>
        <v>9.5975734405452637E-2</v>
      </c>
      <c r="AI116" s="605">
        <f>AH116*(1+(Data!$P$200/100))</f>
        <v>9.3096462373289057E-2</v>
      </c>
      <c r="AJ116" s="605">
        <f>AI116*(1+(Data!$P$200/100))</f>
        <v>9.0303568502090384E-2</v>
      </c>
    </row>
    <row r="117" spans="7:36" ht="15" hidden="1" customHeight="1" x14ac:dyDescent="0.2">
      <c r="G117" s="14"/>
      <c r="H117" s="69"/>
      <c r="I117" s="69"/>
      <c r="J117" s="196"/>
      <c r="K117" s="718"/>
      <c r="L117" s="605"/>
      <c r="M117" s="605"/>
      <c r="N117" s="605"/>
      <c r="O117" s="605"/>
      <c r="P117" s="605"/>
      <c r="Q117" s="605"/>
      <c r="R117" s="605"/>
      <c r="S117" s="605"/>
      <c r="T117" s="605"/>
      <c r="U117" s="605"/>
      <c r="V117" s="605"/>
      <c r="W117" s="605"/>
      <c r="X117" s="605"/>
      <c r="Y117" s="605"/>
      <c r="Z117" s="605"/>
      <c r="AA117" s="605"/>
      <c r="AB117" s="605"/>
      <c r="AC117" s="605"/>
      <c r="AD117" s="605"/>
      <c r="AE117" s="605"/>
      <c r="AF117" s="605"/>
      <c r="AG117" s="605"/>
      <c r="AH117" s="605"/>
      <c r="AI117" s="605"/>
      <c r="AJ117" s="605"/>
    </row>
    <row r="118" spans="7:36" ht="15" hidden="1" customHeight="1" x14ac:dyDescent="0.2">
      <c r="G118" s="14" t="s">
        <v>284</v>
      </c>
      <c r="H118" s="69"/>
      <c r="I118" s="69"/>
      <c r="J118" s="196"/>
      <c r="K118" s="604">
        <f>Data!$P$178</f>
        <v>0.09</v>
      </c>
      <c r="L118" s="605">
        <f>K118*(1+(Data!$P$189/100))</f>
        <v>9.5399999999999999E-2</v>
      </c>
      <c r="M118" s="605">
        <f>L118*(1+(Data!$P$189/100))</f>
        <v>0.10112400000000001</v>
      </c>
      <c r="N118" s="605">
        <f>M118*(1+(Data!$P$189/100))</f>
        <v>0.10719144000000001</v>
      </c>
      <c r="O118" s="605">
        <f>N118*(1+(Data!$P$189/100))</f>
        <v>0.11362292640000002</v>
      </c>
      <c r="P118" s="605">
        <f>O118*(1+(Data!$P$189/100))</f>
        <v>0.12044030198400002</v>
      </c>
      <c r="Q118" s="605">
        <f>P118*(1+(Data!$P$189/100))</f>
        <v>0.12766672010304003</v>
      </c>
      <c r="R118" s="605">
        <f>Q118*(1+(Data!$P$189/100))</f>
        <v>0.13532672330922244</v>
      </c>
      <c r="S118" s="605">
        <f>R118*(1+(Data!$P$189/100))</f>
        <v>0.1434463267077758</v>
      </c>
      <c r="T118" s="605">
        <f>S118*(1+(Data!$P$189/100))</f>
        <v>0.15205310631024235</v>
      </c>
      <c r="U118" s="605">
        <f>T118*(1+(Data!$P$189/100))</f>
        <v>0.16117629268885691</v>
      </c>
      <c r="V118" s="605">
        <f>U118*(1+(Data!$P$189/100))</f>
        <v>0.17084687025018833</v>
      </c>
      <c r="W118" s="605">
        <f>V118*(1+(Data!$P$189/100))</f>
        <v>0.18109768246519964</v>
      </c>
      <c r="X118" s="605">
        <f>W118*(1+(Data!$P$189/100))</f>
        <v>0.19196354341311161</v>
      </c>
      <c r="Y118" s="605">
        <f>X118*(1+(Data!$P$189/100))</f>
        <v>0.20348135601789832</v>
      </c>
      <c r="Z118" s="605">
        <f>Y118*(1+(Data!$P$189/100))</f>
        <v>0.21569023737897222</v>
      </c>
      <c r="AA118" s="605">
        <f>Z118*(1+(Data!$P$189/100))</f>
        <v>0.22863165162171056</v>
      </c>
      <c r="AB118" s="605">
        <f>AA118*(1+(Data!$P$189/100))</f>
        <v>0.24234955071901321</v>
      </c>
      <c r="AC118" s="605">
        <f>AB118*(1+(Data!$P$189/100))</f>
        <v>0.25689052376215399</v>
      </c>
      <c r="AD118" s="605">
        <f>AC118*(1+(Data!$P$189/100))</f>
        <v>0.27230395518788325</v>
      </c>
      <c r="AE118" s="605">
        <f>AD118*(1+(Data!$P$189/100))</f>
        <v>0.28864219249915624</v>
      </c>
      <c r="AF118" s="605">
        <f>AE118*(1+(Data!$P$189/100))</f>
        <v>0.30596072404910563</v>
      </c>
      <c r="AG118" s="605">
        <f>AF118*(1+(Data!$P$189/100))</f>
        <v>0.32431836749205201</v>
      </c>
      <c r="AH118" s="605">
        <f>AG118*(1+(Data!$P$189/100))</f>
        <v>0.34377746954157512</v>
      </c>
      <c r="AI118" s="605">
        <f>AH118*(1+(Data!$P$189/100))</f>
        <v>0.36440411771406966</v>
      </c>
      <c r="AJ118" s="605">
        <f>AI118*(1+(Data!$P$189/100))</f>
        <v>0.38626836477691384</v>
      </c>
    </row>
    <row r="119" spans="7:36" ht="15" hidden="1" customHeight="1" x14ac:dyDescent="0.2">
      <c r="G119" s="14" t="s">
        <v>259</v>
      </c>
      <c r="H119" s="69"/>
      <c r="I119" s="69"/>
      <c r="J119" s="196"/>
      <c r="K119" s="604">
        <f>Data!$P$179</f>
        <v>0.09</v>
      </c>
      <c r="L119" s="605">
        <f>K119*(1+(Data!$P$190/100))</f>
        <v>9.5399999999999999E-2</v>
      </c>
      <c r="M119" s="605">
        <f>L119*(1+(Data!$P$190/100))</f>
        <v>0.10112400000000001</v>
      </c>
      <c r="N119" s="605">
        <f>M119*(1+(Data!$P$190/100))</f>
        <v>0.10719144000000001</v>
      </c>
      <c r="O119" s="605">
        <f>N119*(1+(Data!$P$190/100))</f>
        <v>0.11362292640000002</v>
      </c>
      <c r="P119" s="605">
        <f>O119*(1+(Data!$P$190/100))</f>
        <v>0.12044030198400002</v>
      </c>
      <c r="Q119" s="605">
        <f>P119*(1+(Data!$P$190/100))</f>
        <v>0.12766672010304003</v>
      </c>
      <c r="R119" s="605">
        <f>Q119*(1+(Data!$P$190/100))</f>
        <v>0.13532672330922244</v>
      </c>
      <c r="S119" s="605">
        <f>R119*(1+(Data!$P$190/100))</f>
        <v>0.1434463267077758</v>
      </c>
      <c r="T119" s="605">
        <f>S119*(1+(Data!$P$190/100))</f>
        <v>0.15205310631024235</v>
      </c>
      <c r="U119" s="605">
        <f>T119*(1+(Data!$P$190/100))</f>
        <v>0.16117629268885691</v>
      </c>
      <c r="V119" s="605">
        <f>U119*(1+(Data!$P$190/100))</f>
        <v>0.17084687025018833</v>
      </c>
      <c r="W119" s="605">
        <f>V119*(1+(Data!$P$190/100))</f>
        <v>0.18109768246519964</v>
      </c>
      <c r="X119" s="605">
        <f>W119*(1+(Data!$P$190/100))</f>
        <v>0.19196354341311161</v>
      </c>
      <c r="Y119" s="605">
        <f>X119*(1+(Data!$P$190/100))</f>
        <v>0.20348135601789832</v>
      </c>
      <c r="Z119" s="605">
        <f>Y119*(1+(Data!$P$190/100))</f>
        <v>0.21569023737897222</v>
      </c>
      <c r="AA119" s="605">
        <f>Z119*(1+(Data!$P$190/100))</f>
        <v>0.22863165162171056</v>
      </c>
      <c r="AB119" s="605">
        <f>AA119*(1+(Data!$P$190/100))</f>
        <v>0.24234955071901321</v>
      </c>
      <c r="AC119" s="605">
        <f>AB119*(1+(Data!$P$190/100))</f>
        <v>0.25689052376215399</v>
      </c>
      <c r="AD119" s="605">
        <f>AC119*(1+(Data!$P$190/100))</f>
        <v>0.27230395518788325</v>
      </c>
      <c r="AE119" s="605">
        <f>AD119*(1+(Data!$P$190/100))</f>
        <v>0.28864219249915624</v>
      </c>
      <c r="AF119" s="605">
        <f>AE119*(1+(Data!$P$190/100))</f>
        <v>0.30596072404910563</v>
      </c>
      <c r="AG119" s="605">
        <f>AF119*(1+(Data!$P$190/100))</f>
        <v>0.32431836749205201</v>
      </c>
      <c r="AH119" s="605">
        <f>AG119*(1+(Data!$P$190/100))</f>
        <v>0.34377746954157512</v>
      </c>
      <c r="AI119" s="605">
        <f>AH119*(1+(Data!$P$190/100))</f>
        <v>0.36440411771406966</v>
      </c>
      <c r="AJ119" s="605">
        <f>AI119*(1+(Data!$P$190/100))</f>
        <v>0.38626836477691384</v>
      </c>
    </row>
    <row r="120" spans="7:36" ht="15" hidden="1" customHeight="1" x14ac:dyDescent="0.2">
      <c r="G120" s="14" t="s">
        <v>252</v>
      </c>
      <c r="H120" s="69"/>
      <c r="I120" s="69"/>
      <c r="J120" s="196"/>
      <c r="K120" s="604">
        <f>Data!$P$181</f>
        <v>0.31</v>
      </c>
      <c r="L120" s="605">
        <f>K120*(1+(Data!$P$192/100))</f>
        <v>0.34100000000000003</v>
      </c>
      <c r="M120" s="605">
        <f>L120*(1+(Data!$P$192/100))</f>
        <v>0.37510000000000004</v>
      </c>
      <c r="N120" s="605">
        <f>M120*(1+(Data!$P$192/100))</f>
        <v>0.41261000000000009</v>
      </c>
      <c r="O120" s="605">
        <f>N120*(1+(Data!$P$192/100))</f>
        <v>0.45387100000000014</v>
      </c>
      <c r="P120" s="605">
        <f>O120*(1+(Data!$P$192/100))</f>
        <v>0.4992581000000002</v>
      </c>
      <c r="Q120" s="605">
        <f>P120*(1+(Data!$P$192/100))</f>
        <v>0.54918391000000022</v>
      </c>
      <c r="R120" s="605">
        <f>Q120*(1+(Data!$P$192/100))</f>
        <v>0.60410230100000029</v>
      </c>
      <c r="S120" s="605">
        <f>R120*(1+(Data!$P$192/100))</f>
        <v>0.66451253110000041</v>
      </c>
      <c r="T120" s="605">
        <f>S120*(1+(Data!$P$192/100))</f>
        <v>0.73096378421000052</v>
      </c>
      <c r="U120" s="605">
        <f>T120*(1+(Data!$P$192/100))</f>
        <v>0.80406016263100066</v>
      </c>
      <c r="V120" s="605">
        <f>U120*(1+(Data!$P$192/100))</f>
        <v>0.88446617889410084</v>
      </c>
      <c r="W120" s="605">
        <f>V120*(1+(Data!$P$192/100))</f>
        <v>0.97291279678351106</v>
      </c>
      <c r="X120" s="605">
        <f>W120*(1+(Data!$P$192/100))</f>
        <v>1.0702040764618623</v>
      </c>
      <c r="Y120" s="605">
        <f>X120*(1+(Data!$P$192/100))</f>
        <v>1.1772244841080486</v>
      </c>
      <c r="Z120" s="605">
        <f>Y120*(1+(Data!$P$192/100))</f>
        <v>1.2949469325188536</v>
      </c>
      <c r="AA120" s="605">
        <f>Z120*(1+(Data!$P$192/100))</f>
        <v>1.4244416257707391</v>
      </c>
      <c r="AB120" s="605">
        <f>AA120*(1+(Data!$P$192/100))</f>
        <v>1.5668857883478131</v>
      </c>
      <c r="AC120" s="605">
        <f>AB120*(1+(Data!$P$192/100))</f>
        <v>1.7235743671825945</v>
      </c>
      <c r="AD120" s="605">
        <f>AC120*(1+(Data!$P$192/100))</f>
        <v>1.8959318039008541</v>
      </c>
      <c r="AE120" s="605">
        <f>AD120*(1+(Data!$P$192/100))</f>
        <v>2.0855249842909398</v>
      </c>
      <c r="AF120" s="605">
        <f>AE120*(1+(Data!$P$192/100))</f>
        <v>2.2940774827200339</v>
      </c>
      <c r="AG120" s="605">
        <f>AF120*(1+(Data!$P$192/100))</f>
        <v>2.5234852309920375</v>
      </c>
      <c r="AH120" s="605">
        <f>AG120*(1+(Data!$P$192/100))</f>
        <v>2.7758337540912414</v>
      </c>
      <c r="AI120" s="605">
        <f>AH120*(1+(Data!$P$192/100))</f>
        <v>3.053417129500366</v>
      </c>
      <c r="AJ120" s="605">
        <f>AI120*(1+(Data!$P$192/100))</f>
        <v>3.3587588424504031</v>
      </c>
    </row>
    <row r="121" spans="7:36" ht="15" hidden="1" customHeight="1" x14ac:dyDescent="0.2"/>
    <row r="122" spans="7:36" ht="15" hidden="1" customHeight="1" x14ac:dyDescent="0.2">
      <c r="G122" s="30" t="s">
        <v>495</v>
      </c>
      <c r="H122" s="69"/>
      <c r="I122" s="69"/>
      <c r="J122" s="603"/>
      <c r="K122" s="604"/>
      <c r="L122" s="605"/>
      <c r="M122" s="605"/>
      <c r="N122" s="605"/>
      <c r="O122" s="605"/>
      <c r="P122" s="605"/>
      <c r="Q122" s="605"/>
      <c r="R122" s="605"/>
      <c r="S122" s="605"/>
      <c r="T122" s="605"/>
      <c r="U122" s="605"/>
      <c r="V122" s="605"/>
      <c r="W122" s="605"/>
      <c r="X122" s="605"/>
      <c r="Y122" s="605"/>
      <c r="Z122" s="605"/>
      <c r="AA122" s="605"/>
      <c r="AB122" s="605"/>
      <c r="AC122" s="605"/>
      <c r="AD122" s="605"/>
      <c r="AE122" s="605"/>
      <c r="AF122" s="605"/>
      <c r="AG122" s="605"/>
      <c r="AH122" s="605"/>
      <c r="AI122" s="605"/>
      <c r="AJ122" s="605"/>
    </row>
    <row r="123" spans="7:36" ht="15" hidden="1" customHeight="1" x14ac:dyDescent="0.2">
      <c r="G123" s="69" t="s">
        <v>453</v>
      </c>
      <c r="H123" s="14"/>
      <c r="I123" s="14"/>
      <c r="J123" s="399">
        <f>$L$73</f>
        <v>0</v>
      </c>
      <c r="K123" s="399">
        <f t="shared" ref="K123:AJ123" si="7">$J123*K114</f>
        <v>0</v>
      </c>
      <c r="L123" s="399">
        <f t="shared" si="7"/>
        <v>0</v>
      </c>
      <c r="M123" s="399">
        <f t="shared" si="7"/>
        <v>0</v>
      </c>
      <c r="N123" s="399">
        <f t="shared" si="7"/>
        <v>0</v>
      </c>
      <c r="O123" s="399">
        <f t="shared" si="7"/>
        <v>0</v>
      </c>
      <c r="P123" s="399">
        <f t="shared" si="7"/>
        <v>0</v>
      </c>
      <c r="Q123" s="399">
        <f t="shared" si="7"/>
        <v>0</v>
      </c>
      <c r="R123" s="399">
        <f t="shared" si="7"/>
        <v>0</v>
      </c>
      <c r="S123" s="399">
        <f t="shared" si="7"/>
        <v>0</v>
      </c>
      <c r="T123" s="399">
        <f t="shared" si="7"/>
        <v>0</v>
      </c>
      <c r="U123" s="399">
        <f t="shared" si="7"/>
        <v>0</v>
      </c>
      <c r="V123" s="399">
        <f t="shared" si="7"/>
        <v>0</v>
      </c>
      <c r="W123" s="399">
        <f t="shared" si="7"/>
        <v>0</v>
      </c>
      <c r="X123" s="399">
        <f t="shared" si="7"/>
        <v>0</v>
      </c>
      <c r="Y123" s="399">
        <f t="shared" si="7"/>
        <v>0</v>
      </c>
      <c r="Z123" s="399">
        <f t="shared" si="7"/>
        <v>0</v>
      </c>
      <c r="AA123" s="399">
        <f t="shared" si="7"/>
        <v>0</v>
      </c>
      <c r="AB123" s="399">
        <f t="shared" si="7"/>
        <v>0</v>
      </c>
      <c r="AC123" s="399">
        <f t="shared" si="7"/>
        <v>0</v>
      </c>
      <c r="AD123" s="399">
        <f t="shared" si="7"/>
        <v>0</v>
      </c>
      <c r="AE123" s="399">
        <f t="shared" si="7"/>
        <v>0</v>
      </c>
      <c r="AF123" s="399">
        <f t="shared" si="7"/>
        <v>0</v>
      </c>
      <c r="AG123" s="399">
        <f t="shared" si="7"/>
        <v>0</v>
      </c>
      <c r="AH123" s="399">
        <f t="shared" si="7"/>
        <v>0</v>
      </c>
      <c r="AI123" s="399">
        <f t="shared" si="7"/>
        <v>0</v>
      </c>
      <c r="AJ123" s="399">
        <f t="shared" si="7"/>
        <v>0</v>
      </c>
    </row>
    <row r="124" spans="7:36" ht="15" hidden="1" customHeight="1" x14ac:dyDescent="0.2">
      <c r="G124" s="69" t="s">
        <v>452</v>
      </c>
      <c r="H124" s="14"/>
      <c r="I124" s="14"/>
      <c r="J124" s="399">
        <f>$L$76</f>
        <v>1554790.0000000002</v>
      </c>
      <c r="K124" s="399">
        <f t="shared" ref="K124:AJ124" si="8">$J124*K115</f>
        <v>265449.29670000001</v>
      </c>
      <c r="L124" s="399">
        <f t="shared" si="8"/>
        <v>265449.29670000001</v>
      </c>
      <c r="M124" s="399">
        <f t="shared" si="8"/>
        <v>265449.29670000001</v>
      </c>
      <c r="N124" s="399">
        <f t="shared" si="8"/>
        <v>265449.29670000001</v>
      </c>
      <c r="O124" s="399">
        <f t="shared" si="8"/>
        <v>265449.29670000001</v>
      </c>
      <c r="P124" s="399">
        <f t="shared" si="8"/>
        <v>265449.29670000001</v>
      </c>
      <c r="Q124" s="399">
        <f t="shared" si="8"/>
        <v>265449.29670000001</v>
      </c>
      <c r="R124" s="399">
        <f t="shared" si="8"/>
        <v>265449.29670000001</v>
      </c>
      <c r="S124" s="399">
        <f t="shared" si="8"/>
        <v>265449.29670000001</v>
      </c>
      <c r="T124" s="399">
        <f t="shared" si="8"/>
        <v>265449.29670000001</v>
      </c>
      <c r="U124" s="399">
        <f t="shared" si="8"/>
        <v>265449.29670000001</v>
      </c>
      <c r="V124" s="399">
        <f t="shared" si="8"/>
        <v>265449.29670000001</v>
      </c>
      <c r="W124" s="399">
        <f t="shared" si="8"/>
        <v>265449.29670000001</v>
      </c>
      <c r="X124" s="399">
        <f t="shared" si="8"/>
        <v>265449.29670000001</v>
      </c>
      <c r="Y124" s="399">
        <f t="shared" si="8"/>
        <v>265449.29670000001</v>
      </c>
      <c r="Z124" s="399">
        <f t="shared" si="8"/>
        <v>265449.29670000001</v>
      </c>
      <c r="AA124" s="399">
        <f t="shared" si="8"/>
        <v>265449.29670000001</v>
      </c>
      <c r="AB124" s="399">
        <f t="shared" si="8"/>
        <v>265449.29670000001</v>
      </c>
      <c r="AC124" s="399">
        <f t="shared" si="8"/>
        <v>265449.29670000001</v>
      </c>
      <c r="AD124" s="399">
        <f t="shared" si="8"/>
        <v>265449.29670000001</v>
      </c>
      <c r="AE124" s="399">
        <f t="shared" si="8"/>
        <v>265449.29670000001</v>
      </c>
      <c r="AF124" s="399">
        <f t="shared" si="8"/>
        <v>265449.29670000001</v>
      </c>
      <c r="AG124" s="399">
        <f t="shared" si="8"/>
        <v>265449.29670000001</v>
      </c>
      <c r="AH124" s="399">
        <f t="shared" si="8"/>
        <v>265449.29670000001</v>
      </c>
      <c r="AI124" s="399">
        <f t="shared" si="8"/>
        <v>265449.29670000001</v>
      </c>
      <c r="AJ124" s="399">
        <f t="shared" si="8"/>
        <v>265449.29670000001</v>
      </c>
    </row>
    <row r="125" spans="7:36" ht="15" hidden="1" customHeight="1" x14ac:dyDescent="0.2">
      <c r="G125" s="69" t="s">
        <v>343</v>
      </c>
      <c r="H125" s="14"/>
      <c r="I125" s="14"/>
      <c r="J125" s="399">
        <f>$L$79</f>
        <v>1264581</v>
      </c>
      <c r="K125" s="399">
        <f t="shared" ref="K125:AJ125" si="9">$J125*K116</f>
        <v>244544.67377999998</v>
      </c>
      <c r="L125" s="399">
        <f t="shared" si="9"/>
        <v>237208.33356659999</v>
      </c>
      <c r="M125" s="399">
        <f t="shared" si="9"/>
        <v>230092.08355960198</v>
      </c>
      <c r="N125" s="399">
        <f t="shared" si="9"/>
        <v>223189.3210528139</v>
      </c>
      <c r="O125" s="399">
        <f t="shared" si="9"/>
        <v>216493.64142122949</v>
      </c>
      <c r="P125" s="399">
        <f t="shared" si="9"/>
        <v>209998.83217859262</v>
      </c>
      <c r="Q125" s="399">
        <f t="shared" si="9"/>
        <v>203698.86721323483</v>
      </c>
      <c r="R125" s="399">
        <f t="shared" si="9"/>
        <v>197587.90119683777</v>
      </c>
      <c r="S125" s="399">
        <f t="shared" si="9"/>
        <v>191660.26416093262</v>
      </c>
      <c r="T125" s="399">
        <f t="shared" si="9"/>
        <v>185910.45623610463</v>
      </c>
      <c r="U125" s="399">
        <f t="shared" si="9"/>
        <v>180333.14254902149</v>
      </c>
      <c r="V125" s="399">
        <f t="shared" si="9"/>
        <v>174923.14827255081</v>
      </c>
      <c r="W125" s="399">
        <f t="shared" si="9"/>
        <v>169675.4538243743</v>
      </c>
      <c r="X125" s="399">
        <f t="shared" si="9"/>
        <v>164585.19020964307</v>
      </c>
      <c r="Y125" s="399">
        <f t="shared" si="9"/>
        <v>159647.63450335377</v>
      </c>
      <c r="Z125" s="399">
        <f t="shared" si="9"/>
        <v>154858.20546825315</v>
      </c>
      <c r="AA125" s="399">
        <f t="shared" si="9"/>
        <v>150212.45930420555</v>
      </c>
      <c r="AB125" s="399">
        <f t="shared" si="9"/>
        <v>145706.08552507937</v>
      </c>
      <c r="AC125" s="399">
        <f t="shared" si="9"/>
        <v>141334.90295932698</v>
      </c>
      <c r="AD125" s="399">
        <f t="shared" si="9"/>
        <v>137094.85587054718</v>
      </c>
      <c r="AE125" s="399">
        <f t="shared" si="9"/>
        <v>132982.01019443077</v>
      </c>
      <c r="AF125" s="399">
        <f t="shared" si="9"/>
        <v>128992.54988859784</v>
      </c>
      <c r="AG125" s="399">
        <f t="shared" si="9"/>
        <v>125122.7733919399</v>
      </c>
      <c r="AH125" s="399">
        <f t="shared" si="9"/>
        <v>121369.0901901817</v>
      </c>
      <c r="AI125" s="399">
        <f t="shared" si="9"/>
        <v>117728.01748447625</v>
      </c>
      <c r="AJ125" s="399">
        <f t="shared" si="9"/>
        <v>114196.17695994196</v>
      </c>
    </row>
    <row r="126" spans="7:36" ht="15" hidden="1" customHeight="1" x14ac:dyDescent="0.2">
      <c r="G126" s="196" t="s">
        <v>482</v>
      </c>
      <c r="H126" s="30"/>
      <c r="I126" s="30"/>
      <c r="J126" s="606"/>
      <c r="K126" s="607">
        <f>SUM(K123:K125)</f>
        <v>509993.97048000002</v>
      </c>
      <c r="L126" s="607">
        <f t="shared" ref="L126:AJ126" si="10">SUM(L123:L125)</f>
        <v>502657.6302666</v>
      </c>
      <c r="M126" s="607">
        <f t="shared" si="10"/>
        <v>495541.38025960198</v>
      </c>
      <c r="N126" s="607">
        <f t="shared" si="10"/>
        <v>488638.61775281391</v>
      </c>
      <c r="O126" s="607">
        <f t="shared" si="10"/>
        <v>481942.93812122953</v>
      </c>
      <c r="P126" s="607">
        <f t="shared" si="10"/>
        <v>475448.12887859263</v>
      </c>
      <c r="Q126" s="607">
        <f t="shared" si="10"/>
        <v>469148.16391323484</v>
      </c>
      <c r="R126" s="607">
        <f t="shared" si="10"/>
        <v>463037.19789683778</v>
      </c>
      <c r="S126" s="607">
        <f t="shared" si="10"/>
        <v>457109.56086093263</v>
      </c>
      <c r="T126" s="607">
        <f t="shared" si="10"/>
        <v>451359.75293610466</v>
      </c>
      <c r="U126" s="607">
        <f t="shared" si="10"/>
        <v>445782.43924902147</v>
      </c>
      <c r="V126" s="607">
        <f t="shared" si="10"/>
        <v>440372.44497255085</v>
      </c>
      <c r="W126" s="607">
        <f t="shared" si="10"/>
        <v>435124.75052437431</v>
      </c>
      <c r="X126" s="607">
        <f t="shared" si="10"/>
        <v>430034.48690964305</v>
      </c>
      <c r="Y126" s="607">
        <f t="shared" si="10"/>
        <v>425096.9312033538</v>
      </c>
      <c r="Z126" s="607">
        <f t="shared" si="10"/>
        <v>420307.50216825318</v>
      </c>
      <c r="AA126" s="607">
        <f t="shared" si="10"/>
        <v>415661.75600420556</v>
      </c>
      <c r="AB126" s="607">
        <f t="shared" si="10"/>
        <v>411155.38222507935</v>
      </c>
      <c r="AC126" s="607">
        <f t="shared" si="10"/>
        <v>406784.19965932699</v>
      </c>
      <c r="AD126" s="607">
        <f t="shared" si="10"/>
        <v>402544.15257054719</v>
      </c>
      <c r="AE126" s="607">
        <f t="shared" si="10"/>
        <v>398431.30689443077</v>
      </c>
      <c r="AF126" s="607">
        <f t="shared" si="10"/>
        <v>394441.84658859787</v>
      </c>
      <c r="AG126" s="607">
        <f t="shared" si="10"/>
        <v>390572.07009193988</v>
      </c>
      <c r="AH126" s="607">
        <f t="shared" si="10"/>
        <v>386818.38689018169</v>
      </c>
      <c r="AI126" s="607">
        <f t="shared" si="10"/>
        <v>383177.31418447627</v>
      </c>
      <c r="AJ126" s="607">
        <f t="shared" si="10"/>
        <v>379645.47365994198</v>
      </c>
    </row>
    <row r="127" spans="7:36" ht="15" hidden="1" customHeight="1" x14ac:dyDescent="0.2">
      <c r="G127" s="69"/>
      <c r="H127" s="14"/>
      <c r="I127" s="14"/>
      <c r="J127" s="608"/>
      <c r="K127" s="399"/>
      <c r="L127" s="399"/>
      <c r="M127" s="399"/>
      <c r="N127" s="399"/>
      <c r="O127" s="399"/>
      <c r="P127" s="399"/>
      <c r="Q127" s="399"/>
      <c r="R127" s="399"/>
      <c r="S127" s="399"/>
      <c r="T127" s="399"/>
      <c r="U127" s="399"/>
      <c r="V127" s="399"/>
      <c r="W127" s="399"/>
      <c r="X127" s="399"/>
      <c r="Y127" s="399"/>
      <c r="Z127" s="399"/>
      <c r="AA127" s="399"/>
      <c r="AB127" s="399"/>
      <c r="AC127" s="399"/>
      <c r="AD127" s="399"/>
      <c r="AE127" s="399"/>
      <c r="AF127" s="399"/>
      <c r="AG127" s="399"/>
      <c r="AH127" s="399"/>
      <c r="AI127" s="399"/>
      <c r="AJ127" s="399"/>
    </row>
    <row r="128" spans="7:36" ht="15" hidden="1" customHeight="1" x14ac:dyDescent="0.2">
      <c r="G128" s="69" t="s">
        <v>453</v>
      </c>
      <c r="H128" s="14"/>
      <c r="I128" s="14"/>
      <c r="J128" s="399">
        <f>$L$73</f>
        <v>0</v>
      </c>
      <c r="K128" s="399">
        <f t="shared" ref="K128:AJ128" si="11">$J128*K118</f>
        <v>0</v>
      </c>
      <c r="L128" s="399">
        <f t="shared" si="11"/>
        <v>0</v>
      </c>
      <c r="M128" s="399">
        <f t="shared" si="11"/>
        <v>0</v>
      </c>
      <c r="N128" s="399">
        <f t="shared" si="11"/>
        <v>0</v>
      </c>
      <c r="O128" s="399">
        <f t="shared" si="11"/>
        <v>0</v>
      </c>
      <c r="P128" s="399">
        <f t="shared" si="11"/>
        <v>0</v>
      </c>
      <c r="Q128" s="399">
        <f t="shared" si="11"/>
        <v>0</v>
      </c>
      <c r="R128" s="399">
        <f t="shared" si="11"/>
        <v>0</v>
      </c>
      <c r="S128" s="399">
        <f t="shared" si="11"/>
        <v>0</v>
      </c>
      <c r="T128" s="399">
        <f t="shared" si="11"/>
        <v>0</v>
      </c>
      <c r="U128" s="399">
        <f t="shared" si="11"/>
        <v>0</v>
      </c>
      <c r="V128" s="399">
        <f t="shared" si="11"/>
        <v>0</v>
      </c>
      <c r="W128" s="399">
        <f t="shared" si="11"/>
        <v>0</v>
      </c>
      <c r="X128" s="399">
        <f t="shared" si="11"/>
        <v>0</v>
      </c>
      <c r="Y128" s="399">
        <f t="shared" si="11"/>
        <v>0</v>
      </c>
      <c r="Z128" s="399">
        <f t="shared" si="11"/>
        <v>0</v>
      </c>
      <c r="AA128" s="399">
        <f t="shared" si="11"/>
        <v>0</v>
      </c>
      <c r="AB128" s="399">
        <f t="shared" si="11"/>
        <v>0</v>
      </c>
      <c r="AC128" s="399">
        <f t="shared" si="11"/>
        <v>0</v>
      </c>
      <c r="AD128" s="399">
        <f t="shared" si="11"/>
        <v>0</v>
      </c>
      <c r="AE128" s="399">
        <f t="shared" si="11"/>
        <v>0</v>
      </c>
      <c r="AF128" s="399">
        <f t="shared" si="11"/>
        <v>0</v>
      </c>
      <c r="AG128" s="399">
        <f t="shared" si="11"/>
        <v>0</v>
      </c>
      <c r="AH128" s="399">
        <f t="shared" si="11"/>
        <v>0</v>
      </c>
      <c r="AI128" s="399">
        <f t="shared" si="11"/>
        <v>0</v>
      </c>
      <c r="AJ128" s="399">
        <f t="shared" si="11"/>
        <v>0</v>
      </c>
    </row>
    <row r="129" spans="7:38" ht="15" hidden="1" customHeight="1" x14ac:dyDescent="0.2">
      <c r="G129" s="69" t="s">
        <v>452</v>
      </c>
      <c r="H129" s="14"/>
      <c r="I129" s="14"/>
      <c r="J129" s="399">
        <f>$L$76</f>
        <v>1554790.0000000002</v>
      </c>
      <c r="K129" s="399">
        <f t="shared" ref="K129:AJ129" si="12">$J129*K119</f>
        <v>139931.1</v>
      </c>
      <c r="L129" s="399">
        <f t="shared" si="12"/>
        <v>148326.96600000001</v>
      </c>
      <c r="M129" s="399">
        <f t="shared" si="12"/>
        <v>157226.58396000002</v>
      </c>
      <c r="N129" s="399">
        <f t="shared" si="12"/>
        <v>166660.17899760004</v>
      </c>
      <c r="O129" s="399">
        <f t="shared" si="12"/>
        <v>176659.78973745604</v>
      </c>
      <c r="P129" s="399">
        <f t="shared" si="12"/>
        <v>187259.37712170341</v>
      </c>
      <c r="Q129" s="399">
        <f t="shared" si="12"/>
        <v>198494.93974900563</v>
      </c>
      <c r="R129" s="399">
        <f t="shared" si="12"/>
        <v>210404.63613394598</v>
      </c>
      <c r="S129" s="399">
        <f t="shared" si="12"/>
        <v>223028.91430198276</v>
      </c>
      <c r="T129" s="399">
        <f t="shared" si="12"/>
        <v>236410.64916010175</v>
      </c>
      <c r="U129" s="399">
        <f t="shared" si="12"/>
        <v>250595.28810970788</v>
      </c>
      <c r="V129" s="399">
        <f t="shared" si="12"/>
        <v>265631.00539629033</v>
      </c>
      <c r="W129" s="399">
        <f t="shared" si="12"/>
        <v>281568.86572006781</v>
      </c>
      <c r="X129" s="399">
        <f t="shared" si="12"/>
        <v>298462.99766327185</v>
      </c>
      <c r="Y129" s="399">
        <f t="shared" si="12"/>
        <v>316370.77752306819</v>
      </c>
      <c r="Z129" s="399">
        <f t="shared" si="12"/>
        <v>335353.02417445229</v>
      </c>
      <c r="AA129" s="399">
        <f t="shared" si="12"/>
        <v>355474.20562491944</v>
      </c>
      <c r="AB129" s="399">
        <f t="shared" si="12"/>
        <v>376802.65796241461</v>
      </c>
      <c r="AC129" s="399">
        <f t="shared" si="12"/>
        <v>399410.81744015944</v>
      </c>
      <c r="AD129" s="399">
        <f t="shared" si="12"/>
        <v>423375.46648656909</v>
      </c>
      <c r="AE129" s="399">
        <f t="shared" si="12"/>
        <v>448777.99447576317</v>
      </c>
      <c r="AF129" s="399">
        <f t="shared" si="12"/>
        <v>475704.67414430901</v>
      </c>
      <c r="AG129" s="399">
        <f t="shared" si="12"/>
        <v>504246.95459296764</v>
      </c>
      <c r="AH129" s="399">
        <f t="shared" si="12"/>
        <v>534501.77186854568</v>
      </c>
      <c r="AI129" s="399">
        <f t="shared" si="12"/>
        <v>566571.87818065844</v>
      </c>
      <c r="AJ129" s="399">
        <f t="shared" si="12"/>
        <v>600566.19087149797</v>
      </c>
    </row>
    <row r="130" spans="7:38" ht="15" hidden="1" customHeight="1" x14ac:dyDescent="0.2">
      <c r="G130" s="69" t="s">
        <v>343</v>
      </c>
      <c r="H130" s="14"/>
      <c r="I130" s="14"/>
      <c r="J130" s="399">
        <f>$L$79</f>
        <v>1264581</v>
      </c>
      <c r="K130" s="399">
        <f t="shared" ref="K130:AJ130" si="13">$J130*K120</f>
        <v>392020.11</v>
      </c>
      <c r="L130" s="399">
        <f t="shared" si="13"/>
        <v>431222.12100000004</v>
      </c>
      <c r="M130" s="399">
        <f t="shared" si="13"/>
        <v>474344.33310000005</v>
      </c>
      <c r="N130" s="399">
        <f t="shared" si="13"/>
        <v>521778.7664100001</v>
      </c>
      <c r="O130" s="399">
        <f t="shared" si="13"/>
        <v>573956.6430510002</v>
      </c>
      <c r="P130" s="399">
        <f t="shared" si="13"/>
        <v>631352.3073561003</v>
      </c>
      <c r="Q130" s="399">
        <f t="shared" si="13"/>
        <v>694487.5380917103</v>
      </c>
      <c r="R130" s="399">
        <f t="shared" si="13"/>
        <v>763936.29190088133</v>
      </c>
      <c r="S130" s="399">
        <f t="shared" si="13"/>
        <v>840329.92109096958</v>
      </c>
      <c r="T130" s="399">
        <f t="shared" si="13"/>
        <v>924362.91320006666</v>
      </c>
      <c r="U130" s="399">
        <f t="shared" si="13"/>
        <v>1016799.2045200735</v>
      </c>
      <c r="V130" s="399">
        <f t="shared" si="13"/>
        <v>1118479.124972081</v>
      </c>
      <c r="W130" s="399">
        <f t="shared" si="13"/>
        <v>1230327.0374692893</v>
      </c>
      <c r="X130" s="399">
        <f t="shared" si="13"/>
        <v>1353359.7412162183</v>
      </c>
      <c r="Y130" s="399">
        <f t="shared" si="13"/>
        <v>1488695.7153378401</v>
      </c>
      <c r="Z130" s="399">
        <f t="shared" si="13"/>
        <v>1637565.2868716244</v>
      </c>
      <c r="AA130" s="399">
        <f t="shared" si="13"/>
        <v>1801321.815558787</v>
      </c>
      <c r="AB130" s="399">
        <f t="shared" si="13"/>
        <v>1981453.9971146658</v>
      </c>
      <c r="AC130" s="399">
        <f t="shared" si="13"/>
        <v>2179599.3968261327</v>
      </c>
      <c r="AD130" s="399">
        <f t="shared" si="13"/>
        <v>2397559.3365087463</v>
      </c>
      <c r="AE130" s="399">
        <f t="shared" si="13"/>
        <v>2637315.2701596208</v>
      </c>
      <c r="AF130" s="399">
        <f t="shared" si="13"/>
        <v>2901046.797175583</v>
      </c>
      <c r="AG130" s="399">
        <f t="shared" si="13"/>
        <v>3191151.4768931419</v>
      </c>
      <c r="AH130" s="399">
        <f t="shared" si="13"/>
        <v>3510266.6245824564</v>
      </c>
      <c r="AI130" s="399">
        <f t="shared" si="13"/>
        <v>3861293.2870407025</v>
      </c>
      <c r="AJ130" s="399">
        <f t="shared" si="13"/>
        <v>4247422.6157447733</v>
      </c>
    </row>
    <row r="131" spans="7:38" ht="15" hidden="1" customHeight="1" x14ac:dyDescent="0.2">
      <c r="G131" s="196" t="s">
        <v>483</v>
      </c>
      <c r="H131" s="30"/>
      <c r="I131" s="30"/>
      <c r="J131" s="606"/>
      <c r="K131" s="607">
        <f>SUM(K128:K130)</f>
        <v>531951.21</v>
      </c>
      <c r="L131" s="607">
        <f t="shared" ref="L131" si="14">SUM(L128:L130)</f>
        <v>579549.08700000006</v>
      </c>
      <c r="M131" s="607">
        <f t="shared" ref="M131" si="15">SUM(M128:M130)</f>
        <v>631570.91706000012</v>
      </c>
      <c r="N131" s="607">
        <f t="shared" ref="N131" si="16">SUM(N128:N130)</f>
        <v>688438.94540760014</v>
      </c>
      <c r="O131" s="607">
        <f t="shared" ref="O131" si="17">SUM(O128:O130)</f>
        <v>750616.43278845621</v>
      </c>
      <c r="P131" s="607">
        <f t="shared" ref="P131" si="18">SUM(P128:P130)</f>
        <v>818611.68447780376</v>
      </c>
      <c r="Q131" s="607">
        <f t="shared" ref="Q131" si="19">SUM(Q128:Q130)</f>
        <v>892982.4778407159</v>
      </c>
      <c r="R131" s="607">
        <f t="shared" ref="R131" si="20">SUM(R128:R130)</f>
        <v>974340.92803482735</v>
      </c>
      <c r="S131" s="607">
        <f t="shared" ref="S131" si="21">SUM(S128:S130)</f>
        <v>1063358.8353929524</v>
      </c>
      <c r="T131" s="607">
        <f t="shared" ref="T131" si="22">SUM(T128:T130)</f>
        <v>1160773.5623601684</v>
      </c>
      <c r="U131" s="607">
        <f t="shared" ref="U131" si="23">SUM(U128:U130)</f>
        <v>1267394.4926297814</v>
      </c>
      <c r="V131" s="607">
        <f t="shared" ref="V131" si="24">SUM(V128:V130)</f>
        <v>1384110.1303683715</v>
      </c>
      <c r="W131" s="607">
        <f t="shared" ref="W131" si="25">SUM(W128:W130)</f>
        <v>1511895.9031893571</v>
      </c>
      <c r="X131" s="607">
        <f t="shared" ref="X131" si="26">SUM(X128:X130)</f>
        <v>1651822.7388794902</v>
      </c>
      <c r="Y131" s="607">
        <f t="shared" ref="Y131" si="27">SUM(Y128:Y130)</f>
        <v>1805066.4928609084</v>
      </c>
      <c r="Z131" s="607">
        <f t="shared" ref="Z131" si="28">SUM(Z128:Z130)</f>
        <v>1972918.3110460767</v>
      </c>
      <c r="AA131" s="607">
        <f t="shared" ref="AA131" si="29">SUM(AA128:AA130)</f>
        <v>2156796.0211837064</v>
      </c>
      <c r="AB131" s="607">
        <f t="shared" ref="AB131" si="30">SUM(AB128:AB130)</f>
        <v>2358256.6550770802</v>
      </c>
      <c r="AC131" s="607">
        <f t="shared" ref="AC131" si="31">SUM(AC128:AC130)</f>
        <v>2579010.2142662923</v>
      </c>
      <c r="AD131" s="607">
        <f t="shared" ref="AD131" si="32">SUM(AD128:AD130)</f>
        <v>2820934.8029953153</v>
      </c>
      <c r="AE131" s="607">
        <f t="shared" ref="AE131" si="33">SUM(AE128:AE130)</f>
        <v>3086093.2646353841</v>
      </c>
      <c r="AF131" s="607">
        <f t="shared" ref="AF131" si="34">SUM(AF128:AF130)</f>
        <v>3376751.471319892</v>
      </c>
      <c r="AG131" s="607">
        <f t="shared" ref="AG131" si="35">SUM(AG128:AG130)</f>
        <v>3695398.4314861093</v>
      </c>
      <c r="AH131" s="607">
        <f t="shared" ref="AH131" si="36">SUM(AH128:AH130)</f>
        <v>4044768.396451002</v>
      </c>
      <c r="AI131" s="607">
        <f t="shared" ref="AI131" si="37">SUM(AI128:AI130)</f>
        <v>4427865.1652213614</v>
      </c>
      <c r="AJ131" s="607">
        <f t="shared" ref="AJ131" si="38">SUM(AJ128:AJ130)</f>
        <v>4847988.8066162709</v>
      </c>
    </row>
    <row r="132" spans="7:38" ht="15" hidden="1" customHeight="1" x14ac:dyDescent="0.2">
      <c r="G132" s="66"/>
      <c r="H132" s="66"/>
      <c r="I132" s="8"/>
      <c r="J132" s="609"/>
      <c r="K132" s="610"/>
      <c r="L132" s="610"/>
      <c r="M132" s="610"/>
      <c r="N132" s="610"/>
      <c r="O132" s="610"/>
      <c r="P132" s="610"/>
      <c r="Q132" s="610"/>
      <c r="R132" s="610"/>
      <c r="S132" s="610"/>
      <c r="T132" s="610"/>
      <c r="U132" s="610"/>
      <c r="V132" s="610"/>
      <c r="W132" s="610"/>
      <c r="X132" s="610"/>
      <c r="Y132" s="610"/>
      <c r="Z132" s="610"/>
      <c r="AA132" s="610"/>
      <c r="AB132" s="610"/>
      <c r="AC132" s="610"/>
      <c r="AD132" s="610"/>
      <c r="AE132" s="610"/>
      <c r="AF132" s="610"/>
      <c r="AG132" s="610"/>
      <c r="AH132" s="610"/>
      <c r="AI132" s="610"/>
      <c r="AJ132" s="610"/>
      <c r="AL132" s="65"/>
    </row>
    <row r="133" spans="7:38" ht="15" hidden="1" customHeight="1" x14ac:dyDescent="0.2">
      <c r="G133" s="15" t="s">
        <v>563</v>
      </c>
      <c r="H133" s="17"/>
      <c r="I133" s="13"/>
      <c r="J133" s="611"/>
      <c r="K133" s="399"/>
      <c r="L133" s="399"/>
      <c r="M133" s="399"/>
      <c r="N133" s="399"/>
      <c r="O133" s="399"/>
      <c r="P133" s="399"/>
      <c r="Q133" s="399"/>
      <c r="R133" s="399"/>
      <c r="S133" s="399"/>
      <c r="T133" s="399"/>
      <c r="U133" s="399"/>
      <c r="V133" s="399"/>
      <c r="W133" s="399"/>
      <c r="X133" s="399"/>
      <c r="Y133" s="399"/>
      <c r="Z133" s="399"/>
      <c r="AA133" s="399"/>
      <c r="AB133" s="399"/>
      <c r="AC133" s="399"/>
      <c r="AD133" s="399"/>
      <c r="AE133" s="399"/>
      <c r="AF133" s="399"/>
      <c r="AG133" s="399"/>
      <c r="AH133" s="399"/>
      <c r="AI133" s="399"/>
      <c r="AJ133" s="399"/>
    </row>
    <row r="134" spans="7:38" ht="15" hidden="1" customHeight="1" x14ac:dyDescent="0.2">
      <c r="G134" s="397" t="s">
        <v>453</v>
      </c>
      <c r="H134" s="17"/>
      <c r="I134" s="17"/>
      <c r="J134" s="612">
        <f>$X$73</f>
        <v>0</v>
      </c>
      <c r="K134" s="612">
        <f t="shared" ref="K134:AJ134" si="39">$J134*K114</f>
        <v>0</v>
      </c>
      <c r="L134" s="612">
        <f t="shared" si="39"/>
        <v>0</v>
      </c>
      <c r="M134" s="612">
        <f t="shared" si="39"/>
        <v>0</v>
      </c>
      <c r="N134" s="612">
        <f t="shared" si="39"/>
        <v>0</v>
      </c>
      <c r="O134" s="612">
        <f t="shared" si="39"/>
        <v>0</v>
      </c>
      <c r="P134" s="612">
        <f t="shared" si="39"/>
        <v>0</v>
      </c>
      <c r="Q134" s="612">
        <f t="shared" si="39"/>
        <v>0</v>
      </c>
      <c r="R134" s="612">
        <f t="shared" si="39"/>
        <v>0</v>
      </c>
      <c r="S134" s="612">
        <f t="shared" si="39"/>
        <v>0</v>
      </c>
      <c r="T134" s="612">
        <f t="shared" si="39"/>
        <v>0</v>
      </c>
      <c r="U134" s="612">
        <f t="shared" si="39"/>
        <v>0</v>
      </c>
      <c r="V134" s="612">
        <f t="shared" si="39"/>
        <v>0</v>
      </c>
      <c r="W134" s="612">
        <f t="shared" si="39"/>
        <v>0</v>
      </c>
      <c r="X134" s="612">
        <f t="shared" si="39"/>
        <v>0</v>
      </c>
      <c r="Y134" s="612">
        <f t="shared" si="39"/>
        <v>0</v>
      </c>
      <c r="Z134" s="612">
        <f t="shared" si="39"/>
        <v>0</v>
      </c>
      <c r="AA134" s="612">
        <f t="shared" si="39"/>
        <v>0</v>
      </c>
      <c r="AB134" s="612">
        <f t="shared" si="39"/>
        <v>0</v>
      </c>
      <c r="AC134" s="612">
        <f t="shared" si="39"/>
        <v>0</v>
      </c>
      <c r="AD134" s="612">
        <f t="shared" si="39"/>
        <v>0</v>
      </c>
      <c r="AE134" s="612">
        <f t="shared" si="39"/>
        <v>0</v>
      </c>
      <c r="AF134" s="612">
        <f t="shared" si="39"/>
        <v>0</v>
      </c>
      <c r="AG134" s="612">
        <f t="shared" si="39"/>
        <v>0</v>
      </c>
      <c r="AH134" s="612">
        <f t="shared" si="39"/>
        <v>0</v>
      </c>
      <c r="AI134" s="612">
        <f t="shared" si="39"/>
        <v>0</v>
      </c>
      <c r="AJ134" s="612">
        <f t="shared" si="39"/>
        <v>0</v>
      </c>
    </row>
    <row r="135" spans="7:38" ht="15" hidden="1" customHeight="1" x14ac:dyDescent="0.2">
      <c r="G135" s="397" t="s">
        <v>452</v>
      </c>
      <c r="H135" s="17"/>
      <c r="I135" s="17"/>
      <c r="J135" s="612">
        <f>$X$76</f>
        <v>1554790.0000000002</v>
      </c>
      <c r="K135" s="612">
        <f t="shared" ref="K135:AJ135" si="40">$J135*K115</f>
        <v>265449.29670000001</v>
      </c>
      <c r="L135" s="612">
        <f t="shared" si="40"/>
        <v>265449.29670000001</v>
      </c>
      <c r="M135" s="612">
        <f t="shared" si="40"/>
        <v>265449.29670000001</v>
      </c>
      <c r="N135" s="612">
        <f t="shared" si="40"/>
        <v>265449.29670000001</v>
      </c>
      <c r="O135" s="612">
        <f t="shared" si="40"/>
        <v>265449.29670000001</v>
      </c>
      <c r="P135" s="612">
        <f t="shared" si="40"/>
        <v>265449.29670000001</v>
      </c>
      <c r="Q135" s="612">
        <f t="shared" si="40"/>
        <v>265449.29670000001</v>
      </c>
      <c r="R135" s="612">
        <f t="shared" si="40"/>
        <v>265449.29670000001</v>
      </c>
      <c r="S135" s="612">
        <f t="shared" si="40"/>
        <v>265449.29670000001</v>
      </c>
      <c r="T135" s="612">
        <f t="shared" si="40"/>
        <v>265449.29670000001</v>
      </c>
      <c r="U135" s="612">
        <f t="shared" si="40"/>
        <v>265449.29670000001</v>
      </c>
      <c r="V135" s="612">
        <f t="shared" si="40"/>
        <v>265449.29670000001</v>
      </c>
      <c r="W135" s="612">
        <f t="shared" si="40"/>
        <v>265449.29670000001</v>
      </c>
      <c r="X135" s="612">
        <f t="shared" si="40"/>
        <v>265449.29670000001</v>
      </c>
      <c r="Y135" s="612">
        <f t="shared" si="40"/>
        <v>265449.29670000001</v>
      </c>
      <c r="Z135" s="612">
        <f t="shared" si="40"/>
        <v>265449.29670000001</v>
      </c>
      <c r="AA135" s="612">
        <f t="shared" si="40"/>
        <v>265449.29670000001</v>
      </c>
      <c r="AB135" s="612">
        <f t="shared" si="40"/>
        <v>265449.29670000001</v>
      </c>
      <c r="AC135" s="612">
        <f t="shared" si="40"/>
        <v>265449.29670000001</v>
      </c>
      <c r="AD135" s="612">
        <f t="shared" si="40"/>
        <v>265449.29670000001</v>
      </c>
      <c r="AE135" s="612">
        <f t="shared" si="40"/>
        <v>265449.29670000001</v>
      </c>
      <c r="AF135" s="612">
        <f t="shared" si="40"/>
        <v>265449.29670000001</v>
      </c>
      <c r="AG135" s="612">
        <f t="shared" si="40"/>
        <v>265449.29670000001</v>
      </c>
      <c r="AH135" s="612">
        <f t="shared" si="40"/>
        <v>265449.29670000001</v>
      </c>
      <c r="AI135" s="612">
        <f t="shared" si="40"/>
        <v>265449.29670000001</v>
      </c>
      <c r="AJ135" s="612">
        <f t="shared" si="40"/>
        <v>265449.29670000001</v>
      </c>
    </row>
    <row r="136" spans="7:38" ht="15" hidden="1" customHeight="1" x14ac:dyDescent="0.2">
      <c r="G136" s="397" t="s">
        <v>343</v>
      </c>
      <c r="H136" s="17"/>
      <c r="I136" s="17"/>
      <c r="J136" s="612">
        <f>$X$79</f>
        <v>1264581</v>
      </c>
      <c r="K136" s="612">
        <f t="shared" ref="K136:AJ136" si="41">$J136*K116</f>
        <v>244544.67377999998</v>
      </c>
      <c r="L136" s="612">
        <f t="shared" si="41"/>
        <v>237208.33356659999</v>
      </c>
      <c r="M136" s="612">
        <f t="shared" si="41"/>
        <v>230092.08355960198</v>
      </c>
      <c r="N136" s="612">
        <f t="shared" si="41"/>
        <v>223189.3210528139</v>
      </c>
      <c r="O136" s="612">
        <f t="shared" si="41"/>
        <v>216493.64142122949</v>
      </c>
      <c r="P136" s="612">
        <f t="shared" si="41"/>
        <v>209998.83217859262</v>
      </c>
      <c r="Q136" s="612">
        <f t="shared" si="41"/>
        <v>203698.86721323483</v>
      </c>
      <c r="R136" s="612">
        <f t="shared" si="41"/>
        <v>197587.90119683777</v>
      </c>
      <c r="S136" s="612">
        <f t="shared" si="41"/>
        <v>191660.26416093262</v>
      </c>
      <c r="T136" s="612">
        <f t="shared" si="41"/>
        <v>185910.45623610463</v>
      </c>
      <c r="U136" s="612">
        <f t="shared" si="41"/>
        <v>180333.14254902149</v>
      </c>
      <c r="V136" s="612">
        <f t="shared" si="41"/>
        <v>174923.14827255081</v>
      </c>
      <c r="W136" s="612">
        <f t="shared" si="41"/>
        <v>169675.4538243743</v>
      </c>
      <c r="X136" s="612">
        <f t="shared" si="41"/>
        <v>164585.19020964307</v>
      </c>
      <c r="Y136" s="612">
        <f t="shared" si="41"/>
        <v>159647.63450335377</v>
      </c>
      <c r="Z136" s="612">
        <f t="shared" si="41"/>
        <v>154858.20546825315</v>
      </c>
      <c r="AA136" s="612">
        <f t="shared" si="41"/>
        <v>150212.45930420555</v>
      </c>
      <c r="AB136" s="612">
        <f t="shared" si="41"/>
        <v>145706.08552507937</v>
      </c>
      <c r="AC136" s="612">
        <f t="shared" si="41"/>
        <v>141334.90295932698</v>
      </c>
      <c r="AD136" s="612">
        <f t="shared" si="41"/>
        <v>137094.85587054718</v>
      </c>
      <c r="AE136" s="612">
        <f t="shared" si="41"/>
        <v>132982.01019443077</v>
      </c>
      <c r="AF136" s="612">
        <f t="shared" si="41"/>
        <v>128992.54988859784</v>
      </c>
      <c r="AG136" s="612">
        <f t="shared" si="41"/>
        <v>125122.7733919399</v>
      </c>
      <c r="AH136" s="612">
        <f t="shared" si="41"/>
        <v>121369.0901901817</v>
      </c>
      <c r="AI136" s="612">
        <f t="shared" si="41"/>
        <v>117728.01748447625</v>
      </c>
      <c r="AJ136" s="612">
        <f t="shared" si="41"/>
        <v>114196.17695994196</v>
      </c>
    </row>
    <row r="137" spans="7:38" ht="15" hidden="1" customHeight="1" x14ac:dyDescent="0.2">
      <c r="G137" s="511" t="s">
        <v>482</v>
      </c>
      <c r="H137" s="15"/>
      <c r="I137" s="15"/>
      <c r="J137" s="613"/>
      <c r="K137" s="614">
        <f>SUM(K134:K136)</f>
        <v>509993.97048000002</v>
      </c>
      <c r="L137" s="614">
        <f t="shared" ref="L137:AJ137" si="42">SUM(L134:L136)</f>
        <v>502657.6302666</v>
      </c>
      <c r="M137" s="614">
        <f t="shared" si="42"/>
        <v>495541.38025960198</v>
      </c>
      <c r="N137" s="614">
        <f t="shared" si="42"/>
        <v>488638.61775281391</v>
      </c>
      <c r="O137" s="614">
        <f t="shared" si="42"/>
        <v>481942.93812122953</v>
      </c>
      <c r="P137" s="614">
        <f t="shared" si="42"/>
        <v>475448.12887859263</v>
      </c>
      <c r="Q137" s="614">
        <f t="shared" si="42"/>
        <v>469148.16391323484</v>
      </c>
      <c r="R137" s="614">
        <f t="shared" si="42"/>
        <v>463037.19789683778</v>
      </c>
      <c r="S137" s="614">
        <f t="shared" si="42"/>
        <v>457109.56086093263</v>
      </c>
      <c r="T137" s="614">
        <f t="shared" si="42"/>
        <v>451359.75293610466</v>
      </c>
      <c r="U137" s="614">
        <f t="shared" si="42"/>
        <v>445782.43924902147</v>
      </c>
      <c r="V137" s="614">
        <f t="shared" si="42"/>
        <v>440372.44497255085</v>
      </c>
      <c r="W137" s="614">
        <f t="shared" si="42"/>
        <v>435124.75052437431</v>
      </c>
      <c r="X137" s="614">
        <f t="shared" si="42"/>
        <v>430034.48690964305</v>
      </c>
      <c r="Y137" s="614">
        <f t="shared" si="42"/>
        <v>425096.9312033538</v>
      </c>
      <c r="Z137" s="614">
        <f t="shared" si="42"/>
        <v>420307.50216825318</v>
      </c>
      <c r="AA137" s="614">
        <f t="shared" si="42"/>
        <v>415661.75600420556</v>
      </c>
      <c r="AB137" s="614">
        <f t="shared" si="42"/>
        <v>411155.38222507935</v>
      </c>
      <c r="AC137" s="614">
        <f t="shared" si="42"/>
        <v>406784.19965932699</v>
      </c>
      <c r="AD137" s="614">
        <f t="shared" si="42"/>
        <v>402544.15257054719</v>
      </c>
      <c r="AE137" s="614">
        <f t="shared" si="42"/>
        <v>398431.30689443077</v>
      </c>
      <c r="AF137" s="614">
        <f t="shared" si="42"/>
        <v>394441.84658859787</v>
      </c>
      <c r="AG137" s="614">
        <f t="shared" si="42"/>
        <v>390572.07009193988</v>
      </c>
      <c r="AH137" s="614">
        <f t="shared" si="42"/>
        <v>386818.38689018169</v>
      </c>
      <c r="AI137" s="614">
        <f t="shared" si="42"/>
        <v>383177.31418447627</v>
      </c>
      <c r="AJ137" s="614">
        <f t="shared" si="42"/>
        <v>379645.47365994198</v>
      </c>
    </row>
    <row r="138" spans="7:38" ht="15" hidden="1" customHeight="1" x14ac:dyDescent="0.2">
      <c r="G138" s="397"/>
      <c r="H138" s="17"/>
      <c r="I138" s="17"/>
      <c r="J138" s="615"/>
      <c r="K138" s="612"/>
      <c r="L138" s="612"/>
      <c r="M138" s="612"/>
      <c r="N138" s="612"/>
      <c r="O138" s="612"/>
      <c r="P138" s="612"/>
      <c r="Q138" s="612"/>
      <c r="R138" s="612"/>
      <c r="S138" s="612"/>
      <c r="T138" s="612"/>
      <c r="U138" s="612"/>
      <c r="V138" s="612"/>
      <c r="W138" s="612"/>
      <c r="X138" s="612"/>
      <c r="Y138" s="612"/>
      <c r="Z138" s="612"/>
      <c r="AA138" s="612"/>
      <c r="AB138" s="612"/>
      <c r="AC138" s="612"/>
      <c r="AD138" s="612"/>
      <c r="AE138" s="612"/>
      <c r="AF138" s="612"/>
      <c r="AG138" s="612"/>
      <c r="AH138" s="612"/>
      <c r="AI138" s="612"/>
      <c r="AJ138" s="612"/>
    </row>
    <row r="139" spans="7:38" ht="15" hidden="1" customHeight="1" x14ac:dyDescent="0.2">
      <c r="G139" s="397" t="s">
        <v>453</v>
      </c>
      <c r="H139" s="17"/>
      <c r="I139" s="17"/>
      <c r="J139" s="612">
        <f>$X$73</f>
        <v>0</v>
      </c>
      <c r="K139" s="612">
        <f t="shared" ref="K139:AJ139" si="43">$J139*K118</f>
        <v>0</v>
      </c>
      <c r="L139" s="612">
        <f t="shared" si="43"/>
        <v>0</v>
      </c>
      <c r="M139" s="612">
        <f t="shared" si="43"/>
        <v>0</v>
      </c>
      <c r="N139" s="612">
        <f t="shared" si="43"/>
        <v>0</v>
      </c>
      <c r="O139" s="612">
        <f t="shared" si="43"/>
        <v>0</v>
      </c>
      <c r="P139" s="612">
        <f t="shared" si="43"/>
        <v>0</v>
      </c>
      <c r="Q139" s="612">
        <f t="shared" si="43"/>
        <v>0</v>
      </c>
      <c r="R139" s="612">
        <f t="shared" si="43"/>
        <v>0</v>
      </c>
      <c r="S139" s="612">
        <f t="shared" si="43"/>
        <v>0</v>
      </c>
      <c r="T139" s="612">
        <f t="shared" si="43"/>
        <v>0</v>
      </c>
      <c r="U139" s="612">
        <f t="shared" si="43"/>
        <v>0</v>
      </c>
      <c r="V139" s="612">
        <f t="shared" si="43"/>
        <v>0</v>
      </c>
      <c r="W139" s="612">
        <f t="shared" si="43"/>
        <v>0</v>
      </c>
      <c r="X139" s="612">
        <f t="shared" si="43"/>
        <v>0</v>
      </c>
      <c r="Y139" s="612">
        <f t="shared" si="43"/>
        <v>0</v>
      </c>
      <c r="Z139" s="612">
        <f t="shared" si="43"/>
        <v>0</v>
      </c>
      <c r="AA139" s="612">
        <f t="shared" si="43"/>
        <v>0</v>
      </c>
      <c r="AB139" s="612">
        <f t="shared" si="43"/>
        <v>0</v>
      </c>
      <c r="AC139" s="612">
        <f t="shared" si="43"/>
        <v>0</v>
      </c>
      <c r="AD139" s="612">
        <f t="shared" si="43"/>
        <v>0</v>
      </c>
      <c r="AE139" s="612">
        <f t="shared" si="43"/>
        <v>0</v>
      </c>
      <c r="AF139" s="612">
        <f t="shared" si="43"/>
        <v>0</v>
      </c>
      <c r="AG139" s="612">
        <f t="shared" si="43"/>
        <v>0</v>
      </c>
      <c r="AH139" s="612">
        <f t="shared" si="43"/>
        <v>0</v>
      </c>
      <c r="AI139" s="612">
        <f t="shared" si="43"/>
        <v>0</v>
      </c>
      <c r="AJ139" s="612">
        <f t="shared" si="43"/>
        <v>0</v>
      </c>
    </row>
    <row r="140" spans="7:38" ht="15" hidden="1" customHeight="1" x14ac:dyDescent="0.2">
      <c r="G140" s="397" t="s">
        <v>452</v>
      </c>
      <c r="H140" s="17"/>
      <c r="I140" s="17"/>
      <c r="J140" s="612">
        <f>$X$76</f>
        <v>1554790.0000000002</v>
      </c>
      <c r="K140" s="612">
        <f t="shared" ref="K140:AJ140" si="44">$J140*K119</f>
        <v>139931.1</v>
      </c>
      <c r="L140" s="612">
        <f t="shared" si="44"/>
        <v>148326.96600000001</v>
      </c>
      <c r="M140" s="612">
        <f t="shared" si="44"/>
        <v>157226.58396000002</v>
      </c>
      <c r="N140" s="612">
        <f t="shared" si="44"/>
        <v>166660.17899760004</v>
      </c>
      <c r="O140" s="612">
        <f t="shared" si="44"/>
        <v>176659.78973745604</v>
      </c>
      <c r="P140" s="612">
        <f t="shared" si="44"/>
        <v>187259.37712170341</v>
      </c>
      <c r="Q140" s="612">
        <f t="shared" si="44"/>
        <v>198494.93974900563</v>
      </c>
      <c r="R140" s="612">
        <f t="shared" si="44"/>
        <v>210404.63613394598</v>
      </c>
      <c r="S140" s="612">
        <f t="shared" si="44"/>
        <v>223028.91430198276</v>
      </c>
      <c r="T140" s="612">
        <f t="shared" si="44"/>
        <v>236410.64916010175</v>
      </c>
      <c r="U140" s="612">
        <f t="shared" si="44"/>
        <v>250595.28810970788</v>
      </c>
      <c r="V140" s="612">
        <f t="shared" si="44"/>
        <v>265631.00539629033</v>
      </c>
      <c r="W140" s="612">
        <f t="shared" si="44"/>
        <v>281568.86572006781</v>
      </c>
      <c r="X140" s="612">
        <f t="shared" si="44"/>
        <v>298462.99766327185</v>
      </c>
      <c r="Y140" s="612">
        <f t="shared" si="44"/>
        <v>316370.77752306819</v>
      </c>
      <c r="Z140" s="612">
        <f t="shared" si="44"/>
        <v>335353.02417445229</v>
      </c>
      <c r="AA140" s="612">
        <f t="shared" si="44"/>
        <v>355474.20562491944</v>
      </c>
      <c r="AB140" s="612">
        <f t="shared" si="44"/>
        <v>376802.65796241461</v>
      </c>
      <c r="AC140" s="612">
        <f t="shared" si="44"/>
        <v>399410.81744015944</v>
      </c>
      <c r="AD140" s="612">
        <f t="shared" si="44"/>
        <v>423375.46648656909</v>
      </c>
      <c r="AE140" s="612">
        <f t="shared" si="44"/>
        <v>448777.99447576317</v>
      </c>
      <c r="AF140" s="612">
        <f t="shared" si="44"/>
        <v>475704.67414430901</v>
      </c>
      <c r="AG140" s="612">
        <f t="shared" si="44"/>
        <v>504246.95459296764</v>
      </c>
      <c r="AH140" s="612">
        <f t="shared" si="44"/>
        <v>534501.77186854568</v>
      </c>
      <c r="AI140" s="612">
        <f t="shared" si="44"/>
        <v>566571.87818065844</v>
      </c>
      <c r="AJ140" s="612">
        <f t="shared" si="44"/>
        <v>600566.19087149797</v>
      </c>
    </row>
    <row r="141" spans="7:38" ht="15" hidden="1" customHeight="1" x14ac:dyDescent="0.2">
      <c r="G141" s="397" t="s">
        <v>343</v>
      </c>
      <c r="H141" s="17"/>
      <c r="I141" s="17"/>
      <c r="J141" s="612">
        <f>$X$79</f>
        <v>1264581</v>
      </c>
      <c r="K141" s="612">
        <f t="shared" ref="K141:AJ141" si="45">$J141*K120</f>
        <v>392020.11</v>
      </c>
      <c r="L141" s="612">
        <f t="shared" si="45"/>
        <v>431222.12100000004</v>
      </c>
      <c r="M141" s="612">
        <f t="shared" si="45"/>
        <v>474344.33310000005</v>
      </c>
      <c r="N141" s="612">
        <f t="shared" si="45"/>
        <v>521778.7664100001</v>
      </c>
      <c r="O141" s="612">
        <f t="shared" si="45"/>
        <v>573956.6430510002</v>
      </c>
      <c r="P141" s="612">
        <f t="shared" si="45"/>
        <v>631352.3073561003</v>
      </c>
      <c r="Q141" s="612">
        <f t="shared" si="45"/>
        <v>694487.5380917103</v>
      </c>
      <c r="R141" s="612">
        <f t="shared" si="45"/>
        <v>763936.29190088133</v>
      </c>
      <c r="S141" s="612">
        <f t="shared" si="45"/>
        <v>840329.92109096958</v>
      </c>
      <c r="T141" s="612">
        <f t="shared" si="45"/>
        <v>924362.91320006666</v>
      </c>
      <c r="U141" s="612">
        <f t="shared" si="45"/>
        <v>1016799.2045200735</v>
      </c>
      <c r="V141" s="612">
        <f t="shared" si="45"/>
        <v>1118479.124972081</v>
      </c>
      <c r="W141" s="612">
        <f t="shared" si="45"/>
        <v>1230327.0374692893</v>
      </c>
      <c r="X141" s="612">
        <f t="shared" si="45"/>
        <v>1353359.7412162183</v>
      </c>
      <c r="Y141" s="612">
        <f t="shared" si="45"/>
        <v>1488695.7153378401</v>
      </c>
      <c r="Z141" s="612">
        <f t="shared" si="45"/>
        <v>1637565.2868716244</v>
      </c>
      <c r="AA141" s="612">
        <f t="shared" si="45"/>
        <v>1801321.815558787</v>
      </c>
      <c r="AB141" s="612">
        <f t="shared" si="45"/>
        <v>1981453.9971146658</v>
      </c>
      <c r="AC141" s="612">
        <f t="shared" si="45"/>
        <v>2179599.3968261327</v>
      </c>
      <c r="AD141" s="612">
        <f t="shared" si="45"/>
        <v>2397559.3365087463</v>
      </c>
      <c r="AE141" s="612">
        <f t="shared" si="45"/>
        <v>2637315.2701596208</v>
      </c>
      <c r="AF141" s="612">
        <f t="shared" si="45"/>
        <v>2901046.797175583</v>
      </c>
      <c r="AG141" s="612">
        <f t="shared" si="45"/>
        <v>3191151.4768931419</v>
      </c>
      <c r="AH141" s="612">
        <f t="shared" si="45"/>
        <v>3510266.6245824564</v>
      </c>
      <c r="AI141" s="612">
        <f t="shared" si="45"/>
        <v>3861293.2870407025</v>
      </c>
      <c r="AJ141" s="612">
        <f t="shared" si="45"/>
        <v>4247422.6157447733</v>
      </c>
    </row>
    <row r="142" spans="7:38" ht="15" hidden="1" customHeight="1" x14ac:dyDescent="0.2">
      <c r="G142" s="511" t="s">
        <v>483</v>
      </c>
      <c r="H142" s="15"/>
      <c r="I142" s="15"/>
      <c r="J142" s="613"/>
      <c r="K142" s="614">
        <f>SUM(K139:K141)</f>
        <v>531951.21</v>
      </c>
      <c r="L142" s="614">
        <f t="shared" ref="L142" si="46">SUM(L139:L141)</f>
        <v>579549.08700000006</v>
      </c>
      <c r="M142" s="614">
        <f t="shared" ref="M142" si="47">SUM(M139:M141)</f>
        <v>631570.91706000012</v>
      </c>
      <c r="N142" s="614">
        <f t="shared" ref="N142" si="48">SUM(N139:N141)</f>
        <v>688438.94540760014</v>
      </c>
      <c r="O142" s="614">
        <f t="shared" ref="O142" si="49">SUM(O139:O141)</f>
        <v>750616.43278845621</v>
      </c>
      <c r="P142" s="614">
        <f t="shared" ref="P142" si="50">SUM(P139:P141)</f>
        <v>818611.68447780376</v>
      </c>
      <c r="Q142" s="614">
        <f t="shared" ref="Q142" si="51">SUM(Q139:Q141)</f>
        <v>892982.4778407159</v>
      </c>
      <c r="R142" s="614">
        <f t="shared" ref="R142" si="52">SUM(R139:R141)</f>
        <v>974340.92803482735</v>
      </c>
      <c r="S142" s="614">
        <f t="shared" ref="S142" si="53">SUM(S139:S141)</f>
        <v>1063358.8353929524</v>
      </c>
      <c r="T142" s="614">
        <f t="shared" ref="T142" si="54">SUM(T139:T141)</f>
        <v>1160773.5623601684</v>
      </c>
      <c r="U142" s="614">
        <f t="shared" ref="U142" si="55">SUM(U139:U141)</f>
        <v>1267394.4926297814</v>
      </c>
      <c r="V142" s="614">
        <f t="shared" ref="V142" si="56">SUM(V139:V141)</f>
        <v>1384110.1303683715</v>
      </c>
      <c r="W142" s="614">
        <f t="shared" ref="W142" si="57">SUM(W139:W141)</f>
        <v>1511895.9031893571</v>
      </c>
      <c r="X142" s="614">
        <f t="shared" ref="X142" si="58">SUM(X139:X141)</f>
        <v>1651822.7388794902</v>
      </c>
      <c r="Y142" s="614">
        <f t="shared" ref="Y142" si="59">SUM(Y139:Y141)</f>
        <v>1805066.4928609084</v>
      </c>
      <c r="Z142" s="614">
        <f t="shared" ref="Z142" si="60">SUM(Z139:Z141)</f>
        <v>1972918.3110460767</v>
      </c>
      <c r="AA142" s="614">
        <f t="shared" ref="AA142" si="61">SUM(AA139:AA141)</f>
        <v>2156796.0211837064</v>
      </c>
      <c r="AB142" s="614">
        <f t="shared" ref="AB142" si="62">SUM(AB139:AB141)</f>
        <v>2358256.6550770802</v>
      </c>
      <c r="AC142" s="614">
        <f t="shared" ref="AC142" si="63">SUM(AC139:AC141)</f>
        <v>2579010.2142662923</v>
      </c>
      <c r="AD142" s="614">
        <f t="shared" ref="AD142" si="64">SUM(AD139:AD141)</f>
        <v>2820934.8029953153</v>
      </c>
      <c r="AE142" s="614">
        <f t="shared" ref="AE142" si="65">SUM(AE139:AE141)</f>
        <v>3086093.2646353841</v>
      </c>
      <c r="AF142" s="614">
        <f t="shared" ref="AF142" si="66">SUM(AF139:AF141)</f>
        <v>3376751.471319892</v>
      </c>
      <c r="AG142" s="614">
        <f t="shared" ref="AG142" si="67">SUM(AG139:AG141)</f>
        <v>3695398.4314861093</v>
      </c>
      <c r="AH142" s="614">
        <f t="shared" ref="AH142" si="68">SUM(AH139:AH141)</f>
        <v>4044768.396451002</v>
      </c>
      <c r="AI142" s="614">
        <f t="shared" ref="AI142" si="69">SUM(AI139:AI141)</f>
        <v>4427865.1652213614</v>
      </c>
      <c r="AJ142" s="614">
        <f t="shared" ref="AJ142" si="70">SUM(AJ139:AJ141)</f>
        <v>4847988.8066162709</v>
      </c>
    </row>
    <row r="143" spans="7:38" ht="15" hidden="1" customHeight="1" x14ac:dyDescent="0.2">
      <c r="G143" s="17"/>
      <c r="H143" s="17"/>
      <c r="I143" s="13"/>
      <c r="J143" s="611"/>
      <c r="K143" s="801"/>
      <c r="L143" s="801"/>
      <c r="M143" s="801"/>
      <c r="N143" s="801"/>
      <c r="O143" s="801"/>
      <c r="P143" s="801"/>
      <c r="Q143" s="801"/>
      <c r="R143" s="801"/>
      <c r="S143" s="801"/>
      <c r="T143" s="801"/>
      <c r="U143" s="801"/>
      <c r="V143" s="801"/>
      <c r="W143" s="801"/>
      <c r="X143" s="801"/>
      <c r="Y143" s="801"/>
      <c r="Z143" s="801"/>
      <c r="AA143" s="801"/>
      <c r="AB143" s="801"/>
      <c r="AC143" s="801"/>
      <c r="AD143" s="801"/>
      <c r="AE143" s="801"/>
      <c r="AF143" s="801"/>
      <c r="AG143" s="801"/>
      <c r="AH143" s="801"/>
      <c r="AI143" s="801"/>
      <c r="AJ143" s="801"/>
    </row>
    <row r="144" spans="7:38" ht="15" hidden="1" customHeight="1" x14ac:dyDescent="0.2">
      <c r="G144" s="511" t="s">
        <v>484</v>
      </c>
      <c r="H144" s="17"/>
      <c r="I144" s="13"/>
      <c r="J144" s="611"/>
      <c r="K144" s="607">
        <f>K126-K137</f>
        <v>0</v>
      </c>
      <c r="L144" s="607">
        <f t="shared" ref="L144:AJ144" si="71">L126-L137</f>
        <v>0</v>
      </c>
      <c r="M144" s="607">
        <f t="shared" si="71"/>
        <v>0</v>
      </c>
      <c r="N144" s="607">
        <f t="shared" si="71"/>
        <v>0</v>
      </c>
      <c r="O144" s="607">
        <f t="shared" si="71"/>
        <v>0</v>
      </c>
      <c r="P144" s="607">
        <f t="shared" si="71"/>
        <v>0</v>
      </c>
      <c r="Q144" s="607">
        <f t="shared" si="71"/>
        <v>0</v>
      </c>
      <c r="R144" s="607">
        <f t="shared" si="71"/>
        <v>0</v>
      </c>
      <c r="S144" s="607">
        <f t="shared" si="71"/>
        <v>0</v>
      </c>
      <c r="T144" s="607">
        <f t="shared" si="71"/>
        <v>0</v>
      </c>
      <c r="U144" s="607">
        <f t="shared" si="71"/>
        <v>0</v>
      </c>
      <c r="V144" s="607">
        <f t="shared" si="71"/>
        <v>0</v>
      </c>
      <c r="W144" s="607">
        <f t="shared" si="71"/>
        <v>0</v>
      </c>
      <c r="X144" s="607">
        <f t="shared" si="71"/>
        <v>0</v>
      </c>
      <c r="Y144" s="607">
        <f t="shared" si="71"/>
        <v>0</v>
      </c>
      <c r="Z144" s="607">
        <f t="shared" si="71"/>
        <v>0</v>
      </c>
      <c r="AA144" s="607">
        <f t="shared" si="71"/>
        <v>0</v>
      </c>
      <c r="AB144" s="607">
        <f t="shared" si="71"/>
        <v>0</v>
      </c>
      <c r="AC144" s="607">
        <f t="shared" si="71"/>
        <v>0</v>
      </c>
      <c r="AD144" s="607">
        <f t="shared" si="71"/>
        <v>0</v>
      </c>
      <c r="AE144" s="607">
        <f t="shared" si="71"/>
        <v>0</v>
      </c>
      <c r="AF144" s="607">
        <f t="shared" si="71"/>
        <v>0</v>
      </c>
      <c r="AG144" s="607">
        <f t="shared" si="71"/>
        <v>0</v>
      </c>
      <c r="AH144" s="607">
        <f t="shared" si="71"/>
        <v>0</v>
      </c>
      <c r="AI144" s="607">
        <f t="shared" si="71"/>
        <v>0</v>
      </c>
      <c r="AJ144" s="607">
        <f t="shared" si="71"/>
        <v>0</v>
      </c>
    </row>
    <row r="145" spans="7:36" ht="15" hidden="1" customHeight="1" x14ac:dyDescent="0.2">
      <c r="G145" s="511" t="s">
        <v>485</v>
      </c>
      <c r="H145" s="15"/>
      <c r="I145" s="13"/>
      <c r="J145" s="611"/>
      <c r="K145" s="614">
        <f>K131-K142</f>
        <v>0</v>
      </c>
      <c r="L145" s="614">
        <f t="shared" ref="L145:AJ145" si="72">L131-L142</f>
        <v>0</v>
      </c>
      <c r="M145" s="614">
        <f t="shared" si="72"/>
        <v>0</v>
      </c>
      <c r="N145" s="614">
        <f t="shared" si="72"/>
        <v>0</v>
      </c>
      <c r="O145" s="614">
        <f t="shared" si="72"/>
        <v>0</v>
      </c>
      <c r="P145" s="614">
        <f t="shared" si="72"/>
        <v>0</v>
      </c>
      <c r="Q145" s="614">
        <f t="shared" si="72"/>
        <v>0</v>
      </c>
      <c r="R145" s="614">
        <f t="shared" si="72"/>
        <v>0</v>
      </c>
      <c r="S145" s="614">
        <f t="shared" si="72"/>
        <v>0</v>
      </c>
      <c r="T145" s="614">
        <f t="shared" si="72"/>
        <v>0</v>
      </c>
      <c r="U145" s="614">
        <f t="shared" si="72"/>
        <v>0</v>
      </c>
      <c r="V145" s="614">
        <f t="shared" si="72"/>
        <v>0</v>
      </c>
      <c r="W145" s="614">
        <f t="shared" si="72"/>
        <v>0</v>
      </c>
      <c r="X145" s="614">
        <f t="shared" si="72"/>
        <v>0</v>
      </c>
      <c r="Y145" s="614">
        <f t="shared" si="72"/>
        <v>0</v>
      </c>
      <c r="Z145" s="614">
        <f t="shared" si="72"/>
        <v>0</v>
      </c>
      <c r="AA145" s="614">
        <f t="shared" si="72"/>
        <v>0</v>
      </c>
      <c r="AB145" s="614">
        <f t="shared" si="72"/>
        <v>0</v>
      </c>
      <c r="AC145" s="614">
        <f t="shared" si="72"/>
        <v>0</v>
      </c>
      <c r="AD145" s="614">
        <f t="shared" si="72"/>
        <v>0</v>
      </c>
      <c r="AE145" s="614">
        <f t="shared" si="72"/>
        <v>0</v>
      </c>
      <c r="AF145" s="614">
        <f t="shared" si="72"/>
        <v>0</v>
      </c>
      <c r="AG145" s="614">
        <f t="shared" si="72"/>
        <v>0</v>
      </c>
      <c r="AH145" s="614">
        <f t="shared" si="72"/>
        <v>0</v>
      </c>
      <c r="AI145" s="614">
        <f t="shared" si="72"/>
        <v>0</v>
      </c>
      <c r="AJ145" s="614">
        <f t="shared" si="72"/>
        <v>0</v>
      </c>
    </row>
    <row r="146" spans="7:36" ht="15" hidden="1" customHeight="1" x14ac:dyDescent="0.2">
      <c r="G146" s="64"/>
      <c r="H146" s="502"/>
      <c r="I146" s="502"/>
      <c r="J146" s="502"/>
      <c r="K146" s="536"/>
      <c r="L146" s="536"/>
      <c r="M146" s="536"/>
      <c r="N146" s="536"/>
      <c r="O146" s="536"/>
      <c r="P146" s="536"/>
      <c r="Q146" s="536"/>
      <c r="R146" s="536"/>
      <c r="S146" s="536"/>
      <c r="T146" s="536"/>
      <c r="U146" s="536"/>
      <c r="V146" s="536"/>
      <c r="W146" s="536"/>
      <c r="X146" s="536"/>
      <c r="Y146" s="536"/>
      <c r="Z146" s="536"/>
      <c r="AA146" s="536"/>
      <c r="AB146" s="536"/>
      <c r="AC146" s="536"/>
      <c r="AD146" s="536"/>
      <c r="AE146" s="536"/>
      <c r="AF146" s="536"/>
      <c r="AG146" s="536"/>
      <c r="AH146" s="536"/>
      <c r="AI146" s="536"/>
      <c r="AJ146" s="536"/>
    </row>
    <row r="147" spans="7:36" ht="15" hidden="1" customHeight="1" x14ac:dyDescent="0.2">
      <c r="G147" s="15" t="s">
        <v>564</v>
      </c>
      <c r="H147" s="17"/>
      <c r="I147" s="13"/>
      <c r="J147" s="611"/>
      <c r="K147" s="399"/>
      <c r="L147" s="399"/>
      <c r="M147" s="399"/>
      <c r="N147" s="399"/>
      <c r="O147" s="399"/>
      <c r="P147" s="399"/>
      <c r="Q147" s="399"/>
      <c r="R147" s="399"/>
      <c r="S147" s="399"/>
      <c r="T147" s="399"/>
      <c r="U147" s="399"/>
      <c r="V147" s="399"/>
      <c r="W147" s="399"/>
      <c r="X147" s="399"/>
      <c r="Y147" s="399"/>
      <c r="Z147" s="399"/>
      <c r="AA147" s="399"/>
      <c r="AB147" s="399"/>
      <c r="AC147" s="399"/>
      <c r="AD147" s="399"/>
      <c r="AE147" s="399"/>
      <c r="AF147" s="399"/>
      <c r="AG147" s="399"/>
      <c r="AH147" s="399"/>
      <c r="AI147" s="399"/>
      <c r="AJ147" s="399"/>
    </row>
    <row r="148" spans="7:36" ht="15" hidden="1" customHeight="1" x14ac:dyDescent="0.2">
      <c r="G148" s="508" t="s">
        <v>453</v>
      </c>
      <c r="H148" s="18"/>
      <c r="I148" s="18"/>
      <c r="J148" s="796">
        <f>$X$93</f>
        <v>0</v>
      </c>
      <c r="K148" s="796">
        <f>$J148*K114</f>
        <v>0</v>
      </c>
      <c r="L148" s="796">
        <f t="shared" ref="L148:AJ148" si="73">$J148*L114</f>
        <v>0</v>
      </c>
      <c r="M148" s="796">
        <f t="shared" si="73"/>
        <v>0</v>
      </c>
      <c r="N148" s="796">
        <f t="shared" si="73"/>
        <v>0</v>
      </c>
      <c r="O148" s="796">
        <f t="shared" si="73"/>
        <v>0</v>
      </c>
      <c r="P148" s="796">
        <f t="shared" si="73"/>
        <v>0</v>
      </c>
      <c r="Q148" s="796">
        <f t="shared" si="73"/>
        <v>0</v>
      </c>
      <c r="R148" s="796">
        <f t="shared" si="73"/>
        <v>0</v>
      </c>
      <c r="S148" s="796">
        <f t="shared" si="73"/>
        <v>0</v>
      </c>
      <c r="T148" s="796">
        <f t="shared" si="73"/>
        <v>0</v>
      </c>
      <c r="U148" s="796">
        <f t="shared" si="73"/>
        <v>0</v>
      </c>
      <c r="V148" s="796">
        <f t="shared" si="73"/>
        <v>0</v>
      </c>
      <c r="W148" s="796">
        <f t="shared" si="73"/>
        <v>0</v>
      </c>
      <c r="X148" s="796">
        <f t="shared" si="73"/>
        <v>0</v>
      </c>
      <c r="Y148" s="796">
        <f t="shared" si="73"/>
        <v>0</v>
      </c>
      <c r="Z148" s="796">
        <f t="shared" si="73"/>
        <v>0</v>
      </c>
      <c r="AA148" s="796">
        <f t="shared" si="73"/>
        <v>0</v>
      </c>
      <c r="AB148" s="796">
        <f t="shared" si="73"/>
        <v>0</v>
      </c>
      <c r="AC148" s="796">
        <f t="shared" si="73"/>
        <v>0</v>
      </c>
      <c r="AD148" s="796">
        <f t="shared" si="73"/>
        <v>0</v>
      </c>
      <c r="AE148" s="796">
        <f t="shared" si="73"/>
        <v>0</v>
      </c>
      <c r="AF148" s="796">
        <f t="shared" si="73"/>
        <v>0</v>
      </c>
      <c r="AG148" s="796">
        <f t="shared" si="73"/>
        <v>0</v>
      </c>
      <c r="AH148" s="796">
        <f t="shared" si="73"/>
        <v>0</v>
      </c>
      <c r="AI148" s="796">
        <f t="shared" si="73"/>
        <v>0</v>
      </c>
      <c r="AJ148" s="796">
        <f t="shared" si="73"/>
        <v>0</v>
      </c>
    </row>
    <row r="149" spans="7:36" ht="15" hidden="1" customHeight="1" x14ac:dyDescent="0.2">
      <c r="G149" s="508" t="s">
        <v>452</v>
      </c>
      <c r="H149" s="18"/>
      <c r="I149" s="18"/>
      <c r="J149" s="796">
        <f>$X$96</f>
        <v>1554790.0000000002</v>
      </c>
      <c r="K149" s="796">
        <f>$J149*K115</f>
        <v>265449.29670000001</v>
      </c>
      <c r="L149" s="796">
        <f t="shared" ref="L149:AJ149" si="74">$J149*L115</f>
        <v>265449.29670000001</v>
      </c>
      <c r="M149" s="796">
        <f t="shared" si="74"/>
        <v>265449.29670000001</v>
      </c>
      <c r="N149" s="796">
        <f t="shared" si="74"/>
        <v>265449.29670000001</v>
      </c>
      <c r="O149" s="796">
        <f t="shared" si="74"/>
        <v>265449.29670000001</v>
      </c>
      <c r="P149" s="796">
        <f t="shared" si="74"/>
        <v>265449.29670000001</v>
      </c>
      <c r="Q149" s="796">
        <f t="shared" si="74"/>
        <v>265449.29670000001</v>
      </c>
      <c r="R149" s="796">
        <f t="shared" si="74"/>
        <v>265449.29670000001</v>
      </c>
      <c r="S149" s="796">
        <f t="shared" si="74"/>
        <v>265449.29670000001</v>
      </c>
      <c r="T149" s="796">
        <f t="shared" si="74"/>
        <v>265449.29670000001</v>
      </c>
      <c r="U149" s="796">
        <f t="shared" si="74"/>
        <v>265449.29670000001</v>
      </c>
      <c r="V149" s="796">
        <f t="shared" si="74"/>
        <v>265449.29670000001</v>
      </c>
      <c r="W149" s="796">
        <f t="shared" si="74"/>
        <v>265449.29670000001</v>
      </c>
      <c r="X149" s="796">
        <f t="shared" si="74"/>
        <v>265449.29670000001</v>
      </c>
      <c r="Y149" s="796">
        <f t="shared" si="74"/>
        <v>265449.29670000001</v>
      </c>
      <c r="Z149" s="796">
        <f t="shared" si="74"/>
        <v>265449.29670000001</v>
      </c>
      <c r="AA149" s="796">
        <f t="shared" si="74"/>
        <v>265449.29670000001</v>
      </c>
      <c r="AB149" s="796">
        <f t="shared" si="74"/>
        <v>265449.29670000001</v>
      </c>
      <c r="AC149" s="796">
        <f t="shared" si="74"/>
        <v>265449.29670000001</v>
      </c>
      <c r="AD149" s="796">
        <f t="shared" si="74"/>
        <v>265449.29670000001</v>
      </c>
      <c r="AE149" s="796">
        <f t="shared" si="74"/>
        <v>265449.29670000001</v>
      </c>
      <c r="AF149" s="796">
        <f t="shared" si="74"/>
        <v>265449.29670000001</v>
      </c>
      <c r="AG149" s="796">
        <f t="shared" si="74"/>
        <v>265449.29670000001</v>
      </c>
      <c r="AH149" s="796">
        <f t="shared" si="74"/>
        <v>265449.29670000001</v>
      </c>
      <c r="AI149" s="796">
        <f t="shared" si="74"/>
        <v>265449.29670000001</v>
      </c>
      <c r="AJ149" s="796">
        <f t="shared" si="74"/>
        <v>265449.29670000001</v>
      </c>
    </row>
    <row r="150" spans="7:36" ht="15" hidden="1" customHeight="1" x14ac:dyDescent="0.2">
      <c r="G150" s="508" t="s">
        <v>343</v>
      </c>
      <c r="H150" s="18"/>
      <c r="I150" s="18"/>
      <c r="J150" s="796">
        <f>$X$99</f>
        <v>1264581</v>
      </c>
      <c r="K150" s="796">
        <f>$J150*K116</f>
        <v>244544.67377999998</v>
      </c>
      <c r="L150" s="796">
        <f t="shared" ref="L150:AJ150" si="75">$J150*L116</f>
        <v>237208.33356659999</v>
      </c>
      <c r="M150" s="796">
        <f t="shared" si="75"/>
        <v>230092.08355960198</v>
      </c>
      <c r="N150" s="796">
        <f t="shared" si="75"/>
        <v>223189.3210528139</v>
      </c>
      <c r="O150" s="796">
        <f t="shared" si="75"/>
        <v>216493.64142122949</v>
      </c>
      <c r="P150" s="796">
        <f t="shared" si="75"/>
        <v>209998.83217859262</v>
      </c>
      <c r="Q150" s="796">
        <f t="shared" si="75"/>
        <v>203698.86721323483</v>
      </c>
      <c r="R150" s="796">
        <f t="shared" si="75"/>
        <v>197587.90119683777</v>
      </c>
      <c r="S150" s="796">
        <f t="shared" si="75"/>
        <v>191660.26416093262</v>
      </c>
      <c r="T150" s="796">
        <f t="shared" si="75"/>
        <v>185910.45623610463</v>
      </c>
      <c r="U150" s="796">
        <f t="shared" si="75"/>
        <v>180333.14254902149</v>
      </c>
      <c r="V150" s="796">
        <f t="shared" si="75"/>
        <v>174923.14827255081</v>
      </c>
      <c r="W150" s="796">
        <f t="shared" si="75"/>
        <v>169675.4538243743</v>
      </c>
      <c r="X150" s="796">
        <f t="shared" si="75"/>
        <v>164585.19020964307</v>
      </c>
      <c r="Y150" s="796">
        <f t="shared" si="75"/>
        <v>159647.63450335377</v>
      </c>
      <c r="Z150" s="796">
        <f t="shared" si="75"/>
        <v>154858.20546825315</v>
      </c>
      <c r="AA150" s="796">
        <f t="shared" si="75"/>
        <v>150212.45930420555</v>
      </c>
      <c r="AB150" s="796">
        <f t="shared" si="75"/>
        <v>145706.08552507937</v>
      </c>
      <c r="AC150" s="796">
        <f t="shared" si="75"/>
        <v>141334.90295932698</v>
      </c>
      <c r="AD150" s="796">
        <f t="shared" si="75"/>
        <v>137094.85587054718</v>
      </c>
      <c r="AE150" s="796">
        <f t="shared" si="75"/>
        <v>132982.01019443077</v>
      </c>
      <c r="AF150" s="796">
        <f t="shared" si="75"/>
        <v>128992.54988859784</v>
      </c>
      <c r="AG150" s="796">
        <f t="shared" si="75"/>
        <v>125122.7733919399</v>
      </c>
      <c r="AH150" s="796">
        <f t="shared" si="75"/>
        <v>121369.0901901817</v>
      </c>
      <c r="AI150" s="796">
        <f t="shared" si="75"/>
        <v>117728.01748447625</v>
      </c>
      <c r="AJ150" s="796">
        <f t="shared" si="75"/>
        <v>114196.17695994196</v>
      </c>
    </row>
    <row r="151" spans="7:36" ht="15" hidden="1" customHeight="1" x14ac:dyDescent="0.2">
      <c r="G151" s="552" t="s">
        <v>482</v>
      </c>
      <c r="H151" s="16"/>
      <c r="I151" s="16"/>
      <c r="J151" s="797"/>
      <c r="K151" s="798">
        <f>SUM(K148:K150)</f>
        <v>509993.97048000002</v>
      </c>
      <c r="L151" s="798">
        <f t="shared" ref="L151:AJ151" si="76">SUM(L148:L150)</f>
        <v>502657.6302666</v>
      </c>
      <c r="M151" s="798">
        <f t="shared" si="76"/>
        <v>495541.38025960198</v>
      </c>
      <c r="N151" s="798">
        <f t="shared" si="76"/>
        <v>488638.61775281391</v>
      </c>
      <c r="O151" s="798">
        <f t="shared" si="76"/>
        <v>481942.93812122953</v>
      </c>
      <c r="P151" s="798">
        <f t="shared" si="76"/>
        <v>475448.12887859263</v>
      </c>
      <c r="Q151" s="798">
        <f t="shared" si="76"/>
        <v>469148.16391323484</v>
      </c>
      <c r="R151" s="798">
        <f t="shared" si="76"/>
        <v>463037.19789683778</v>
      </c>
      <c r="S151" s="798">
        <f t="shared" si="76"/>
        <v>457109.56086093263</v>
      </c>
      <c r="T151" s="798">
        <f t="shared" si="76"/>
        <v>451359.75293610466</v>
      </c>
      <c r="U151" s="798">
        <f t="shared" si="76"/>
        <v>445782.43924902147</v>
      </c>
      <c r="V151" s="798">
        <f t="shared" si="76"/>
        <v>440372.44497255085</v>
      </c>
      <c r="W151" s="798">
        <f t="shared" si="76"/>
        <v>435124.75052437431</v>
      </c>
      <c r="X151" s="798">
        <f t="shared" si="76"/>
        <v>430034.48690964305</v>
      </c>
      <c r="Y151" s="798">
        <f t="shared" si="76"/>
        <v>425096.9312033538</v>
      </c>
      <c r="Z151" s="798">
        <f t="shared" si="76"/>
        <v>420307.50216825318</v>
      </c>
      <c r="AA151" s="798">
        <f t="shared" si="76"/>
        <v>415661.75600420556</v>
      </c>
      <c r="AB151" s="798">
        <f t="shared" si="76"/>
        <v>411155.38222507935</v>
      </c>
      <c r="AC151" s="798">
        <f t="shared" si="76"/>
        <v>406784.19965932699</v>
      </c>
      <c r="AD151" s="798">
        <f t="shared" si="76"/>
        <v>402544.15257054719</v>
      </c>
      <c r="AE151" s="798">
        <f t="shared" si="76"/>
        <v>398431.30689443077</v>
      </c>
      <c r="AF151" s="798">
        <f t="shared" si="76"/>
        <v>394441.84658859787</v>
      </c>
      <c r="AG151" s="798">
        <f t="shared" si="76"/>
        <v>390572.07009193988</v>
      </c>
      <c r="AH151" s="798">
        <f t="shared" si="76"/>
        <v>386818.38689018169</v>
      </c>
      <c r="AI151" s="798">
        <f t="shared" si="76"/>
        <v>383177.31418447627</v>
      </c>
      <c r="AJ151" s="798">
        <f t="shared" si="76"/>
        <v>379645.47365994198</v>
      </c>
    </row>
    <row r="152" spans="7:36" ht="15" hidden="1" customHeight="1" x14ac:dyDescent="0.2">
      <c r="G152" s="508"/>
      <c r="H152" s="18"/>
      <c r="I152" s="18"/>
      <c r="J152" s="799"/>
      <c r="K152" s="796"/>
      <c r="L152" s="796"/>
      <c r="M152" s="796"/>
      <c r="N152" s="796"/>
      <c r="O152" s="796"/>
      <c r="P152" s="796"/>
      <c r="Q152" s="796"/>
      <c r="R152" s="796"/>
      <c r="S152" s="796"/>
      <c r="T152" s="796"/>
      <c r="U152" s="796"/>
      <c r="V152" s="796"/>
      <c r="W152" s="796"/>
      <c r="X152" s="796"/>
      <c r="Y152" s="796"/>
      <c r="Z152" s="796"/>
      <c r="AA152" s="796"/>
      <c r="AB152" s="796"/>
      <c r="AC152" s="796"/>
      <c r="AD152" s="796"/>
      <c r="AE152" s="796"/>
      <c r="AF152" s="796"/>
      <c r="AG152" s="796"/>
      <c r="AH152" s="796"/>
      <c r="AI152" s="796"/>
      <c r="AJ152" s="796"/>
    </row>
    <row r="153" spans="7:36" ht="15" hidden="1" customHeight="1" x14ac:dyDescent="0.2">
      <c r="G153" s="508" t="s">
        <v>453</v>
      </c>
      <c r="H153" s="18"/>
      <c r="I153" s="18"/>
      <c r="J153" s="796">
        <f>$X$93</f>
        <v>0</v>
      </c>
      <c r="K153" s="796">
        <f>$J153*K118</f>
        <v>0</v>
      </c>
      <c r="L153" s="796">
        <f t="shared" ref="L153:AJ153" si="77">$J153*L118</f>
        <v>0</v>
      </c>
      <c r="M153" s="796">
        <f t="shared" si="77"/>
        <v>0</v>
      </c>
      <c r="N153" s="796">
        <f t="shared" si="77"/>
        <v>0</v>
      </c>
      <c r="O153" s="796">
        <f t="shared" si="77"/>
        <v>0</v>
      </c>
      <c r="P153" s="796">
        <f t="shared" si="77"/>
        <v>0</v>
      </c>
      <c r="Q153" s="796">
        <f t="shared" si="77"/>
        <v>0</v>
      </c>
      <c r="R153" s="796">
        <f t="shared" si="77"/>
        <v>0</v>
      </c>
      <c r="S153" s="796">
        <f t="shared" si="77"/>
        <v>0</v>
      </c>
      <c r="T153" s="796">
        <f t="shared" si="77"/>
        <v>0</v>
      </c>
      <c r="U153" s="796">
        <f t="shared" si="77"/>
        <v>0</v>
      </c>
      <c r="V153" s="796">
        <f t="shared" si="77"/>
        <v>0</v>
      </c>
      <c r="W153" s="796">
        <f t="shared" si="77"/>
        <v>0</v>
      </c>
      <c r="X153" s="796">
        <f t="shared" si="77"/>
        <v>0</v>
      </c>
      <c r="Y153" s="796">
        <f t="shared" si="77"/>
        <v>0</v>
      </c>
      <c r="Z153" s="796">
        <f t="shared" si="77"/>
        <v>0</v>
      </c>
      <c r="AA153" s="796">
        <f t="shared" si="77"/>
        <v>0</v>
      </c>
      <c r="AB153" s="796">
        <f t="shared" si="77"/>
        <v>0</v>
      </c>
      <c r="AC153" s="796">
        <f t="shared" si="77"/>
        <v>0</v>
      </c>
      <c r="AD153" s="796">
        <f t="shared" si="77"/>
        <v>0</v>
      </c>
      <c r="AE153" s="796">
        <f t="shared" si="77"/>
        <v>0</v>
      </c>
      <c r="AF153" s="796">
        <f t="shared" si="77"/>
        <v>0</v>
      </c>
      <c r="AG153" s="796">
        <f t="shared" si="77"/>
        <v>0</v>
      </c>
      <c r="AH153" s="796">
        <f t="shared" si="77"/>
        <v>0</v>
      </c>
      <c r="AI153" s="796">
        <f t="shared" si="77"/>
        <v>0</v>
      </c>
      <c r="AJ153" s="796">
        <f t="shared" si="77"/>
        <v>0</v>
      </c>
    </row>
    <row r="154" spans="7:36" ht="15" hidden="1" customHeight="1" x14ac:dyDescent="0.2">
      <c r="G154" s="508" t="s">
        <v>452</v>
      </c>
      <c r="H154" s="18"/>
      <c r="I154" s="18"/>
      <c r="J154" s="796">
        <f>$X$96</f>
        <v>1554790.0000000002</v>
      </c>
      <c r="K154" s="796">
        <f>$J154*K119</f>
        <v>139931.1</v>
      </c>
      <c r="L154" s="796">
        <f t="shared" ref="L154:AJ154" si="78">$J154*L119</f>
        <v>148326.96600000001</v>
      </c>
      <c r="M154" s="796">
        <f t="shared" si="78"/>
        <v>157226.58396000002</v>
      </c>
      <c r="N154" s="796">
        <f t="shared" si="78"/>
        <v>166660.17899760004</v>
      </c>
      <c r="O154" s="796">
        <f t="shared" si="78"/>
        <v>176659.78973745604</v>
      </c>
      <c r="P154" s="796">
        <f t="shared" si="78"/>
        <v>187259.37712170341</v>
      </c>
      <c r="Q154" s="796">
        <f t="shared" si="78"/>
        <v>198494.93974900563</v>
      </c>
      <c r="R154" s="796">
        <f t="shared" si="78"/>
        <v>210404.63613394598</v>
      </c>
      <c r="S154" s="796">
        <f t="shared" si="78"/>
        <v>223028.91430198276</v>
      </c>
      <c r="T154" s="796">
        <f t="shared" si="78"/>
        <v>236410.64916010175</v>
      </c>
      <c r="U154" s="796">
        <f t="shared" si="78"/>
        <v>250595.28810970788</v>
      </c>
      <c r="V154" s="796">
        <f t="shared" si="78"/>
        <v>265631.00539629033</v>
      </c>
      <c r="W154" s="796">
        <f t="shared" si="78"/>
        <v>281568.86572006781</v>
      </c>
      <c r="X154" s="796">
        <f t="shared" si="78"/>
        <v>298462.99766327185</v>
      </c>
      <c r="Y154" s="796">
        <f t="shared" si="78"/>
        <v>316370.77752306819</v>
      </c>
      <c r="Z154" s="796">
        <f t="shared" si="78"/>
        <v>335353.02417445229</v>
      </c>
      <c r="AA154" s="796">
        <f t="shared" si="78"/>
        <v>355474.20562491944</v>
      </c>
      <c r="AB154" s="796">
        <f t="shared" si="78"/>
        <v>376802.65796241461</v>
      </c>
      <c r="AC154" s="796">
        <f t="shared" si="78"/>
        <v>399410.81744015944</v>
      </c>
      <c r="AD154" s="796">
        <f t="shared" si="78"/>
        <v>423375.46648656909</v>
      </c>
      <c r="AE154" s="796">
        <f t="shared" si="78"/>
        <v>448777.99447576317</v>
      </c>
      <c r="AF154" s="796">
        <f t="shared" si="78"/>
        <v>475704.67414430901</v>
      </c>
      <c r="AG154" s="796">
        <f t="shared" si="78"/>
        <v>504246.95459296764</v>
      </c>
      <c r="AH154" s="796">
        <f t="shared" si="78"/>
        <v>534501.77186854568</v>
      </c>
      <c r="AI154" s="796">
        <f t="shared" si="78"/>
        <v>566571.87818065844</v>
      </c>
      <c r="AJ154" s="796">
        <f t="shared" si="78"/>
        <v>600566.19087149797</v>
      </c>
    </row>
    <row r="155" spans="7:36" ht="15" hidden="1" customHeight="1" x14ac:dyDescent="0.2">
      <c r="G155" s="508" t="s">
        <v>343</v>
      </c>
      <c r="H155" s="18"/>
      <c r="I155" s="18"/>
      <c r="J155" s="796">
        <f>$X$99</f>
        <v>1264581</v>
      </c>
      <c r="K155" s="796">
        <f>$J155*K120</f>
        <v>392020.11</v>
      </c>
      <c r="L155" s="796">
        <f t="shared" ref="L155:AJ155" si="79">$J155*L120</f>
        <v>431222.12100000004</v>
      </c>
      <c r="M155" s="796">
        <f t="shared" si="79"/>
        <v>474344.33310000005</v>
      </c>
      <c r="N155" s="796">
        <f t="shared" si="79"/>
        <v>521778.7664100001</v>
      </c>
      <c r="O155" s="796">
        <f t="shared" si="79"/>
        <v>573956.6430510002</v>
      </c>
      <c r="P155" s="796">
        <f t="shared" si="79"/>
        <v>631352.3073561003</v>
      </c>
      <c r="Q155" s="796">
        <f t="shared" si="79"/>
        <v>694487.5380917103</v>
      </c>
      <c r="R155" s="796">
        <f t="shared" si="79"/>
        <v>763936.29190088133</v>
      </c>
      <c r="S155" s="796">
        <f t="shared" si="79"/>
        <v>840329.92109096958</v>
      </c>
      <c r="T155" s="796">
        <f t="shared" si="79"/>
        <v>924362.91320006666</v>
      </c>
      <c r="U155" s="796">
        <f t="shared" si="79"/>
        <v>1016799.2045200735</v>
      </c>
      <c r="V155" s="796">
        <f t="shared" si="79"/>
        <v>1118479.124972081</v>
      </c>
      <c r="W155" s="796">
        <f t="shared" si="79"/>
        <v>1230327.0374692893</v>
      </c>
      <c r="X155" s="796">
        <f t="shared" si="79"/>
        <v>1353359.7412162183</v>
      </c>
      <c r="Y155" s="796">
        <f t="shared" si="79"/>
        <v>1488695.7153378401</v>
      </c>
      <c r="Z155" s="796">
        <f t="shared" si="79"/>
        <v>1637565.2868716244</v>
      </c>
      <c r="AA155" s="796">
        <f t="shared" si="79"/>
        <v>1801321.815558787</v>
      </c>
      <c r="AB155" s="796">
        <f t="shared" si="79"/>
        <v>1981453.9971146658</v>
      </c>
      <c r="AC155" s="796">
        <f t="shared" si="79"/>
        <v>2179599.3968261327</v>
      </c>
      <c r="AD155" s="796">
        <f t="shared" si="79"/>
        <v>2397559.3365087463</v>
      </c>
      <c r="AE155" s="796">
        <f t="shared" si="79"/>
        <v>2637315.2701596208</v>
      </c>
      <c r="AF155" s="796">
        <f t="shared" si="79"/>
        <v>2901046.797175583</v>
      </c>
      <c r="AG155" s="796">
        <f t="shared" si="79"/>
        <v>3191151.4768931419</v>
      </c>
      <c r="AH155" s="796">
        <f t="shared" si="79"/>
        <v>3510266.6245824564</v>
      </c>
      <c r="AI155" s="796">
        <f t="shared" si="79"/>
        <v>3861293.2870407025</v>
      </c>
      <c r="AJ155" s="796">
        <f t="shared" si="79"/>
        <v>4247422.6157447733</v>
      </c>
    </row>
    <row r="156" spans="7:36" ht="15" hidden="1" customHeight="1" x14ac:dyDescent="0.2">
      <c r="G156" s="552" t="s">
        <v>483</v>
      </c>
      <c r="H156" s="16"/>
      <c r="I156" s="16"/>
      <c r="J156" s="797"/>
      <c r="K156" s="798">
        <f>SUM(K153:K155)</f>
        <v>531951.21</v>
      </c>
      <c r="L156" s="798">
        <f t="shared" ref="L156:AJ156" si="80">SUM(L153:L155)</f>
        <v>579549.08700000006</v>
      </c>
      <c r="M156" s="798">
        <f t="shared" si="80"/>
        <v>631570.91706000012</v>
      </c>
      <c r="N156" s="798">
        <f t="shared" si="80"/>
        <v>688438.94540760014</v>
      </c>
      <c r="O156" s="798">
        <f t="shared" si="80"/>
        <v>750616.43278845621</v>
      </c>
      <c r="P156" s="798">
        <f t="shared" si="80"/>
        <v>818611.68447780376</v>
      </c>
      <c r="Q156" s="798">
        <f t="shared" si="80"/>
        <v>892982.4778407159</v>
      </c>
      <c r="R156" s="798">
        <f t="shared" si="80"/>
        <v>974340.92803482735</v>
      </c>
      <c r="S156" s="798">
        <f t="shared" si="80"/>
        <v>1063358.8353929524</v>
      </c>
      <c r="T156" s="798">
        <f t="shared" si="80"/>
        <v>1160773.5623601684</v>
      </c>
      <c r="U156" s="798">
        <f t="shared" si="80"/>
        <v>1267394.4926297814</v>
      </c>
      <c r="V156" s="798">
        <f t="shared" si="80"/>
        <v>1384110.1303683715</v>
      </c>
      <c r="W156" s="798">
        <f t="shared" si="80"/>
        <v>1511895.9031893571</v>
      </c>
      <c r="X156" s="798">
        <f t="shared" si="80"/>
        <v>1651822.7388794902</v>
      </c>
      <c r="Y156" s="798">
        <f t="shared" si="80"/>
        <v>1805066.4928609084</v>
      </c>
      <c r="Z156" s="798">
        <f t="shared" si="80"/>
        <v>1972918.3110460767</v>
      </c>
      <c r="AA156" s="798">
        <f t="shared" si="80"/>
        <v>2156796.0211837064</v>
      </c>
      <c r="AB156" s="798">
        <f t="shared" si="80"/>
        <v>2358256.6550770802</v>
      </c>
      <c r="AC156" s="798">
        <f t="shared" si="80"/>
        <v>2579010.2142662923</v>
      </c>
      <c r="AD156" s="798">
        <f t="shared" si="80"/>
        <v>2820934.8029953153</v>
      </c>
      <c r="AE156" s="798">
        <f t="shared" si="80"/>
        <v>3086093.2646353841</v>
      </c>
      <c r="AF156" s="798">
        <f t="shared" si="80"/>
        <v>3376751.471319892</v>
      </c>
      <c r="AG156" s="798">
        <f t="shared" si="80"/>
        <v>3695398.4314861093</v>
      </c>
      <c r="AH156" s="798">
        <f t="shared" si="80"/>
        <v>4044768.396451002</v>
      </c>
      <c r="AI156" s="798">
        <f t="shared" si="80"/>
        <v>4427865.1652213614</v>
      </c>
      <c r="AJ156" s="798">
        <f t="shared" si="80"/>
        <v>4847988.8066162709</v>
      </c>
    </row>
    <row r="157" spans="7:36" ht="15" hidden="1" customHeight="1" x14ac:dyDescent="0.2">
      <c r="G157" s="17"/>
      <c r="H157" s="17"/>
      <c r="I157" s="13"/>
      <c r="J157" s="611"/>
      <c r="K157" s="801"/>
      <c r="L157" s="801"/>
      <c r="M157" s="801"/>
      <c r="N157" s="801"/>
      <c r="O157" s="801"/>
      <c r="P157" s="801"/>
      <c r="Q157" s="801"/>
      <c r="R157" s="801"/>
      <c r="S157" s="801"/>
      <c r="T157" s="801"/>
      <c r="U157" s="801"/>
      <c r="V157" s="801"/>
      <c r="W157" s="801"/>
      <c r="X157" s="801"/>
      <c r="Y157" s="801"/>
      <c r="Z157" s="801"/>
      <c r="AA157" s="801"/>
      <c r="AB157" s="801"/>
      <c r="AC157" s="801"/>
      <c r="AD157" s="801"/>
      <c r="AE157" s="801"/>
      <c r="AF157" s="801"/>
      <c r="AG157" s="801"/>
      <c r="AH157" s="801"/>
      <c r="AI157" s="801"/>
      <c r="AJ157" s="801"/>
    </row>
    <row r="159" spans="7:36" ht="15" customHeight="1" x14ac:dyDescent="0.2">
      <c r="G159" s="64"/>
      <c r="H159" s="502"/>
      <c r="I159" s="502"/>
      <c r="J159" s="502"/>
      <c r="K159" s="502"/>
      <c r="L159" s="502"/>
      <c r="M159" s="502"/>
      <c r="N159" s="502"/>
      <c r="O159" s="502"/>
      <c r="P159" s="502"/>
      <c r="Q159" s="502"/>
      <c r="R159" s="502"/>
      <c r="S159" s="502"/>
      <c r="T159" s="502"/>
      <c r="U159" s="502"/>
      <c r="V159" s="502"/>
      <c r="W159" s="502"/>
      <c r="X159" s="502"/>
      <c r="Y159" s="502"/>
      <c r="Z159" s="502"/>
      <c r="AA159" s="502"/>
      <c r="AB159" s="502"/>
      <c r="AC159" s="502"/>
      <c r="AD159" s="502"/>
      <c r="AE159" s="502"/>
      <c r="AF159" s="502"/>
      <c r="AG159" s="502"/>
      <c r="AH159" s="502"/>
      <c r="AI159" s="502"/>
      <c r="AJ159" s="502"/>
    </row>
    <row r="160" spans="7:36" ht="15" customHeight="1" x14ac:dyDescent="0.2">
      <c r="G160" s="64"/>
      <c r="H160" s="502"/>
      <c r="I160" s="502"/>
      <c r="J160" s="502"/>
      <c r="K160" s="502"/>
      <c r="L160" s="502"/>
      <c r="M160" s="502"/>
      <c r="N160" s="502"/>
      <c r="O160" s="502"/>
      <c r="P160" s="502"/>
      <c r="Q160" s="502"/>
      <c r="R160" s="502"/>
      <c r="S160" s="502"/>
      <c r="T160" s="502"/>
      <c r="U160" s="502"/>
      <c r="V160" s="502"/>
      <c r="W160" s="502"/>
      <c r="X160" s="502"/>
      <c r="Y160" s="502"/>
      <c r="Z160" s="502"/>
      <c r="AA160" s="502"/>
      <c r="AB160" s="502"/>
      <c r="AC160" s="502"/>
      <c r="AD160" s="502"/>
      <c r="AE160" s="502"/>
      <c r="AF160" s="502"/>
      <c r="AG160" s="502"/>
      <c r="AH160" s="502"/>
      <c r="AI160" s="502"/>
      <c r="AJ160" s="502"/>
    </row>
    <row r="161" spans="7:36" ht="15" customHeight="1" x14ac:dyDescent="0.2">
      <c r="G161" s="64"/>
      <c r="H161" s="502"/>
      <c r="I161" s="502"/>
      <c r="J161" s="502"/>
      <c r="K161" s="502"/>
      <c r="L161" s="502"/>
      <c r="M161" s="502"/>
      <c r="N161" s="502"/>
      <c r="O161" s="502"/>
      <c r="P161" s="502"/>
      <c r="Q161" s="502"/>
      <c r="R161" s="502"/>
      <c r="S161" s="502"/>
      <c r="T161" s="502"/>
      <c r="U161" s="502"/>
      <c r="V161" s="502"/>
      <c r="W161" s="502"/>
      <c r="X161" s="502"/>
      <c r="Y161" s="502"/>
      <c r="Z161" s="502"/>
      <c r="AA161" s="502"/>
      <c r="AB161" s="502"/>
      <c r="AC161" s="502"/>
      <c r="AD161" s="502"/>
      <c r="AE161" s="502"/>
      <c r="AF161" s="502"/>
      <c r="AG161" s="502"/>
      <c r="AH161" s="502"/>
      <c r="AI161" s="502"/>
      <c r="AJ161" s="502"/>
    </row>
    <row r="162" spans="7:36" ht="15" customHeight="1" x14ac:dyDescent="0.2">
      <c r="G162" s="64"/>
      <c r="H162" s="502"/>
      <c r="I162" s="502"/>
      <c r="J162" s="502"/>
      <c r="K162" s="536"/>
      <c r="L162" s="536"/>
      <c r="M162" s="536"/>
      <c r="N162" s="536"/>
      <c r="O162" s="536"/>
      <c r="P162" s="536"/>
      <c r="Q162" s="536"/>
      <c r="R162" s="536"/>
      <c r="S162" s="536"/>
      <c r="T162" s="536"/>
      <c r="U162" s="536"/>
      <c r="V162" s="536"/>
      <c r="W162" s="536"/>
      <c r="X162" s="536"/>
      <c r="Y162" s="536"/>
      <c r="Z162" s="536"/>
      <c r="AA162" s="536"/>
      <c r="AB162" s="536"/>
      <c r="AC162" s="536"/>
      <c r="AD162" s="536"/>
      <c r="AE162" s="536"/>
      <c r="AF162" s="536"/>
      <c r="AG162" s="536"/>
      <c r="AH162" s="536"/>
      <c r="AI162" s="536"/>
      <c r="AJ162" s="536"/>
    </row>
    <row r="286" spans="7:36" ht="15" customHeight="1" x14ac:dyDescent="0.2">
      <c r="G286" s="7"/>
      <c r="H286" s="8"/>
      <c r="I286" s="8"/>
      <c r="J286" s="8"/>
      <c r="K286" s="8"/>
      <c r="L286" s="8"/>
      <c r="M286" s="8"/>
      <c r="N286" s="8"/>
      <c r="O286" s="8"/>
      <c r="P286" s="8"/>
      <c r="Q286" s="8"/>
      <c r="R286" s="9"/>
      <c r="S286" s="8"/>
      <c r="T286" s="8"/>
      <c r="U286" s="8"/>
      <c r="V286" s="8"/>
      <c r="W286" s="8"/>
      <c r="X286" s="8"/>
      <c r="Y286" s="8"/>
      <c r="Z286" s="8"/>
      <c r="AA286" s="8"/>
      <c r="AB286" s="73"/>
      <c r="AC286" s="8"/>
      <c r="AD286" s="8"/>
      <c r="AE286" s="8"/>
      <c r="AF286" s="8"/>
      <c r="AG286" s="8"/>
      <c r="AH286" s="8"/>
      <c r="AI286" s="8"/>
      <c r="AJ286" s="8"/>
    </row>
    <row r="287" spans="7:36" ht="15" customHeight="1" x14ac:dyDescent="0.2">
      <c r="G287" s="7"/>
      <c r="H287" s="8"/>
      <c r="I287" s="8"/>
      <c r="J287" s="8"/>
      <c r="K287" s="8"/>
      <c r="L287" s="8"/>
      <c r="M287" s="8"/>
      <c r="N287" s="8"/>
      <c r="O287" s="8"/>
      <c r="P287" s="8"/>
      <c r="Q287" s="8"/>
      <c r="R287" s="9"/>
      <c r="S287" s="8"/>
      <c r="T287" s="8"/>
      <c r="U287" s="8"/>
      <c r="V287" s="8"/>
      <c r="W287" s="8"/>
      <c r="X287" s="8"/>
      <c r="Y287" s="8"/>
      <c r="Z287" s="8"/>
      <c r="AA287" s="8"/>
      <c r="AB287" s="73"/>
      <c r="AC287" s="8"/>
      <c r="AD287" s="8"/>
      <c r="AE287" s="8"/>
      <c r="AF287" s="8"/>
      <c r="AG287" s="8"/>
      <c r="AH287" s="8"/>
      <c r="AI287" s="8"/>
      <c r="AJ287" s="8"/>
    </row>
    <row r="288" spans="7:36" ht="15" customHeight="1" x14ac:dyDescent="0.2">
      <c r="G288" s="10"/>
      <c r="H288" s="8"/>
      <c r="I288" s="8"/>
      <c r="J288" s="8"/>
      <c r="K288" s="67"/>
      <c r="L288" s="67"/>
      <c r="M288" s="67"/>
      <c r="N288" s="67"/>
      <c r="O288" s="67"/>
      <c r="P288" s="67"/>
      <c r="Q288" s="67"/>
      <c r="R288" s="67"/>
      <c r="S288" s="67"/>
      <c r="T288" s="67"/>
      <c r="U288" s="67"/>
      <c r="V288" s="67"/>
      <c r="W288" s="67"/>
      <c r="X288" s="67"/>
      <c r="Y288" s="67"/>
      <c r="Z288" s="67"/>
      <c r="AA288" s="67"/>
      <c r="AB288" s="67"/>
      <c r="AC288" s="67"/>
      <c r="AD288" s="67"/>
      <c r="AE288" s="67"/>
      <c r="AF288" s="67"/>
      <c r="AG288" s="67"/>
      <c r="AH288" s="67"/>
      <c r="AI288" s="67"/>
      <c r="AJ288" s="67"/>
    </row>
    <row r="289" spans="7:36" ht="15" customHeight="1" x14ac:dyDescent="0.2">
      <c r="G289" s="10"/>
      <c r="H289" s="8"/>
      <c r="I289" s="8"/>
      <c r="J289" s="8"/>
      <c r="K289" s="67"/>
      <c r="L289" s="67"/>
      <c r="M289" s="67"/>
      <c r="N289" s="67"/>
      <c r="O289" s="67"/>
      <c r="P289" s="67"/>
      <c r="Q289" s="67"/>
      <c r="R289" s="67"/>
      <c r="S289" s="67"/>
      <c r="T289" s="67"/>
      <c r="U289" s="67"/>
      <c r="V289" s="67"/>
      <c r="W289" s="67"/>
      <c r="X289" s="67"/>
      <c r="Y289" s="67"/>
      <c r="Z289" s="67"/>
      <c r="AA289" s="67"/>
      <c r="AB289" s="67"/>
      <c r="AC289" s="67"/>
      <c r="AD289" s="67"/>
      <c r="AE289" s="67"/>
      <c r="AF289" s="67"/>
      <c r="AG289" s="67"/>
      <c r="AH289" s="67"/>
      <c r="AI289" s="67"/>
      <c r="AJ289" s="67"/>
    </row>
    <row r="290" spans="7:36" ht="15" customHeight="1" x14ac:dyDescent="0.2">
      <c r="G290" s="10"/>
      <c r="H290" s="8"/>
      <c r="I290" s="8"/>
      <c r="J290" s="8"/>
      <c r="K290" s="67"/>
      <c r="L290" s="67"/>
      <c r="M290" s="67"/>
      <c r="N290" s="67"/>
      <c r="O290" s="67"/>
      <c r="P290" s="67"/>
      <c r="Q290" s="67"/>
      <c r="R290" s="67"/>
      <c r="S290" s="67"/>
      <c r="T290" s="67"/>
      <c r="U290" s="67"/>
      <c r="V290" s="67"/>
      <c r="W290" s="67"/>
      <c r="X290" s="67"/>
      <c r="Y290" s="67"/>
      <c r="Z290" s="67"/>
      <c r="AA290" s="67"/>
      <c r="AB290" s="67"/>
      <c r="AC290" s="67"/>
      <c r="AD290" s="67"/>
      <c r="AE290" s="67"/>
      <c r="AF290" s="67"/>
      <c r="AG290" s="67"/>
      <c r="AH290" s="67"/>
      <c r="AI290" s="67"/>
      <c r="AJ290" s="67"/>
    </row>
    <row r="291" spans="7:36" ht="15" customHeight="1" x14ac:dyDescent="0.2">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row>
    <row r="292" spans="7:36" ht="15" customHeight="1" x14ac:dyDescent="0.2">
      <c r="G292" s="162"/>
      <c r="H292" s="66"/>
      <c r="I292" s="66"/>
      <c r="J292" s="66"/>
      <c r="K292" s="66"/>
      <c r="L292" s="66"/>
      <c r="M292" s="66"/>
      <c r="N292" s="66"/>
      <c r="O292" s="66"/>
      <c r="P292" s="66"/>
      <c r="Q292" s="66"/>
      <c r="R292" s="66"/>
      <c r="S292" s="66"/>
      <c r="T292" s="66"/>
      <c r="U292" s="66"/>
      <c r="V292" s="66"/>
      <c r="W292" s="66"/>
      <c r="X292" s="66"/>
      <c r="Y292" s="66"/>
      <c r="Z292" s="66"/>
      <c r="AA292" s="66"/>
      <c r="AB292" s="66"/>
      <c r="AC292" s="66"/>
      <c r="AD292" s="66"/>
      <c r="AE292" s="66"/>
      <c r="AF292" s="66"/>
      <c r="AG292" s="66"/>
      <c r="AH292" s="66"/>
      <c r="AI292" s="66"/>
      <c r="AJ292" s="66"/>
    </row>
    <row r="293" spans="7:36" ht="15" customHeight="1" x14ac:dyDescent="0.2">
      <c r="G293" s="66"/>
      <c r="H293" s="66"/>
      <c r="I293" s="66"/>
      <c r="J293" s="66"/>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row>
    <row r="294" spans="7:36" ht="15" customHeight="1" x14ac:dyDescent="0.2">
      <c r="G294" s="66"/>
      <c r="H294" s="66"/>
      <c r="I294" s="66"/>
      <c r="J294" s="66"/>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row>
    <row r="295" spans="7:36" ht="15" customHeight="1" x14ac:dyDescent="0.2">
      <c r="G295" s="66"/>
      <c r="H295" s="66"/>
      <c r="I295" s="66"/>
      <c r="J295" s="66"/>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row>
    <row r="296" spans="7:36" ht="15" customHeight="1" x14ac:dyDescent="0.2">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row>
    <row r="297" spans="7:36" ht="15" customHeight="1" x14ac:dyDescent="0.2">
      <c r="G297" s="163"/>
      <c r="H297" s="164"/>
      <c r="I297" s="164"/>
      <c r="J297" s="164"/>
      <c r="K297" s="164"/>
      <c r="L297" s="164"/>
      <c r="M297" s="164"/>
      <c r="N297" s="164"/>
      <c r="O297" s="164"/>
      <c r="P297" s="164"/>
      <c r="Q297" s="164"/>
      <c r="R297" s="164"/>
      <c r="S297" s="164"/>
      <c r="T297" s="164"/>
      <c r="U297" s="164"/>
      <c r="V297" s="164"/>
      <c r="W297" s="164"/>
      <c r="X297" s="164"/>
      <c r="Y297" s="164"/>
      <c r="Z297" s="164"/>
      <c r="AA297" s="164"/>
      <c r="AB297" s="164"/>
      <c r="AC297" s="164"/>
      <c r="AD297" s="164"/>
      <c r="AE297" s="164"/>
      <c r="AF297" s="164"/>
      <c r="AG297" s="164"/>
      <c r="AH297" s="164"/>
      <c r="AI297" s="164"/>
      <c r="AJ297" s="164"/>
    </row>
    <row r="298" spans="7:36" ht="15" customHeight="1" x14ac:dyDescent="0.2">
      <c r="G298" s="164"/>
      <c r="H298" s="164"/>
      <c r="I298" s="164"/>
      <c r="J298" s="164"/>
      <c r="K298" s="165"/>
      <c r="L298" s="165"/>
      <c r="M298" s="165"/>
      <c r="N298" s="165"/>
      <c r="O298" s="165"/>
      <c r="P298" s="165"/>
      <c r="Q298" s="165"/>
      <c r="R298" s="165"/>
      <c r="S298" s="165"/>
      <c r="T298" s="165"/>
      <c r="U298" s="165"/>
      <c r="V298" s="165"/>
      <c r="W298" s="165"/>
      <c r="X298" s="165"/>
      <c r="Y298" s="165"/>
      <c r="Z298" s="165"/>
      <c r="AA298" s="165"/>
      <c r="AB298" s="165"/>
      <c r="AC298" s="165"/>
      <c r="AD298" s="165"/>
      <c r="AE298" s="165"/>
      <c r="AF298" s="165"/>
      <c r="AG298" s="165"/>
      <c r="AH298" s="165"/>
      <c r="AI298" s="165"/>
      <c r="AJ298" s="165"/>
    </row>
    <row r="299" spans="7:36" ht="15" customHeight="1" x14ac:dyDescent="0.2">
      <c r="G299" s="164"/>
      <c r="H299" s="164"/>
      <c r="I299" s="164"/>
      <c r="J299" s="164"/>
      <c r="K299" s="165"/>
      <c r="L299" s="165"/>
      <c r="M299" s="165"/>
      <c r="N299" s="165"/>
      <c r="O299" s="165"/>
      <c r="P299" s="165"/>
      <c r="Q299" s="165"/>
      <c r="R299" s="165"/>
      <c r="S299" s="165"/>
      <c r="T299" s="165"/>
      <c r="U299" s="165"/>
      <c r="V299" s="165"/>
      <c r="W299" s="165"/>
      <c r="X299" s="165"/>
      <c r="Y299" s="165"/>
      <c r="Z299" s="165"/>
      <c r="AA299" s="165"/>
      <c r="AB299" s="165"/>
      <c r="AC299" s="165"/>
      <c r="AD299" s="165"/>
      <c r="AE299" s="165"/>
      <c r="AF299" s="165"/>
      <c r="AG299" s="165"/>
      <c r="AH299" s="165"/>
      <c r="AI299" s="165"/>
      <c r="AJ299" s="165"/>
    </row>
    <row r="300" spans="7:36" ht="15" customHeight="1" x14ac:dyDescent="0.2">
      <c r="G300" s="164"/>
      <c r="H300" s="164"/>
      <c r="I300" s="164"/>
      <c r="J300" s="164"/>
      <c r="K300" s="165"/>
      <c r="L300" s="165"/>
      <c r="M300" s="165"/>
      <c r="N300" s="165"/>
      <c r="O300" s="165"/>
      <c r="P300" s="165"/>
      <c r="Q300" s="165"/>
      <c r="R300" s="165"/>
      <c r="S300" s="165"/>
      <c r="T300" s="165"/>
      <c r="U300" s="165"/>
      <c r="V300" s="165"/>
      <c r="W300" s="165"/>
      <c r="X300" s="165"/>
      <c r="Y300" s="165"/>
      <c r="Z300" s="165"/>
      <c r="AA300" s="165"/>
      <c r="AB300" s="165"/>
      <c r="AC300" s="165"/>
      <c r="AD300" s="165"/>
      <c r="AE300" s="165"/>
      <c r="AF300" s="165"/>
      <c r="AG300" s="165"/>
      <c r="AH300" s="165"/>
      <c r="AI300" s="165"/>
      <c r="AJ300" s="165"/>
    </row>
  </sheetData>
  <mergeCells count="27">
    <mergeCell ref="O46:T50"/>
    <mergeCell ref="W5:X7"/>
    <mergeCell ref="W13:X14"/>
    <mergeCell ref="W18:X19"/>
    <mergeCell ref="V10:X10"/>
    <mergeCell ref="W23:X24"/>
    <mergeCell ref="W28:X29"/>
    <mergeCell ref="W33:X34"/>
    <mergeCell ref="W38:X39"/>
    <mergeCell ref="W43:X44"/>
    <mergeCell ref="W48:X49"/>
    <mergeCell ref="N10:T10"/>
    <mergeCell ref="N26:T26"/>
    <mergeCell ref="V15:X15"/>
    <mergeCell ref="V20:X20"/>
    <mergeCell ref="V50:X50"/>
    <mergeCell ref="B31:D32"/>
    <mergeCell ref="A1:E3"/>
    <mergeCell ref="G1:H3"/>
    <mergeCell ref="B7:D7"/>
    <mergeCell ref="G5:H7"/>
    <mergeCell ref="B26:D27"/>
    <mergeCell ref="V25:X25"/>
    <mergeCell ref="V30:X30"/>
    <mergeCell ref="V35:X35"/>
    <mergeCell ref="V40:X40"/>
    <mergeCell ref="V45:X45"/>
  </mergeCells>
  <conditionalFormatting sqref="G10">
    <cfRule type="expression" dxfId="89" priority="25">
      <formula>#REF!="No"</formula>
    </cfRule>
  </conditionalFormatting>
  <conditionalFormatting sqref="G17">
    <cfRule type="expression" dxfId="88" priority="70">
      <formula>#REF!="No"</formula>
    </cfRule>
  </conditionalFormatting>
  <conditionalFormatting sqref="G20">
    <cfRule type="expression" dxfId="87" priority="69">
      <formula>#REF!="No"</formula>
    </cfRule>
  </conditionalFormatting>
  <conditionalFormatting sqref="G26">
    <cfRule type="expression" dxfId="86" priority="67">
      <formula>#REF!="No"</formula>
    </cfRule>
  </conditionalFormatting>
  <conditionalFormatting sqref="G32">
    <cfRule type="expression" dxfId="85" priority="65">
      <formula>#REF!="No"</formula>
    </cfRule>
    <cfRule type="expression" dxfId="84" priority="66">
      <formula>#REF!="No"</formula>
    </cfRule>
  </conditionalFormatting>
  <conditionalFormatting sqref="G36">
    <cfRule type="expression" dxfId="83" priority="20">
      <formula>#REF!="No"</formula>
    </cfRule>
  </conditionalFormatting>
  <conditionalFormatting sqref="G45">
    <cfRule type="expression" dxfId="82" priority="18">
      <formula>#REF!="No"</formula>
    </cfRule>
  </conditionalFormatting>
  <conditionalFormatting sqref="G70">
    <cfRule type="expression" dxfId="81" priority="21">
      <formula>#REF!="No"</formula>
    </cfRule>
    <cfRule type="expression" dxfId="80" priority="22">
      <formula>#REF!="No"</formula>
    </cfRule>
  </conditionalFormatting>
  <conditionalFormatting sqref="G90">
    <cfRule type="expression" dxfId="79" priority="12">
      <formula>#REF!="No"</formula>
    </cfRule>
  </conditionalFormatting>
  <conditionalFormatting sqref="N10">
    <cfRule type="expression" dxfId="78" priority="17">
      <formula>#REF!="No"</formula>
    </cfRule>
  </conditionalFormatting>
  <conditionalFormatting sqref="N26">
    <cfRule type="expression" dxfId="77" priority="15">
      <formula>#REF!="No"</formula>
    </cfRule>
  </conditionalFormatting>
  <conditionalFormatting sqref="N36">
    <cfRule type="expression" dxfId="76" priority="14">
      <formula>#REF!="No"</formula>
    </cfRule>
  </conditionalFormatting>
  <conditionalFormatting sqref="V10">
    <cfRule type="expression" dxfId="75" priority="8">
      <formula>#REF!="No"</formula>
    </cfRule>
  </conditionalFormatting>
  <conditionalFormatting sqref="W13">
    <cfRule type="dataBar" priority="48">
      <dataBar showValue="0">
        <cfvo type="num" val="0"/>
        <cfvo type="num" val="23"/>
        <color theme="9" tint="0.39997558519241921"/>
      </dataBar>
      <extLst>
        <ext xmlns:x14="http://schemas.microsoft.com/office/spreadsheetml/2009/9/main" uri="{B025F937-C7B1-47D3-B67F-A62EFF666E3E}">
          <x14:id>{0C8570A0-F6C7-4512-9F3B-43429586E155}</x14:id>
        </ext>
      </extLst>
    </cfRule>
  </conditionalFormatting>
  <conditionalFormatting sqref="W18">
    <cfRule type="dataBar" priority="7">
      <dataBar showValue="0">
        <cfvo type="num" val="0"/>
        <cfvo type="num" val="23"/>
        <color theme="9" tint="0.39997558519241921"/>
      </dataBar>
      <extLst>
        <ext xmlns:x14="http://schemas.microsoft.com/office/spreadsheetml/2009/9/main" uri="{B025F937-C7B1-47D3-B67F-A62EFF666E3E}">
          <x14:id>{62C44E9B-7323-4D4F-9D7E-CD960ABD9756}</x14:id>
        </ext>
      </extLst>
    </cfRule>
  </conditionalFormatting>
  <conditionalFormatting sqref="W23">
    <cfRule type="dataBar" priority="6">
      <dataBar showValue="0">
        <cfvo type="num" val="0"/>
        <cfvo type="num" val="23"/>
        <color theme="9" tint="0.39997558519241921"/>
      </dataBar>
      <extLst>
        <ext xmlns:x14="http://schemas.microsoft.com/office/spreadsheetml/2009/9/main" uri="{B025F937-C7B1-47D3-B67F-A62EFF666E3E}">
          <x14:id>{49EC7CAF-72D8-4753-99FD-56B168586523}</x14:id>
        </ext>
      </extLst>
    </cfRule>
  </conditionalFormatting>
  <conditionalFormatting sqref="W28">
    <cfRule type="dataBar" priority="5">
      <dataBar showValue="0">
        <cfvo type="num" val="0"/>
        <cfvo type="num" val="23"/>
        <color theme="9" tint="0.39997558519241921"/>
      </dataBar>
      <extLst>
        <ext xmlns:x14="http://schemas.microsoft.com/office/spreadsheetml/2009/9/main" uri="{B025F937-C7B1-47D3-B67F-A62EFF666E3E}">
          <x14:id>{4E83F698-E1FA-4C07-9C6C-E02E764269F1}</x14:id>
        </ext>
      </extLst>
    </cfRule>
  </conditionalFormatting>
  <conditionalFormatting sqref="W33">
    <cfRule type="dataBar" priority="4">
      <dataBar showValue="0">
        <cfvo type="num" val="0"/>
        <cfvo type="num" val="23"/>
        <color theme="9" tint="0.39997558519241921"/>
      </dataBar>
      <extLst>
        <ext xmlns:x14="http://schemas.microsoft.com/office/spreadsheetml/2009/9/main" uri="{B025F937-C7B1-47D3-B67F-A62EFF666E3E}">
          <x14:id>{42941C58-DB2A-4F1C-AEB0-431314DFBC07}</x14:id>
        </ext>
      </extLst>
    </cfRule>
  </conditionalFormatting>
  <conditionalFormatting sqref="W38">
    <cfRule type="dataBar" priority="3">
      <dataBar showValue="0">
        <cfvo type="num" val="0"/>
        <cfvo type="num" val="23"/>
        <color theme="9" tint="0.39997558519241921"/>
      </dataBar>
      <extLst>
        <ext xmlns:x14="http://schemas.microsoft.com/office/spreadsheetml/2009/9/main" uri="{B025F937-C7B1-47D3-B67F-A62EFF666E3E}">
          <x14:id>{563AEC07-6BDB-4720-BCF4-583D6E38BAD5}</x14:id>
        </ext>
      </extLst>
    </cfRule>
  </conditionalFormatting>
  <conditionalFormatting sqref="W43">
    <cfRule type="dataBar" priority="2">
      <dataBar showValue="0">
        <cfvo type="num" val="0"/>
        <cfvo type="num" val="23"/>
        <color theme="9" tint="0.39997558519241921"/>
      </dataBar>
      <extLst>
        <ext xmlns:x14="http://schemas.microsoft.com/office/spreadsheetml/2009/9/main" uri="{B025F937-C7B1-47D3-B67F-A62EFF666E3E}">
          <x14:id>{B3793FCB-BFE2-46E0-94E6-F5FA6E1FB8EA}</x14:id>
        </ext>
      </extLst>
    </cfRule>
  </conditionalFormatting>
  <conditionalFormatting sqref="W48">
    <cfRule type="dataBar" priority="1">
      <dataBar showValue="0">
        <cfvo type="num" val="0"/>
        <cfvo type="num" val="23"/>
        <color theme="9" tint="0.39997558519241921"/>
      </dataBar>
      <extLst>
        <ext xmlns:x14="http://schemas.microsoft.com/office/spreadsheetml/2009/9/main" uri="{B025F937-C7B1-47D3-B67F-A62EFF666E3E}">
          <x14:id>{CAAE78DD-9EBD-45E8-A41F-35F04CEC6B7E}</x14:id>
        </ext>
      </extLst>
    </cfRule>
  </conditionalFormatting>
  <conditionalFormatting sqref="X12">
    <cfRule type="dataBar" priority="49">
      <dataBar showValue="0">
        <cfvo type="percent" val="0"/>
        <cfvo type="percent" val="100"/>
        <color theme="9" tint="0.39997558519241921"/>
      </dataBar>
      <extLst>
        <ext xmlns:x14="http://schemas.microsoft.com/office/spreadsheetml/2009/9/main" uri="{B025F937-C7B1-47D3-B67F-A62EFF666E3E}">
          <x14:id>{6A735005-9BB0-402A-9752-675AFF58E16B}</x14:id>
        </ext>
      </extLst>
    </cfRule>
  </conditionalFormatting>
  <conditionalFormatting sqref="X17">
    <cfRule type="dataBar" priority="56">
      <dataBar showValue="0">
        <cfvo type="percent" val="0"/>
        <cfvo type="percent" val="100"/>
        <color theme="9" tint="0.39997558519241921"/>
      </dataBar>
      <extLst>
        <ext xmlns:x14="http://schemas.microsoft.com/office/spreadsheetml/2009/9/main" uri="{B025F937-C7B1-47D3-B67F-A62EFF666E3E}">
          <x14:id>{D63BB796-5F1C-4413-BA9F-49CD16849251}</x14:id>
        </ext>
      </extLst>
    </cfRule>
  </conditionalFormatting>
  <conditionalFormatting sqref="X22">
    <cfRule type="dataBar" priority="55">
      <dataBar showValue="0">
        <cfvo type="percent" val="0"/>
        <cfvo type="percent" val="100"/>
        <color theme="9" tint="0.39997558519241921"/>
      </dataBar>
      <extLst>
        <ext xmlns:x14="http://schemas.microsoft.com/office/spreadsheetml/2009/9/main" uri="{B025F937-C7B1-47D3-B67F-A62EFF666E3E}">
          <x14:id>{7F24734E-FEF3-4C64-9AB1-C94E9D42956F}</x14:id>
        </ext>
      </extLst>
    </cfRule>
  </conditionalFormatting>
  <conditionalFormatting sqref="X27">
    <cfRule type="dataBar" priority="54">
      <dataBar showValue="0">
        <cfvo type="percent" val="0"/>
        <cfvo type="percent" val="100"/>
        <color theme="9" tint="0.39997558519241921"/>
      </dataBar>
      <extLst>
        <ext xmlns:x14="http://schemas.microsoft.com/office/spreadsheetml/2009/9/main" uri="{B025F937-C7B1-47D3-B67F-A62EFF666E3E}">
          <x14:id>{D8B7C92B-2CD0-467C-90DA-FBF53F16F8F0}</x14:id>
        </ext>
      </extLst>
    </cfRule>
  </conditionalFormatting>
  <conditionalFormatting sqref="X32">
    <cfRule type="dataBar" priority="53">
      <dataBar showValue="0">
        <cfvo type="percent" val="0"/>
        <cfvo type="percent" val="100"/>
        <color theme="9" tint="0.39997558519241921"/>
      </dataBar>
      <extLst>
        <ext xmlns:x14="http://schemas.microsoft.com/office/spreadsheetml/2009/9/main" uri="{B025F937-C7B1-47D3-B67F-A62EFF666E3E}">
          <x14:id>{6BF8E5FC-76B1-457A-9977-9BBB6502910B}</x14:id>
        </ext>
      </extLst>
    </cfRule>
  </conditionalFormatting>
  <conditionalFormatting sqref="X37">
    <cfRule type="dataBar" priority="52">
      <dataBar showValue="0">
        <cfvo type="percent" val="0"/>
        <cfvo type="percent" val="100"/>
        <color theme="9" tint="0.39997558519241921"/>
      </dataBar>
      <extLst>
        <ext xmlns:x14="http://schemas.microsoft.com/office/spreadsheetml/2009/9/main" uri="{B025F937-C7B1-47D3-B67F-A62EFF666E3E}">
          <x14:id>{81E43973-4420-43C6-9694-845F835CE731}</x14:id>
        </ext>
      </extLst>
    </cfRule>
  </conditionalFormatting>
  <dataValidations disablePrompts="1" count="1">
    <dataValidation type="list" allowBlank="1" showInputMessage="1" showErrorMessage="1" sqref="H27 H18 H21 H24" xr:uid="{00000000-0002-0000-0C00-000000000000}">
      <formula1>"TBC, A, B, C"</formula1>
    </dataValidation>
  </dataValidations>
  <hyperlinks>
    <hyperlink ref="G5:H7" location="SimpleStep2!A1" display="Back" xr:uid="{00000000-0004-0000-0C00-000000000000}"/>
    <hyperlink ref="W5:X7" location="Data!A1" display="Next" xr:uid="{00000000-0004-0000-0C00-000001000000}"/>
    <hyperlink ref="B12" location="Step1!A1" display="Step 1" xr:uid="{00000000-0004-0000-0C00-000002000000}"/>
    <hyperlink ref="B10" location="Home!A1" display="HOME" xr:uid="{00000000-0004-0000-0C00-000003000000}"/>
    <hyperlink ref="B14" location="SimpleStep2!A1" display="STEP 2" xr:uid="{00000000-0004-0000-0C00-000004000000}"/>
    <hyperlink ref="B18" location="Data!A1" display="DATA" xr:uid="{00000000-0004-0000-0C00-000005000000}"/>
    <hyperlink ref="O46:T50" location="SimpleOutputs!A1" display="SimpleOutputs!A1" xr:uid="{00000000-0004-0000-0C00-000006000000}"/>
    <hyperlink ref="V50:X50" location="SimpleStep2!A1" display="Go back to change" xr:uid="{00000000-0004-0000-0C00-000007000000}"/>
    <hyperlink ref="V45:X45" location="SimpleStep2!A1" display="Go back to change" xr:uid="{00000000-0004-0000-0C00-000008000000}"/>
    <hyperlink ref="V40:X40" location="SimpleStep2!A1" display="Go back to change" xr:uid="{00000000-0004-0000-0C00-000009000000}"/>
    <hyperlink ref="V35:X35" location="SimpleStep2!A1" display="Go back to change" xr:uid="{00000000-0004-0000-0C00-00000A000000}"/>
    <hyperlink ref="V30:X30" location="SimpleStep2!A1" display="Go back to change" xr:uid="{00000000-0004-0000-0C00-00000B000000}"/>
    <hyperlink ref="V25:X25" location="SimpleStep2!A1" display="Go back to change" xr:uid="{00000000-0004-0000-0C00-00000C000000}"/>
    <hyperlink ref="V20:X20" location="SimpleStep2!A1" display="Go back to change" xr:uid="{00000000-0004-0000-0C00-00000D000000}"/>
    <hyperlink ref="V15:X15" location="SimpleStep2!A1" display="Go back to change" xr:uid="{00000000-0004-0000-0C00-00000E000000}"/>
  </hyperlinks>
  <pageMargins left="0.25" right="0.25" top="0.75" bottom="0.75" header="0.3" footer="0.3"/>
  <pageSetup paperSize="8" scale="76" orientation="landscape" r:id="rId1"/>
  <rowBreaks count="1" manualBreakCount="1">
    <brk id="130" max="36" man="1"/>
  </rowBreaks>
  <colBreaks count="1" manualBreakCount="1">
    <brk id="37" max="1048575" man="1"/>
  </colBreaks>
  <drawing r:id="rId2"/>
  <extLst>
    <ext xmlns:x14="http://schemas.microsoft.com/office/spreadsheetml/2009/9/main" uri="{78C0D931-6437-407d-A8EE-F0AAD7539E65}">
      <x14:conditionalFormattings>
        <x14:conditionalFormatting xmlns:xm="http://schemas.microsoft.com/office/excel/2006/main">
          <x14:cfRule type="dataBar" id="{0C8570A0-F6C7-4512-9F3B-43429586E155}">
            <x14:dataBar minLength="0" maxLength="100" gradient="0">
              <x14:cfvo type="num">
                <xm:f>0</xm:f>
              </x14:cfvo>
              <x14:cfvo type="num">
                <xm:f>23</xm:f>
              </x14:cfvo>
              <x14:negativeFillColor rgb="FFFF0000"/>
              <x14:axisColor rgb="FF000000"/>
            </x14:dataBar>
          </x14:cfRule>
          <xm:sqref>W13</xm:sqref>
        </x14:conditionalFormatting>
        <x14:conditionalFormatting xmlns:xm="http://schemas.microsoft.com/office/excel/2006/main">
          <x14:cfRule type="dataBar" id="{62C44E9B-7323-4D4F-9D7E-CD960ABD9756}">
            <x14:dataBar minLength="0" maxLength="100" gradient="0">
              <x14:cfvo type="num">
                <xm:f>0</xm:f>
              </x14:cfvo>
              <x14:cfvo type="num">
                <xm:f>23</xm:f>
              </x14:cfvo>
              <x14:negativeFillColor rgb="FFFF0000"/>
              <x14:axisColor rgb="FF000000"/>
            </x14:dataBar>
          </x14:cfRule>
          <xm:sqref>W18</xm:sqref>
        </x14:conditionalFormatting>
        <x14:conditionalFormatting xmlns:xm="http://schemas.microsoft.com/office/excel/2006/main">
          <x14:cfRule type="dataBar" id="{49EC7CAF-72D8-4753-99FD-56B168586523}">
            <x14:dataBar minLength="0" maxLength="100" gradient="0">
              <x14:cfvo type="num">
                <xm:f>0</xm:f>
              </x14:cfvo>
              <x14:cfvo type="num">
                <xm:f>23</xm:f>
              </x14:cfvo>
              <x14:negativeFillColor rgb="FFFF0000"/>
              <x14:axisColor rgb="FF000000"/>
            </x14:dataBar>
          </x14:cfRule>
          <xm:sqref>W23</xm:sqref>
        </x14:conditionalFormatting>
        <x14:conditionalFormatting xmlns:xm="http://schemas.microsoft.com/office/excel/2006/main">
          <x14:cfRule type="dataBar" id="{4E83F698-E1FA-4C07-9C6C-E02E764269F1}">
            <x14:dataBar minLength="0" maxLength="100" gradient="0">
              <x14:cfvo type="num">
                <xm:f>0</xm:f>
              </x14:cfvo>
              <x14:cfvo type="num">
                <xm:f>23</xm:f>
              </x14:cfvo>
              <x14:negativeFillColor rgb="FFFF0000"/>
              <x14:axisColor rgb="FF000000"/>
            </x14:dataBar>
          </x14:cfRule>
          <xm:sqref>W28</xm:sqref>
        </x14:conditionalFormatting>
        <x14:conditionalFormatting xmlns:xm="http://schemas.microsoft.com/office/excel/2006/main">
          <x14:cfRule type="dataBar" id="{42941C58-DB2A-4F1C-AEB0-431314DFBC07}">
            <x14:dataBar minLength="0" maxLength="100" gradient="0">
              <x14:cfvo type="num">
                <xm:f>0</xm:f>
              </x14:cfvo>
              <x14:cfvo type="num">
                <xm:f>23</xm:f>
              </x14:cfvo>
              <x14:negativeFillColor rgb="FFFF0000"/>
              <x14:axisColor rgb="FF000000"/>
            </x14:dataBar>
          </x14:cfRule>
          <xm:sqref>W33</xm:sqref>
        </x14:conditionalFormatting>
        <x14:conditionalFormatting xmlns:xm="http://schemas.microsoft.com/office/excel/2006/main">
          <x14:cfRule type="dataBar" id="{563AEC07-6BDB-4720-BCF4-583D6E38BAD5}">
            <x14:dataBar minLength="0" maxLength="100" gradient="0">
              <x14:cfvo type="num">
                <xm:f>0</xm:f>
              </x14:cfvo>
              <x14:cfvo type="num">
                <xm:f>23</xm:f>
              </x14:cfvo>
              <x14:negativeFillColor rgb="FFFF0000"/>
              <x14:axisColor rgb="FF000000"/>
            </x14:dataBar>
          </x14:cfRule>
          <xm:sqref>W38</xm:sqref>
        </x14:conditionalFormatting>
        <x14:conditionalFormatting xmlns:xm="http://schemas.microsoft.com/office/excel/2006/main">
          <x14:cfRule type="dataBar" id="{B3793FCB-BFE2-46E0-94E6-F5FA6E1FB8EA}">
            <x14:dataBar minLength="0" maxLength="100" gradient="0">
              <x14:cfvo type="num">
                <xm:f>0</xm:f>
              </x14:cfvo>
              <x14:cfvo type="num">
                <xm:f>23</xm:f>
              </x14:cfvo>
              <x14:negativeFillColor rgb="FFFF0000"/>
              <x14:axisColor rgb="FF000000"/>
            </x14:dataBar>
          </x14:cfRule>
          <xm:sqref>W43</xm:sqref>
        </x14:conditionalFormatting>
        <x14:conditionalFormatting xmlns:xm="http://schemas.microsoft.com/office/excel/2006/main">
          <x14:cfRule type="dataBar" id="{CAAE78DD-9EBD-45E8-A41F-35F04CEC6B7E}">
            <x14:dataBar minLength="0" maxLength="100" gradient="0">
              <x14:cfvo type="num">
                <xm:f>0</xm:f>
              </x14:cfvo>
              <x14:cfvo type="num">
                <xm:f>23</xm:f>
              </x14:cfvo>
              <x14:negativeFillColor rgb="FFFF0000"/>
              <x14:axisColor rgb="FF000000"/>
            </x14:dataBar>
          </x14:cfRule>
          <xm:sqref>W48</xm:sqref>
        </x14:conditionalFormatting>
        <x14:conditionalFormatting xmlns:xm="http://schemas.microsoft.com/office/excel/2006/main">
          <x14:cfRule type="dataBar" id="{6A735005-9BB0-402A-9752-675AFF58E16B}">
            <x14:dataBar minLength="0" maxLength="100" gradient="0">
              <x14:cfvo type="percent">
                <xm:f>0</xm:f>
              </x14:cfvo>
              <x14:cfvo type="percent">
                <xm:f>100</xm:f>
              </x14:cfvo>
              <x14:negativeFillColor rgb="FFFF0000"/>
              <x14:axisColor rgb="FF000000"/>
            </x14:dataBar>
          </x14:cfRule>
          <xm:sqref>X12</xm:sqref>
        </x14:conditionalFormatting>
        <x14:conditionalFormatting xmlns:xm="http://schemas.microsoft.com/office/excel/2006/main">
          <x14:cfRule type="dataBar" id="{D63BB796-5F1C-4413-BA9F-49CD16849251}">
            <x14:dataBar minLength="0" maxLength="100" gradient="0">
              <x14:cfvo type="percent">
                <xm:f>0</xm:f>
              </x14:cfvo>
              <x14:cfvo type="percent">
                <xm:f>100</xm:f>
              </x14:cfvo>
              <x14:negativeFillColor rgb="FFFF0000"/>
              <x14:axisColor rgb="FF000000"/>
            </x14:dataBar>
          </x14:cfRule>
          <xm:sqref>X17</xm:sqref>
        </x14:conditionalFormatting>
        <x14:conditionalFormatting xmlns:xm="http://schemas.microsoft.com/office/excel/2006/main">
          <x14:cfRule type="dataBar" id="{7F24734E-FEF3-4C64-9AB1-C94E9D42956F}">
            <x14:dataBar minLength="0" maxLength="100" gradient="0">
              <x14:cfvo type="percent">
                <xm:f>0</xm:f>
              </x14:cfvo>
              <x14:cfvo type="percent">
                <xm:f>100</xm:f>
              </x14:cfvo>
              <x14:negativeFillColor rgb="FFFF0000"/>
              <x14:axisColor rgb="FF000000"/>
            </x14:dataBar>
          </x14:cfRule>
          <xm:sqref>X22</xm:sqref>
        </x14:conditionalFormatting>
        <x14:conditionalFormatting xmlns:xm="http://schemas.microsoft.com/office/excel/2006/main">
          <x14:cfRule type="dataBar" id="{D8B7C92B-2CD0-467C-90DA-FBF53F16F8F0}">
            <x14:dataBar minLength="0" maxLength="100" gradient="0">
              <x14:cfvo type="percent">
                <xm:f>0</xm:f>
              </x14:cfvo>
              <x14:cfvo type="percent">
                <xm:f>100</xm:f>
              </x14:cfvo>
              <x14:negativeFillColor rgb="FFFF0000"/>
              <x14:axisColor rgb="FF000000"/>
            </x14:dataBar>
          </x14:cfRule>
          <xm:sqref>X27</xm:sqref>
        </x14:conditionalFormatting>
        <x14:conditionalFormatting xmlns:xm="http://schemas.microsoft.com/office/excel/2006/main">
          <x14:cfRule type="dataBar" id="{6BF8E5FC-76B1-457A-9977-9BBB6502910B}">
            <x14:dataBar minLength="0" maxLength="100" gradient="0">
              <x14:cfvo type="percent">
                <xm:f>0</xm:f>
              </x14:cfvo>
              <x14:cfvo type="percent">
                <xm:f>100</xm:f>
              </x14:cfvo>
              <x14:negativeFillColor rgb="FFFF0000"/>
              <x14:axisColor rgb="FF000000"/>
            </x14:dataBar>
          </x14:cfRule>
          <xm:sqref>X32</xm:sqref>
        </x14:conditionalFormatting>
        <x14:conditionalFormatting xmlns:xm="http://schemas.microsoft.com/office/excel/2006/main">
          <x14:cfRule type="dataBar" id="{81E43973-4420-43C6-9694-845F835CE731}">
            <x14:dataBar minLength="0" maxLength="100" gradient="0">
              <x14:cfvo type="percent">
                <xm:f>0</xm:f>
              </x14:cfvo>
              <x14:cfvo type="percent">
                <xm:f>100</xm:f>
              </x14:cfvo>
              <x14:negativeFillColor rgb="FFFF0000"/>
              <x14:axisColor rgb="FF000000"/>
            </x14:dataBar>
          </x14:cfRule>
          <xm:sqref>X37</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201"/>
  <sheetViews>
    <sheetView showGridLines="0" zoomScale="70" zoomScaleNormal="70" zoomScaleSheetLayoutView="115" workbookViewId="0">
      <selection sqref="A1:E3"/>
    </sheetView>
  </sheetViews>
  <sheetFormatPr defaultColWidth="8.7109375" defaultRowHeight="15" customHeight="1" x14ac:dyDescent="0.2"/>
  <cols>
    <col min="1" max="1" width="3.7109375" style="47" customWidth="1"/>
    <col min="2" max="2" width="8.85546875" style="62" customWidth="1"/>
    <col min="3" max="3" width="8.7109375" style="481" customWidth="1"/>
    <col min="4" max="4" width="8.7109375" style="49" customWidth="1"/>
    <col min="5" max="5" width="3.7109375" style="48" customWidth="1"/>
    <col min="6" max="6" width="8.7109375" style="8"/>
    <col min="7" max="7" width="8.7109375" style="10"/>
    <col min="8" max="10" width="8.7109375" style="8"/>
    <col min="11" max="11" width="3.7109375" style="45" customWidth="1"/>
    <col min="12" max="14" width="20.7109375" style="8" customWidth="1"/>
    <col min="15" max="15" width="8.7109375" style="87"/>
    <col min="16" max="16" width="8.7109375" style="8"/>
    <col min="17" max="17" width="8.7109375" style="9"/>
    <col min="18" max="20" width="8.7109375" style="8"/>
    <col min="21" max="16384" width="8.7109375" style="1"/>
  </cols>
  <sheetData>
    <row r="1" spans="1:23" ht="15" customHeight="1" x14ac:dyDescent="0.2">
      <c r="A1" s="1075"/>
      <c r="B1" s="1075"/>
      <c r="C1" s="1075"/>
      <c r="D1" s="1075"/>
      <c r="E1" s="1075"/>
      <c r="G1" s="1024" t="s">
        <v>559</v>
      </c>
      <c r="H1" s="1024"/>
      <c r="I1" s="1024"/>
    </row>
    <row r="2" spans="1:23" ht="15" customHeight="1" x14ac:dyDescent="0.2">
      <c r="A2" s="1075"/>
      <c r="B2" s="1075"/>
      <c r="C2" s="1075"/>
      <c r="D2" s="1075"/>
      <c r="E2" s="1075"/>
      <c r="G2" s="1024"/>
      <c r="H2" s="1024"/>
      <c r="I2" s="1024"/>
      <c r="J2" s="63"/>
      <c r="K2" s="116"/>
      <c r="L2" s="477"/>
      <c r="M2" s="63"/>
      <c r="N2" s="63"/>
      <c r="O2" s="478"/>
      <c r="P2" s="21"/>
    </row>
    <row r="3" spans="1:23" ht="15" customHeight="1" x14ac:dyDescent="0.2">
      <c r="A3" s="1075"/>
      <c r="B3" s="1075"/>
      <c r="C3" s="1075"/>
      <c r="D3" s="1075"/>
      <c r="E3" s="1075"/>
      <c r="G3" s="1024"/>
      <c r="H3" s="1024"/>
      <c r="I3" s="1024"/>
    </row>
    <row r="4" spans="1:23" ht="15" customHeight="1" x14ac:dyDescent="0.2">
      <c r="A4" s="618"/>
      <c r="B4" s="618"/>
      <c r="C4" s="618"/>
      <c r="D4" s="618"/>
      <c r="E4" s="618"/>
      <c r="G4" s="619"/>
      <c r="H4" s="619"/>
      <c r="I4" s="619"/>
    </row>
    <row r="5" spans="1:23" ht="15" customHeight="1" x14ac:dyDescent="0.2">
      <c r="A5" s="669"/>
      <c r="B5" s="62" t="s">
        <v>251</v>
      </c>
      <c r="C5" s="669"/>
      <c r="D5" s="669"/>
      <c r="E5" s="669"/>
      <c r="G5" s="1020" t="s">
        <v>202</v>
      </c>
      <c r="H5" s="1020"/>
    </row>
    <row r="6" spans="1:23" ht="15" customHeight="1" x14ac:dyDescent="0.2">
      <c r="A6" s="669"/>
      <c r="C6" s="48"/>
      <c r="E6" s="669"/>
      <c r="G6" s="1020"/>
      <c r="H6" s="1020"/>
      <c r="K6" s="8"/>
      <c r="V6" s="479"/>
      <c r="W6" s="479"/>
    </row>
    <row r="7" spans="1:23" ht="15" customHeight="1" x14ac:dyDescent="0.2">
      <c r="A7" s="669"/>
      <c r="B7" s="1023" t="str">
        <f>IF(Step1!K12="New building",Step1!Q12,Step1!K15)</f>
        <v>1-19 Torrington Place</v>
      </c>
      <c r="C7" s="1023"/>
      <c r="D7" s="1023"/>
      <c r="E7" s="669"/>
      <c r="G7" s="1020"/>
      <c r="H7" s="1020"/>
      <c r="I7" s="22"/>
      <c r="J7" s="22"/>
      <c r="K7" s="8"/>
      <c r="M7" s="1078" t="str">
        <f>IF(OR(SimpleV!J11&gt;(Step1!K24*Step1!K35),SimpleL!J11&gt;(Step1!K24*Step1!K42)),"Warning: check inputs!","")</f>
        <v/>
      </c>
      <c r="N7" s="1078"/>
      <c r="V7" s="479"/>
      <c r="W7" s="479"/>
    </row>
    <row r="8" spans="1:23" ht="15" customHeight="1" x14ac:dyDescent="0.2">
      <c r="B8" s="89"/>
      <c r="C8" s="48"/>
      <c r="G8" s="285"/>
      <c r="Q8" s="8"/>
    </row>
    <row r="9" spans="1:23" ht="15" customHeight="1" x14ac:dyDescent="0.2">
      <c r="B9" s="89"/>
      <c r="C9" s="48"/>
      <c r="N9" s="706"/>
      <c r="O9" s="708"/>
      <c r="Q9" s="8"/>
    </row>
    <row r="10" spans="1:23" ht="15" customHeight="1" x14ac:dyDescent="0.3">
      <c r="B10" s="1039"/>
      <c r="C10" s="1039"/>
      <c r="D10" s="1039"/>
      <c r="G10" s="756"/>
      <c r="O10" s="707"/>
      <c r="P10" s="686"/>
      <c r="Q10" s="686"/>
      <c r="R10" s="686"/>
      <c r="S10" s="686"/>
      <c r="T10" s="687"/>
      <c r="U10" s="686"/>
      <c r="V10" s="688"/>
      <c r="W10" s="688"/>
    </row>
    <row r="11" spans="1:23" ht="15" customHeight="1" x14ac:dyDescent="0.3">
      <c r="B11" s="588"/>
      <c r="C11" s="593"/>
      <c r="D11" s="594"/>
      <c r="H11" s="88" t="s">
        <v>595</v>
      </c>
      <c r="N11" s="974" t="str">
        <f>Home!$W$1</f>
        <v>BETA</v>
      </c>
    </row>
    <row r="12" spans="1:23" ht="15" customHeight="1" x14ac:dyDescent="0.3">
      <c r="B12" s="199"/>
      <c r="C12" s="595"/>
      <c r="D12" s="594"/>
    </row>
    <row r="13" spans="1:23" ht="15" customHeight="1" x14ac:dyDescent="0.3">
      <c r="B13" s="588"/>
      <c r="C13" s="597"/>
      <c r="D13" s="594"/>
      <c r="H13" s="66"/>
      <c r="I13" s="66"/>
      <c r="J13" s="66"/>
      <c r="K13" s="809"/>
      <c r="L13" s="806" t="s">
        <v>570</v>
      </c>
      <c r="M13" s="806" t="s">
        <v>563</v>
      </c>
      <c r="N13" s="806" t="s">
        <v>564</v>
      </c>
    </row>
    <row r="14" spans="1:23" ht="15" customHeight="1" x14ac:dyDescent="0.3">
      <c r="B14" s="199"/>
      <c r="C14" s="593"/>
      <c r="D14" s="594"/>
      <c r="H14" s="66" t="s">
        <v>589</v>
      </c>
      <c r="I14" s="66"/>
      <c r="J14" s="66"/>
      <c r="K14" s="66"/>
      <c r="L14" s="112">
        <f>SimpleStep2!AJ85</f>
        <v>0</v>
      </c>
      <c r="M14" s="112">
        <f>SimpleStep2!AJ97</f>
        <v>0</v>
      </c>
      <c r="N14" s="112">
        <f>SimpleStep2!AJ109</f>
        <v>0</v>
      </c>
    </row>
    <row r="15" spans="1:23" ht="15" customHeight="1" x14ac:dyDescent="0.3">
      <c r="B15" s="589"/>
      <c r="C15" s="593"/>
      <c r="D15" s="617"/>
      <c r="H15" s="17" t="s">
        <v>590</v>
      </c>
      <c r="I15" s="17"/>
      <c r="J15" s="17"/>
      <c r="K15" s="104"/>
      <c r="L15" s="82" t="s">
        <v>591</v>
      </c>
      <c r="M15" s="17" t="e">
        <f>SimpleStep2!$S$49</f>
        <v>#N/A</v>
      </c>
      <c r="N15" s="17" t="e">
        <f>SimpleStep2!$S$50</f>
        <v>#N/A</v>
      </c>
      <c r="O15" s="709"/>
      <c r="P15" s="1"/>
      <c r="Q15" s="1"/>
      <c r="R15" s="10"/>
      <c r="S15" s="1"/>
      <c r="T15" s="1"/>
    </row>
    <row r="16" spans="1:23" ht="15" customHeight="1" x14ac:dyDescent="0.3">
      <c r="B16" s="199"/>
      <c r="C16" s="593"/>
      <c r="D16" s="617"/>
      <c r="H16" s="10"/>
      <c r="I16" s="10"/>
      <c r="J16" s="10"/>
      <c r="K16" s="240"/>
      <c r="L16" s="10"/>
      <c r="M16" s="10"/>
      <c r="N16" s="10"/>
      <c r="O16" s="709"/>
      <c r="P16" s="1"/>
      <c r="Q16" s="1"/>
      <c r="R16" s="10"/>
      <c r="S16" s="1"/>
      <c r="T16" s="1"/>
    </row>
    <row r="17" spans="1:20" ht="15" customHeight="1" x14ac:dyDescent="0.3">
      <c r="B17" s="590"/>
      <c r="C17" s="593"/>
      <c r="D17" s="617"/>
      <c r="H17" s="10"/>
      <c r="I17" s="10"/>
      <c r="J17" s="10"/>
      <c r="K17" s="10"/>
      <c r="L17" s="10"/>
      <c r="M17" s="10"/>
      <c r="N17" s="10"/>
      <c r="O17" s="757"/>
      <c r="P17" s="1"/>
      <c r="Q17" s="1"/>
      <c r="R17" s="10"/>
      <c r="S17" s="1"/>
      <c r="T17" s="1"/>
    </row>
    <row r="18" spans="1:20" ht="15" customHeight="1" x14ac:dyDescent="0.3">
      <c r="A18" s="483"/>
      <c r="B18" s="201"/>
      <c r="C18" s="593"/>
      <c r="D18" s="617"/>
      <c r="P18" s="1"/>
      <c r="Q18" s="1"/>
      <c r="R18" s="10"/>
      <c r="S18" s="1"/>
      <c r="T18" s="1"/>
    </row>
    <row r="19" spans="1:20" ht="15" customHeight="1" x14ac:dyDescent="0.2">
      <c r="B19" s="120"/>
      <c r="C19" s="48"/>
      <c r="G19" s="756"/>
      <c r="O19" s="690"/>
      <c r="Q19" s="1"/>
      <c r="R19" s="10"/>
      <c r="S19" s="1"/>
      <c r="T19" s="1"/>
    </row>
    <row r="20" spans="1:20" ht="15" customHeight="1" x14ac:dyDescent="0.2">
      <c r="B20" s="120"/>
      <c r="C20" s="48"/>
      <c r="H20" s="88" t="s">
        <v>610</v>
      </c>
      <c r="I20" s="722"/>
      <c r="J20" s="722"/>
      <c r="K20" s="722"/>
      <c r="L20" s="10"/>
      <c r="M20" s="10"/>
      <c r="N20" s="974" t="str">
        <f>Home!$W$1</f>
        <v>BETA</v>
      </c>
      <c r="O20" s="240"/>
      <c r="R20" s="10"/>
    </row>
    <row r="21" spans="1:20" ht="15" customHeight="1" x14ac:dyDescent="0.2">
      <c r="B21" s="120"/>
      <c r="C21" s="48"/>
      <c r="H21" s="10"/>
      <c r="I21" s="10"/>
      <c r="J21" s="10"/>
      <c r="K21" s="10"/>
      <c r="L21" s="10"/>
      <c r="M21" s="10"/>
      <c r="N21" s="10"/>
      <c r="O21" s="240"/>
    </row>
    <row r="22" spans="1:20" ht="15" customHeight="1" x14ac:dyDescent="0.2">
      <c r="B22" s="120"/>
      <c r="C22" s="48"/>
      <c r="H22" s="494"/>
      <c r="I22" s="494"/>
      <c r="J22" s="494"/>
      <c r="K22" s="494"/>
      <c r="L22" s="806" t="s">
        <v>570</v>
      </c>
      <c r="M22" s="806" t="s">
        <v>563</v>
      </c>
      <c r="N22" s="806" t="s">
        <v>564</v>
      </c>
      <c r="O22" s="240"/>
      <c r="Q22" s="710"/>
      <c r="R22" s="710"/>
      <c r="S22" s="710"/>
    </row>
    <row r="23" spans="1:20" ht="15" customHeight="1" x14ac:dyDescent="0.2">
      <c r="B23" s="120"/>
      <c r="C23" s="48"/>
      <c r="H23" s="109" t="s">
        <v>554</v>
      </c>
      <c r="I23" s="109"/>
      <c r="J23" s="109"/>
      <c r="K23" s="109"/>
      <c r="L23" s="807">
        <f>SUM(SimpleStep3!J123:J125)</f>
        <v>2819371</v>
      </c>
      <c r="M23" s="807">
        <f>SUM(SimpleStep3!J134:J136)</f>
        <v>2819371</v>
      </c>
      <c r="N23" s="807">
        <f>SUM(SimpleStep3!J148:J151)</f>
        <v>2819371</v>
      </c>
      <c r="Q23" s="67"/>
      <c r="R23" s="555"/>
      <c r="S23" s="555"/>
    </row>
    <row r="24" spans="1:20" ht="15" customHeight="1" x14ac:dyDescent="0.2">
      <c r="B24" s="120"/>
      <c r="C24" s="48"/>
      <c r="H24" s="54" t="s">
        <v>796</v>
      </c>
      <c r="I24" s="54"/>
      <c r="J24" s="54"/>
      <c r="K24" s="54"/>
      <c r="L24" s="810">
        <f>SimpleStep3!K131</f>
        <v>531951.21</v>
      </c>
      <c r="M24" s="810">
        <f>SimpleStep3!K142</f>
        <v>531951.21</v>
      </c>
      <c r="N24" s="810">
        <f>SimpleStep3!K156</f>
        <v>531951.21</v>
      </c>
      <c r="Q24" s="67"/>
      <c r="R24" s="555"/>
      <c r="S24" s="555"/>
    </row>
    <row r="25" spans="1:20" ht="15" customHeight="1" x14ac:dyDescent="0.2">
      <c r="B25" s="120"/>
      <c r="C25" s="48"/>
      <c r="G25" s="706"/>
      <c r="H25" s="109" t="s">
        <v>555</v>
      </c>
      <c r="I25" s="109"/>
      <c r="J25" s="109"/>
      <c r="K25" s="109"/>
      <c r="L25" s="807">
        <f>SimpleStep3!K126</f>
        <v>509993.97048000002</v>
      </c>
      <c r="M25" s="807">
        <f>SimpleStep3!K137</f>
        <v>509993.97048000002</v>
      </c>
      <c r="N25" s="807">
        <f>SimpleStep3!K151</f>
        <v>509993.97048000002</v>
      </c>
      <c r="O25" s="690"/>
      <c r="Q25" s="67"/>
      <c r="R25" s="555"/>
      <c r="S25" s="555"/>
    </row>
    <row r="26" spans="1:20" ht="15" customHeight="1" x14ac:dyDescent="0.2">
      <c r="B26" s="120"/>
      <c r="C26" s="48"/>
      <c r="O26" s="757"/>
      <c r="Q26" s="67"/>
      <c r="R26" s="555"/>
      <c r="S26" s="555"/>
    </row>
    <row r="27" spans="1:20" ht="15" customHeight="1" x14ac:dyDescent="0.2">
      <c r="B27" s="120"/>
      <c r="C27" s="48"/>
      <c r="O27" s="240"/>
      <c r="Q27" s="67"/>
      <c r="R27" s="555"/>
      <c r="S27" s="555"/>
    </row>
    <row r="28" spans="1:20" ht="15" customHeight="1" x14ac:dyDescent="0.2">
      <c r="B28" s="120"/>
      <c r="C28" s="48"/>
      <c r="G28" s="756"/>
      <c r="P28" s="1"/>
      <c r="Q28" s="67"/>
      <c r="R28" s="555"/>
      <c r="S28" s="555"/>
    </row>
    <row r="29" spans="1:20" ht="15" customHeight="1" x14ac:dyDescent="0.2">
      <c r="B29" s="120"/>
      <c r="C29" s="48"/>
      <c r="H29" s="703" t="s">
        <v>597</v>
      </c>
      <c r="I29" s="723"/>
      <c r="J29" s="723"/>
      <c r="K29" s="723"/>
      <c r="L29" s="10"/>
      <c r="M29" s="10"/>
      <c r="N29" s="974"/>
      <c r="O29" s="689"/>
      <c r="P29" s="1"/>
      <c r="Q29" s="1"/>
      <c r="R29" s="10"/>
    </row>
    <row r="30" spans="1:20" ht="15" customHeight="1" x14ac:dyDescent="0.2">
      <c r="B30" s="120"/>
      <c r="C30" s="48"/>
      <c r="H30" s="10"/>
      <c r="I30" s="10"/>
      <c r="J30" s="10"/>
      <c r="K30" s="10"/>
      <c r="L30" s="10"/>
      <c r="M30" s="10"/>
      <c r="N30" s="10"/>
      <c r="O30" s="708"/>
      <c r="P30" s="1"/>
      <c r="Q30" s="1"/>
      <c r="R30" s="10"/>
    </row>
    <row r="31" spans="1:20" ht="15" customHeight="1" x14ac:dyDescent="0.2">
      <c r="B31" s="120"/>
      <c r="C31" s="48"/>
      <c r="H31" s="421"/>
      <c r="I31" s="421"/>
      <c r="J31" s="421"/>
      <c r="K31" s="421"/>
      <c r="L31" s="710" t="s">
        <v>570</v>
      </c>
      <c r="M31" s="710" t="s">
        <v>563</v>
      </c>
      <c r="N31" s="710" t="s">
        <v>564</v>
      </c>
      <c r="P31" s="1"/>
      <c r="Q31" s="1"/>
      <c r="R31" s="10"/>
    </row>
    <row r="32" spans="1:20" ht="15" customHeight="1" x14ac:dyDescent="0.2">
      <c r="B32" s="120"/>
      <c r="C32" s="48"/>
      <c r="H32" s="421" t="s">
        <v>556</v>
      </c>
      <c r="I32" s="421"/>
      <c r="J32" s="421"/>
      <c r="K32" s="421"/>
      <c r="L32" s="663" t="str">
        <f>IF(SimpleStep3!$W$13="Yes",SimpleF!$AJ$112,"NA")</f>
        <v>NA</v>
      </c>
      <c r="M32" s="663" t="str">
        <f>IF(SimpleStep3!$W$13="Yes",SimpleF!$AJ$136,"NA")</f>
        <v>NA</v>
      </c>
      <c r="N32" s="663" t="str">
        <f>IF(SimpleStep3!$W$13="Yes",SimpleF!$AJ$160,"NA")</f>
        <v>NA</v>
      </c>
      <c r="O32" s="689"/>
      <c r="R32" s="10"/>
    </row>
    <row r="33" spans="2:21" ht="15" customHeight="1" x14ac:dyDescent="0.2">
      <c r="B33" s="120"/>
      <c r="C33" s="48"/>
      <c r="H33" s="445" t="s">
        <v>557</v>
      </c>
      <c r="I33" s="445"/>
      <c r="J33" s="445"/>
      <c r="K33" s="445"/>
      <c r="L33" s="75" t="str">
        <f>IF(SimpleStep3!$W$18="Yes",SimpleV!$AJ$112,"NA")</f>
        <v>NA</v>
      </c>
      <c r="M33" s="75" t="str">
        <f>IF(SimpleStep3!$W$18="Yes",SimpleV!$AJ$136,"NA")</f>
        <v>NA</v>
      </c>
      <c r="N33" s="75" t="str">
        <f>IF(SimpleStep3!$W$18="Yes",SimpleV!$AJ$160,"NA")</f>
        <v>NA</v>
      </c>
      <c r="O33" s="689"/>
      <c r="R33" s="10"/>
    </row>
    <row r="34" spans="2:21" ht="15" customHeight="1" x14ac:dyDescent="0.2">
      <c r="B34" s="120"/>
      <c r="C34" s="48"/>
      <c r="H34" s="421" t="s">
        <v>454</v>
      </c>
      <c r="I34" s="421"/>
      <c r="J34" s="421"/>
      <c r="K34" s="421"/>
      <c r="L34" s="663" t="str">
        <f>IF(SimpleStep3!$W$23="Yes",SimpleH!$AJ$115,"NA")</f>
        <v>NA</v>
      </c>
      <c r="M34" s="663" t="str">
        <f>IF(SimpleStep3!$W$23="Yes",SimpleH!$AJ$139,"NA")</f>
        <v>NA</v>
      </c>
      <c r="N34" s="663" t="str">
        <f>IF(SimpleStep3!$W$23="Yes",SimpleH!$AJ$163,"NA")</f>
        <v>NA</v>
      </c>
      <c r="O34" s="689"/>
      <c r="R34" s="10"/>
    </row>
    <row r="35" spans="2:21" ht="15" customHeight="1" x14ac:dyDescent="0.2">
      <c r="B35" s="120"/>
      <c r="C35" s="48"/>
      <c r="H35" s="445" t="s">
        <v>558</v>
      </c>
      <c r="I35" s="445"/>
      <c r="J35" s="445"/>
      <c r="K35" s="445"/>
      <c r="L35" s="75" t="str">
        <f>IF(SimpleStep3!$W$28="Yes",SimpleC!$AJ$112,"NA")</f>
        <v>NA</v>
      </c>
      <c r="M35" s="75" t="str">
        <f>IF(SimpleStep3!$W$28="Yes",SimpleC!$AJ$136,"NA")</f>
        <v>NA</v>
      </c>
      <c r="N35" s="75" t="str">
        <f>IF(SimpleStep3!$W$28="Yes",SimpleC!$AJ$160,"NA")</f>
        <v>NA</v>
      </c>
      <c r="O35" s="689"/>
      <c r="R35" s="70"/>
    </row>
    <row r="36" spans="2:21" ht="15" customHeight="1" x14ac:dyDescent="0.2">
      <c r="B36" s="119"/>
      <c r="H36" s="421" t="s">
        <v>20</v>
      </c>
      <c r="I36" s="421"/>
      <c r="J36" s="421"/>
      <c r="K36" s="421"/>
      <c r="L36" s="663" t="str">
        <f>IF(SimpleStep3!$W$33="Yes",SimpleL!$AJ$112,"NA")</f>
        <v>NA</v>
      </c>
      <c r="M36" s="663" t="str">
        <f>IF(SimpleStep3!$W$33="Yes",SimpleL!$AJ$136,"NA")</f>
        <v>NA</v>
      </c>
      <c r="N36" s="663" t="str">
        <f>IF(SimpleStep3!$W$33="Yes",SimpleL!$AJ$160,"NA")</f>
        <v>NA</v>
      </c>
      <c r="O36" s="8"/>
      <c r="R36" s="70"/>
    </row>
    <row r="37" spans="2:21" ht="15" customHeight="1" x14ac:dyDescent="0.2">
      <c r="B37" s="484"/>
      <c r="C37" s="114"/>
      <c r="H37" s="445" t="s">
        <v>586</v>
      </c>
      <c r="I37" s="445"/>
      <c r="J37" s="445"/>
      <c r="K37" s="445"/>
      <c r="L37" s="75" t="str">
        <f>IF(SimpleStep3!$W$38="Yes",SimpleBA!$AJ$112,"NA")</f>
        <v>NA</v>
      </c>
      <c r="M37" s="75" t="str">
        <f>IF(SimpleStep3!$W$38="Yes",SimpleBA!$AJ$136,"NA")</f>
        <v>NA</v>
      </c>
      <c r="N37" s="75" t="str">
        <f>IF(SimpleStep3!$W$38="Yes",SimpleBA!$AJ$160,"NA")</f>
        <v>NA</v>
      </c>
      <c r="R37" s="721"/>
    </row>
    <row r="38" spans="2:21" ht="15" customHeight="1" x14ac:dyDescent="0.2">
      <c r="B38" s="119"/>
      <c r="C38" s="114"/>
      <c r="H38" s="421" t="s">
        <v>587</v>
      </c>
      <c r="I38" s="421"/>
      <c r="J38" s="421"/>
      <c r="K38" s="421"/>
      <c r="L38" s="663" t="str">
        <f>IF(SimpleStep3!$W$43="Yes",SimpleBB!$AJ$112,"NA")</f>
        <v>NA</v>
      </c>
      <c r="M38" s="663" t="str">
        <f>IF(SimpleStep3!$W$43="Yes",SimpleBB!$AJ$136,"NA")</f>
        <v>NA</v>
      </c>
      <c r="N38" s="663" t="str">
        <f>IF(SimpleStep3!$W$43="Yes",SimpleBB!$AJ$160,"NA")</f>
        <v>NA</v>
      </c>
      <c r="R38" s="70"/>
    </row>
    <row r="39" spans="2:21" ht="15" customHeight="1" x14ac:dyDescent="0.2">
      <c r="B39" s="484"/>
      <c r="C39" s="114"/>
      <c r="H39" s="445" t="s">
        <v>588</v>
      </c>
      <c r="I39" s="445"/>
      <c r="J39" s="445"/>
      <c r="K39" s="445"/>
      <c r="L39" s="75" t="str">
        <f>IF(SimpleStep3!$W$48="Yes",SimpleBC!$AJ$112,"NA")</f>
        <v>NA</v>
      </c>
      <c r="M39" s="75" t="str">
        <f>IF(SimpleStep3!$W$48="Yes",SimpleBC!$AJ$136,"NA")</f>
        <v>NA</v>
      </c>
      <c r="N39" s="75" t="str">
        <f>IF(SimpleStep3!$W$48="Yes",SimpleBC!$AJ$160,"NA")</f>
        <v>NA</v>
      </c>
      <c r="O39" s="8"/>
      <c r="R39" s="70"/>
      <c r="U39" s="70"/>
    </row>
    <row r="40" spans="2:21" ht="15" customHeight="1" x14ac:dyDescent="0.2">
      <c r="B40" s="89"/>
      <c r="C40" s="48"/>
      <c r="H40" s="10"/>
      <c r="I40" s="10"/>
      <c r="J40" s="10"/>
      <c r="K40" s="10"/>
      <c r="L40" s="10"/>
      <c r="M40" s="10"/>
      <c r="N40" s="10"/>
      <c r="O40" s="757"/>
      <c r="P40" s="690"/>
      <c r="Q40" s="8"/>
      <c r="R40" s="70"/>
      <c r="U40" s="70"/>
    </row>
    <row r="41" spans="2:21" ht="15" customHeight="1" x14ac:dyDescent="0.2">
      <c r="B41" s="89"/>
      <c r="C41" s="48"/>
      <c r="O41" s="709"/>
      <c r="P41" s="45"/>
      <c r="Q41" s="8"/>
      <c r="R41" s="10"/>
      <c r="U41" s="70"/>
    </row>
    <row r="42" spans="2:21" ht="15" customHeight="1" x14ac:dyDescent="0.2">
      <c r="B42" s="89"/>
      <c r="C42" s="48"/>
      <c r="G42" s="756"/>
      <c r="H42" s="10"/>
      <c r="I42" s="10"/>
      <c r="J42" s="10"/>
      <c r="K42" s="240"/>
      <c r="L42" s="10"/>
      <c r="M42" s="10"/>
      <c r="N42" s="10"/>
      <c r="P42" s="45"/>
      <c r="Q42" s="8"/>
      <c r="R42" s="10"/>
      <c r="U42" s="70"/>
    </row>
    <row r="43" spans="2:21" ht="15" customHeight="1" x14ac:dyDescent="0.2">
      <c r="B43" s="89"/>
      <c r="C43" s="48"/>
      <c r="H43" s="703" t="s">
        <v>596</v>
      </c>
      <c r="I43" s="723"/>
      <c r="J43" s="723"/>
      <c r="K43" s="723"/>
      <c r="L43" s="10"/>
      <c r="M43" s="10"/>
      <c r="N43" s="10"/>
      <c r="O43" s="708"/>
      <c r="P43" s="45"/>
      <c r="Q43" s="8"/>
      <c r="R43" s="10"/>
      <c r="U43" s="70"/>
    </row>
    <row r="44" spans="2:21" ht="15" customHeight="1" x14ac:dyDescent="0.2">
      <c r="B44" s="89"/>
      <c r="C44" s="48"/>
      <c r="H44" s="10"/>
      <c r="I44" s="10"/>
      <c r="J44" s="10"/>
      <c r="K44" s="10"/>
      <c r="L44" s="10"/>
      <c r="M44" s="10"/>
      <c r="N44" s="10"/>
      <c r="O44" s="689"/>
      <c r="Q44" s="8"/>
      <c r="R44" s="10"/>
      <c r="S44" s="10"/>
      <c r="T44" s="10"/>
      <c r="U44" s="70"/>
    </row>
    <row r="45" spans="2:21" ht="15" customHeight="1" x14ac:dyDescent="0.2">
      <c r="B45" s="89"/>
      <c r="C45" s="48"/>
      <c r="H45" s="421"/>
      <c r="I45" s="421"/>
      <c r="J45" s="421"/>
      <c r="K45" s="421"/>
      <c r="L45" s="710"/>
      <c r="M45" s="710" t="s">
        <v>563</v>
      </c>
      <c r="N45" s="710" t="s">
        <v>564</v>
      </c>
      <c r="O45" s="689"/>
      <c r="Q45" s="8"/>
      <c r="R45" s="10"/>
      <c r="S45" s="10"/>
      <c r="T45" s="10"/>
      <c r="U45" s="70"/>
    </row>
    <row r="46" spans="2:21" ht="15" customHeight="1" x14ac:dyDescent="0.2">
      <c r="B46" s="89"/>
      <c r="C46" s="48"/>
      <c r="O46" s="689"/>
      <c r="U46" s="70"/>
    </row>
    <row r="47" spans="2:21" ht="15" customHeight="1" x14ac:dyDescent="0.2">
      <c r="C47" s="48"/>
      <c r="H47" s="421" t="s">
        <v>556</v>
      </c>
      <c r="I47" s="421"/>
      <c r="J47" s="421"/>
      <c r="K47" s="421"/>
      <c r="L47" s="58"/>
      <c r="M47" s="663" t="str">
        <f>IF(SimpleStep3!$W$13="Yes",SimpleF!$V$42,"NA")</f>
        <v>NA</v>
      </c>
      <c r="N47" s="663" t="str">
        <f>IF(SimpleStep3!$W$13="Yes",SimpleF!$V$43,"NA")</f>
        <v>NA</v>
      </c>
      <c r="O47" s="689"/>
      <c r="Q47" s="8"/>
      <c r="R47" s="10"/>
      <c r="S47" s="10"/>
      <c r="T47" s="10"/>
      <c r="U47" s="70"/>
    </row>
    <row r="48" spans="2:21" ht="15" customHeight="1" x14ac:dyDescent="0.2">
      <c r="B48" s="1080"/>
      <c r="C48" s="1080"/>
      <c r="D48" s="1080"/>
      <c r="H48" s="445" t="s">
        <v>557</v>
      </c>
      <c r="I48" s="445"/>
      <c r="J48" s="445"/>
      <c r="K48" s="445"/>
      <c r="L48" s="41"/>
      <c r="M48" s="75" t="str">
        <f>IF(SimpleStep3!$W$18="Yes",SimpleV!$V$42,"NA")</f>
        <v>NA</v>
      </c>
      <c r="N48" s="75" t="str">
        <f>IF(SimpleStep3!$W$18="Yes",SimpleV!$V$43,"NA")</f>
        <v>NA</v>
      </c>
      <c r="O48" s="689"/>
      <c r="P48" s="690"/>
      <c r="Q48" s="8"/>
      <c r="R48" s="10"/>
      <c r="S48" s="10"/>
      <c r="T48" s="10"/>
      <c r="U48" s="70"/>
    </row>
    <row r="49" spans="3:21" ht="15" customHeight="1" x14ac:dyDescent="0.2">
      <c r="C49" s="62"/>
      <c r="D49" s="62"/>
      <c r="H49" s="421" t="s">
        <v>454</v>
      </c>
      <c r="I49" s="421"/>
      <c r="J49" s="421"/>
      <c r="K49" s="421"/>
      <c r="L49" s="58"/>
      <c r="M49" s="663" t="str">
        <f>IF(SimpleStep3!$W$23="Yes",SimpleH!$V$42,"NA")</f>
        <v>NA</v>
      </c>
      <c r="N49" s="663" t="str">
        <f>IF(SimpleStep3!$W$23="Yes",SimpleH!$V$43,"NA")</f>
        <v>NA</v>
      </c>
      <c r="O49" s="689"/>
      <c r="P49" s="45"/>
      <c r="Q49" s="8"/>
      <c r="R49" s="10"/>
      <c r="S49" s="10"/>
      <c r="T49" s="10"/>
      <c r="U49" s="70"/>
    </row>
    <row r="50" spans="3:21" ht="15" customHeight="1" x14ac:dyDescent="0.2">
      <c r="C50" s="62"/>
      <c r="D50" s="62"/>
      <c r="H50" s="445" t="s">
        <v>558</v>
      </c>
      <c r="I50" s="445"/>
      <c r="J50" s="445"/>
      <c r="K50" s="445"/>
      <c r="L50" s="41"/>
      <c r="M50" s="75" t="str">
        <f>IF(SimpleStep3!$W$28="Yes",SimpleC!$V$42,"NA")</f>
        <v>NA</v>
      </c>
      <c r="N50" s="75" t="str">
        <f>IF(SimpleStep3!$W$28="Yes",SimpleC!$V$43,"NA")</f>
        <v>NA</v>
      </c>
      <c r="O50" s="689"/>
      <c r="P50" s="45"/>
      <c r="Q50" s="8"/>
      <c r="R50" s="10"/>
      <c r="S50" s="10"/>
      <c r="T50" s="10"/>
      <c r="U50" s="70"/>
    </row>
    <row r="51" spans="3:21" ht="15" customHeight="1" x14ac:dyDescent="0.2">
      <c r="C51" s="62"/>
      <c r="D51" s="62"/>
      <c r="H51" s="421" t="s">
        <v>20</v>
      </c>
      <c r="I51" s="421"/>
      <c r="J51" s="421"/>
      <c r="K51" s="421"/>
      <c r="L51" s="58"/>
      <c r="M51" s="663" t="str">
        <f>IF(SimpleStep3!$W$33="Yes",SimpleL!$V$42,"NA")</f>
        <v>NA</v>
      </c>
      <c r="N51" s="663" t="str">
        <f>IF(SimpleStep3!$W$33="Yes",SimpleL!$V$43,"NA")</f>
        <v>NA</v>
      </c>
      <c r="P51" s="45"/>
      <c r="Q51" s="8"/>
      <c r="R51" s="10"/>
      <c r="S51" s="10"/>
      <c r="T51" s="10"/>
      <c r="U51" s="70"/>
    </row>
    <row r="52" spans="3:21" ht="15" customHeight="1" x14ac:dyDescent="0.2">
      <c r="C52" s="62"/>
      <c r="D52" s="62"/>
      <c r="H52" s="445" t="s">
        <v>586</v>
      </c>
      <c r="I52" s="445"/>
      <c r="J52" s="445"/>
      <c r="K52" s="445"/>
      <c r="L52" s="41"/>
      <c r="M52" s="75" t="str">
        <f>IF(SimpleStep3!$W$38="Yes",SimpleBA!$V$42,"NA")</f>
        <v>NA</v>
      </c>
      <c r="N52" s="75" t="str">
        <f>IF(SimpleStep3!$W$38="Yes",SimpleBA!$V$43,"NA")</f>
        <v>NA</v>
      </c>
      <c r="P52" s="45"/>
      <c r="Q52" s="8"/>
      <c r="R52" s="10"/>
      <c r="S52" s="10"/>
      <c r="T52" s="10"/>
      <c r="U52" s="70"/>
    </row>
    <row r="53" spans="3:21" ht="15" customHeight="1" x14ac:dyDescent="0.2">
      <c r="C53" s="62"/>
      <c r="D53" s="62"/>
      <c r="H53" s="421" t="s">
        <v>587</v>
      </c>
      <c r="M53" s="984" t="str">
        <f>IF(SimpleStep3!$W$43="Yes",SimpleBB!$V$42,"NA")</f>
        <v>NA</v>
      </c>
      <c r="N53" s="984" t="str">
        <f>IF(SimpleStep3!$W$43="Yes",SimpleBB!$V$43,"NA")</f>
        <v>NA</v>
      </c>
      <c r="P53" s="45"/>
      <c r="Q53" s="8"/>
      <c r="R53" s="10"/>
      <c r="S53" s="10"/>
      <c r="T53" s="10"/>
      <c r="U53" s="70"/>
    </row>
    <row r="54" spans="3:21" ht="15" customHeight="1" x14ac:dyDescent="0.2">
      <c r="C54" s="62"/>
      <c r="D54" s="62"/>
      <c r="H54" s="445" t="s">
        <v>588</v>
      </c>
      <c r="I54" s="13"/>
      <c r="J54" s="13"/>
      <c r="K54" s="117"/>
      <c r="L54" s="13"/>
      <c r="M54" s="75" t="str">
        <f>IF(SimpleStep3!$W$48="Yes",SimpleBC!$V$42,"NA")</f>
        <v>NA</v>
      </c>
      <c r="N54" s="75" t="str">
        <f>IF(SimpleStep3!$W$48="Yes",SimpleBC!$V$43,"NA")</f>
        <v>NA</v>
      </c>
      <c r="P54" s="45"/>
      <c r="Q54" s="8"/>
      <c r="R54" s="10"/>
      <c r="S54" s="10"/>
      <c r="T54" s="10"/>
      <c r="U54" s="70"/>
    </row>
    <row r="55" spans="3:21" ht="15" customHeight="1" x14ac:dyDescent="0.2">
      <c r="C55" s="48"/>
      <c r="O55" s="757"/>
      <c r="Q55" s="8"/>
      <c r="R55" s="10"/>
      <c r="S55" s="10"/>
      <c r="T55" s="10"/>
      <c r="U55" s="70"/>
    </row>
    <row r="56" spans="3:21" ht="15" customHeight="1" x14ac:dyDescent="0.2">
      <c r="C56" s="48"/>
      <c r="U56" s="70"/>
    </row>
    <row r="57" spans="3:21" ht="15" customHeight="1" x14ac:dyDescent="0.2">
      <c r="C57" s="486"/>
      <c r="D57" s="486"/>
      <c r="R57" s="10"/>
      <c r="S57" s="10"/>
      <c r="T57" s="10"/>
      <c r="U57" s="70"/>
    </row>
    <row r="58" spans="3:21" ht="15" customHeight="1" x14ac:dyDescent="0.2">
      <c r="C58" s="487"/>
      <c r="E58" s="55"/>
      <c r="P58" s="690"/>
      <c r="R58" s="10"/>
      <c r="S58" s="10"/>
      <c r="T58" s="10"/>
      <c r="U58" s="70"/>
    </row>
    <row r="59" spans="3:21" ht="15" customHeight="1" x14ac:dyDescent="0.2">
      <c r="C59" s="487"/>
      <c r="E59" s="55"/>
      <c r="P59" s="45"/>
      <c r="R59" s="10"/>
      <c r="S59" s="10"/>
      <c r="T59" s="10"/>
      <c r="U59" s="70"/>
    </row>
    <row r="60" spans="3:21" ht="15" customHeight="1" x14ac:dyDescent="0.2">
      <c r="C60" s="487"/>
      <c r="E60" s="55"/>
      <c r="P60" s="45"/>
      <c r="R60" s="10"/>
      <c r="S60" s="10"/>
      <c r="T60" s="10"/>
      <c r="U60" s="70"/>
    </row>
    <row r="61" spans="3:21" ht="15" customHeight="1" x14ac:dyDescent="0.2">
      <c r="C61" s="487"/>
      <c r="E61" s="55"/>
      <c r="P61" s="45"/>
      <c r="R61" s="10"/>
      <c r="S61" s="10"/>
      <c r="T61" s="10"/>
      <c r="U61" s="70"/>
    </row>
    <row r="62" spans="3:21" ht="15" customHeight="1" x14ac:dyDescent="0.2">
      <c r="C62" s="55"/>
      <c r="R62" s="10"/>
      <c r="S62" s="10"/>
      <c r="T62" s="10"/>
      <c r="U62" s="70"/>
    </row>
    <row r="63" spans="3:21" ht="15" customHeight="1" x14ac:dyDescent="0.2">
      <c r="C63" s="48"/>
      <c r="R63" s="10"/>
      <c r="S63" s="10"/>
      <c r="T63" s="10"/>
      <c r="U63" s="70"/>
    </row>
    <row r="64" spans="3:21" ht="15" customHeight="1" x14ac:dyDescent="0.2">
      <c r="C64" s="486"/>
      <c r="D64" s="486"/>
      <c r="U64" s="70"/>
    </row>
    <row r="65" spans="2:21" ht="15" customHeight="1" x14ac:dyDescent="0.2">
      <c r="B65" s="89"/>
      <c r="C65" s="48"/>
      <c r="R65" s="10"/>
      <c r="S65" s="10"/>
      <c r="T65" s="10"/>
      <c r="U65" s="70"/>
    </row>
    <row r="66" spans="2:21" ht="15" customHeight="1" x14ac:dyDescent="0.2">
      <c r="C66" s="48"/>
      <c r="P66" s="690"/>
      <c r="R66" s="10"/>
      <c r="S66" s="10"/>
      <c r="T66" s="10"/>
      <c r="U66" s="70"/>
    </row>
    <row r="67" spans="2:21" ht="15" customHeight="1" x14ac:dyDescent="0.2">
      <c r="C67" s="48"/>
      <c r="P67" s="45"/>
      <c r="R67" s="10"/>
      <c r="S67" s="10"/>
      <c r="T67" s="10"/>
      <c r="U67" s="70"/>
    </row>
    <row r="68" spans="2:21" ht="15" customHeight="1" x14ac:dyDescent="0.2">
      <c r="C68" s="48"/>
      <c r="P68" s="45"/>
      <c r="R68" s="10"/>
      <c r="S68" s="10"/>
      <c r="T68" s="10"/>
      <c r="U68" s="70"/>
    </row>
    <row r="69" spans="2:21" ht="15" customHeight="1" x14ac:dyDescent="0.2">
      <c r="C69" s="48"/>
      <c r="P69" s="45"/>
      <c r="R69" s="10"/>
      <c r="S69" s="10"/>
      <c r="T69" s="10"/>
      <c r="U69" s="70"/>
    </row>
    <row r="70" spans="2:21" ht="15" customHeight="1" x14ac:dyDescent="0.2">
      <c r="C70" s="486"/>
      <c r="D70" s="486"/>
      <c r="R70" s="10"/>
      <c r="S70" s="10"/>
      <c r="T70" s="10"/>
      <c r="U70" s="70"/>
    </row>
    <row r="71" spans="2:21" ht="15" customHeight="1" x14ac:dyDescent="0.2">
      <c r="B71" s="89"/>
      <c r="C71" s="48"/>
      <c r="R71" s="10"/>
      <c r="S71" s="10"/>
      <c r="T71" s="10"/>
      <c r="U71" s="70"/>
    </row>
    <row r="72" spans="2:21" ht="15" customHeight="1" x14ac:dyDescent="0.2">
      <c r="B72" s="89"/>
      <c r="C72" s="48"/>
      <c r="U72" s="70"/>
    </row>
    <row r="73" spans="2:21" ht="15" customHeight="1" x14ac:dyDescent="0.2">
      <c r="B73" s="89"/>
      <c r="C73" s="48"/>
      <c r="R73" s="10"/>
      <c r="S73" s="10"/>
      <c r="T73" s="10"/>
      <c r="U73" s="70"/>
    </row>
    <row r="74" spans="2:21" ht="15" customHeight="1" x14ac:dyDescent="0.2">
      <c r="J74" s="22"/>
      <c r="N74" s="690"/>
      <c r="O74" s="690"/>
      <c r="P74" s="690"/>
      <c r="R74" s="10"/>
      <c r="S74" s="10"/>
      <c r="T74" s="10"/>
      <c r="U74" s="70"/>
    </row>
    <row r="75" spans="2:21" ht="15" customHeight="1" x14ac:dyDescent="0.2">
      <c r="G75" s="421"/>
      <c r="J75" s="22"/>
      <c r="N75" s="45"/>
      <c r="O75" s="691"/>
      <c r="R75" s="10"/>
      <c r="S75" s="10"/>
      <c r="T75" s="10"/>
      <c r="U75" s="70"/>
    </row>
    <row r="76" spans="2:21" ht="15" customHeight="1" x14ac:dyDescent="0.2">
      <c r="G76" s="421"/>
      <c r="J76" s="22"/>
      <c r="N76" s="45"/>
      <c r="O76" s="691"/>
      <c r="R76" s="10"/>
      <c r="S76" s="10"/>
      <c r="T76" s="10"/>
      <c r="U76" s="70"/>
    </row>
    <row r="77" spans="2:21" ht="15" customHeight="1" x14ac:dyDescent="0.2">
      <c r="G77" s="421"/>
      <c r="J77" s="22"/>
      <c r="N77" s="45"/>
      <c r="O77" s="691"/>
      <c r="R77" s="10"/>
      <c r="S77" s="10"/>
      <c r="T77" s="10"/>
      <c r="U77" s="70"/>
    </row>
    <row r="78" spans="2:21" ht="15" customHeight="1" x14ac:dyDescent="0.2">
      <c r="G78" s="421"/>
      <c r="J78" s="22"/>
      <c r="O78" s="691"/>
      <c r="R78" s="10"/>
      <c r="S78" s="10"/>
      <c r="T78" s="10"/>
      <c r="U78" s="70"/>
    </row>
    <row r="79" spans="2:21" ht="15" customHeight="1" x14ac:dyDescent="0.2">
      <c r="G79" s="421"/>
      <c r="H79" s="531"/>
      <c r="O79" s="691"/>
      <c r="R79" s="10"/>
      <c r="S79" s="10"/>
      <c r="T79" s="10"/>
      <c r="U79" s="70"/>
    </row>
    <row r="80" spans="2:21" ht="15" customHeight="1" x14ac:dyDescent="0.2">
      <c r="R80" s="10"/>
      <c r="S80" s="10"/>
      <c r="T80" s="10"/>
      <c r="U80" s="70"/>
    </row>
    <row r="81" spans="7:21" ht="15" customHeight="1" x14ac:dyDescent="0.2">
      <c r="G81" s="1081"/>
      <c r="H81" s="1081"/>
      <c r="I81" s="1081"/>
      <c r="J81" s="692"/>
      <c r="K81" s="692"/>
      <c r="Q81" s="8"/>
      <c r="R81" s="10"/>
      <c r="S81" s="10"/>
      <c r="T81" s="10"/>
      <c r="U81" s="70"/>
    </row>
    <row r="82" spans="7:21" ht="15" customHeight="1" x14ac:dyDescent="0.2">
      <c r="G82" s="1081"/>
      <c r="H82" s="1081"/>
      <c r="I82" s="1081"/>
      <c r="J82" s="692"/>
      <c r="K82" s="692"/>
      <c r="Q82" s="8"/>
      <c r="R82" s="10"/>
      <c r="S82" s="10"/>
      <c r="T82" s="10"/>
      <c r="U82" s="70"/>
    </row>
    <row r="83" spans="7:21" ht="15" customHeight="1" x14ac:dyDescent="0.2">
      <c r="G83" s="7"/>
      <c r="H83" s="692"/>
      <c r="I83" s="692"/>
      <c r="J83" s="692"/>
      <c r="K83" s="692"/>
      <c r="Q83" s="8"/>
      <c r="R83" s="10"/>
      <c r="S83" s="10"/>
      <c r="T83" s="10"/>
      <c r="U83" s="70"/>
    </row>
    <row r="84" spans="7:21" ht="15" customHeight="1" x14ac:dyDescent="0.2">
      <c r="O84" s="693"/>
      <c r="R84" s="10"/>
      <c r="S84" s="10"/>
      <c r="T84" s="10"/>
      <c r="U84" s="70"/>
    </row>
    <row r="85" spans="7:21" ht="15" customHeight="1" x14ac:dyDescent="0.2">
      <c r="O85" s="693"/>
      <c r="R85" s="10"/>
      <c r="S85" s="10"/>
      <c r="T85" s="10"/>
      <c r="U85" s="70"/>
    </row>
    <row r="86" spans="7:21" ht="15" customHeight="1" x14ac:dyDescent="0.2">
      <c r="O86" s="693"/>
      <c r="R86" s="10"/>
      <c r="S86" s="10"/>
      <c r="T86" s="10"/>
      <c r="U86" s="70"/>
    </row>
    <row r="87" spans="7:21" ht="15" customHeight="1" x14ac:dyDescent="0.2">
      <c r="O87" s="693"/>
      <c r="R87" s="10"/>
      <c r="S87" s="10"/>
      <c r="T87" s="10"/>
      <c r="U87" s="70"/>
    </row>
    <row r="88" spans="7:21" ht="15" customHeight="1" x14ac:dyDescent="0.2">
      <c r="S88" s="10"/>
      <c r="T88" s="10"/>
      <c r="U88" s="70"/>
    </row>
    <row r="89" spans="7:21" ht="15" customHeight="1" x14ac:dyDescent="0.2">
      <c r="G89" s="7"/>
      <c r="S89" s="10"/>
      <c r="T89" s="10"/>
      <c r="U89" s="70"/>
    </row>
    <row r="90" spans="7:21" ht="15" customHeight="1" x14ac:dyDescent="0.2">
      <c r="N90" s="690"/>
      <c r="O90" s="690"/>
      <c r="P90" s="690"/>
      <c r="R90" s="10"/>
      <c r="S90" s="10"/>
      <c r="T90" s="10"/>
      <c r="U90" s="70"/>
    </row>
    <row r="91" spans="7:21" ht="15" customHeight="1" x14ac:dyDescent="0.2">
      <c r="H91" s="531"/>
      <c r="O91" s="693"/>
      <c r="Q91" s="8"/>
      <c r="R91" s="10"/>
      <c r="S91" s="10"/>
      <c r="T91" s="10"/>
      <c r="U91" s="70"/>
    </row>
    <row r="92" spans="7:21" ht="15" customHeight="1" x14ac:dyDescent="0.2">
      <c r="J92" s="494"/>
      <c r="O92" s="693"/>
      <c r="Q92" s="8"/>
      <c r="R92" s="10"/>
      <c r="S92" s="10"/>
      <c r="T92" s="10"/>
      <c r="U92" s="70"/>
    </row>
    <row r="93" spans="7:21" ht="15" customHeight="1" x14ac:dyDescent="0.2">
      <c r="J93" s="20"/>
      <c r="O93" s="693"/>
      <c r="Q93" s="8"/>
      <c r="R93" s="10"/>
      <c r="S93" s="10"/>
      <c r="T93" s="10"/>
      <c r="U93" s="70"/>
    </row>
    <row r="94" spans="7:21" ht="15" customHeight="1" x14ac:dyDescent="0.2">
      <c r="H94" s="531"/>
      <c r="O94" s="693"/>
      <c r="Q94" s="8"/>
      <c r="R94" s="10"/>
      <c r="S94" s="10"/>
      <c r="T94" s="10"/>
      <c r="U94" s="70"/>
    </row>
    <row r="95" spans="7:21" ht="15" customHeight="1" x14ac:dyDescent="0.2">
      <c r="G95" s="422"/>
      <c r="J95" s="494"/>
      <c r="L95" s="22"/>
      <c r="N95" s="22"/>
      <c r="Q95" s="8"/>
      <c r="R95" s="10"/>
      <c r="S95" s="10"/>
      <c r="T95" s="10"/>
      <c r="U95" s="70"/>
    </row>
    <row r="96" spans="7:21" ht="15" customHeight="1" x14ac:dyDescent="0.2">
      <c r="G96" s="1082"/>
      <c r="H96" s="1082"/>
      <c r="I96" s="1082"/>
      <c r="R96" s="10"/>
      <c r="S96" s="10"/>
      <c r="T96" s="10"/>
      <c r="U96" s="70"/>
    </row>
    <row r="97" spans="7:21" ht="15" customHeight="1" x14ac:dyDescent="0.2">
      <c r="G97" s="1082"/>
      <c r="H97" s="1082"/>
      <c r="I97" s="1082"/>
      <c r="R97" s="10"/>
      <c r="S97" s="10"/>
      <c r="T97" s="10"/>
      <c r="U97" s="70"/>
    </row>
    <row r="98" spans="7:21" ht="15" customHeight="1" x14ac:dyDescent="0.2">
      <c r="G98" s="7"/>
      <c r="R98" s="10"/>
      <c r="S98" s="10"/>
      <c r="T98" s="10"/>
      <c r="U98" s="70"/>
    </row>
    <row r="99" spans="7:21" ht="15" customHeight="1" x14ac:dyDescent="0.2">
      <c r="N99" s="690"/>
      <c r="O99" s="690"/>
      <c r="P99" s="690"/>
      <c r="R99" s="10"/>
      <c r="S99" s="10"/>
      <c r="T99" s="10"/>
      <c r="U99" s="70"/>
    </row>
    <row r="100" spans="7:21" ht="15" customHeight="1" x14ac:dyDescent="0.2">
      <c r="O100" s="693"/>
      <c r="R100" s="10"/>
      <c r="S100" s="10"/>
      <c r="T100" s="10"/>
      <c r="U100" s="70"/>
    </row>
    <row r="101" spans="7:21" ht="15" customHeight="1" x14ac:dyDescent="0.2">
      <c r="O101" s="693"/>
      <c r="R101" s="10"/>
      <c r="U101" s="70"/>
    </row>
    <row r="102" spans="7:21" ht="15" customHeight="1" x14ac:dyDescent="0.2">
      <c r="O102" s="693"/>
      <c r="R102" s="10"/>
      <c r="U102" s="70"/>
    </row>
    <row r="103" spans="7:21" ht="15" customHeight="1" x14ac:dyDescent="0.2">
      <c r="O103" s="693"/>
      <c r="R103" s="10"/>
      <c r="U103" s="70"/>
    </row>
    <row r="104" spans="7:21" ht="15" customHeight="1" x14ac:dyDescent="0.2">
      <c r="R104" s="10"/>
      <c r="U104" s="70"/>
    </row>
    <row r="105" spans="7:21" ht="15" customHeight="1" x14ac:dyDescent="0.2">
      <c r="G105" s="7"/>
      <c r="R105" s="10"/>
      <c r="U105" s="70"/>
    </row>
    <row r="106" spans="7:21" ht="15" customHeight="1" x14ac:dyDescent="0.2">
      <c r="N106" s="690"/>
      <c r="O106" s="690"/>
      <c r="P106" s="690"/>
      <c r="R106" s="10"/>
      <c r="U106" s="70"/>
    </row>
    <row r="107" spans="7:21" ht="15" customHeight="1" x14ac:dyDescent="0.2">
      <c r="O107" s="693"/>
      <c r="R107" s="10"/>
      <c r="U107" s="70"/>
    </row>
    <row r="108" spans="7:21" ht="15" customHeight="1" x14ac:dyDescent="0.2">
      <c r="O108" s="693"/>
      <c r="R108" s="10"/>
      <c r="U108" s="70"/>
    </row>
    <row r="109" spans="7:21" ht="15" customHeight="1" x14ac:dyDescent="0.2">
      <c r="O109" s="693"/>
      <c r="R109" s="10"/>
      <c r="U109" s="70"/>
    </row>
    <row r="110" spans="7:21" ht="15" customHeight="1" x14ac:dyDescent="0.2">
      <c r="O110" s="693"/>
      <c r="R110" s="10"/>
      <c r="U110" s="70"/>
    </row>
    <row r="111" spans="7:21" ht="15" customHeight="1" x14ac:dyDescent="0.2">
      <c r="U111" s="70"/>
    </row>
    <row r="112" spans="7:21" ht="15" customHeight="1" x14ac:dyDescent="0.2">
      <c r="G112" s="1083"/>
      <c r="H112" s="1083"/>
      <c r="I112" s="1083"/>
      <c r="J112" s="694"/>
      <c r="K112" s="694"/>
      <c r="R112" s="10"/>
      <c r="S112" s="10"/>
      <c r="T112" s="10"/>
      <c r="U112" s="70"/>
    </row>
    <row r="113" spans="7:21" ht="15" customHeight="1" x14ac:dyDescent="0.2">
      <c r="G113" s="1083"/>
      <c r="H113" s="1083"/>
      <c r="I113" s="1083"/>
      <c r="J113" s="694"/>
      <c r="K113" s="694"/>
      <c r="R113" s="10"/>
      <c r="S113" s="10"/>
      <c r="T113" s="10"/>
      <c r="U113" s="70"/>
    </row>
    <row r="114" spans="7:21" ht="15" customHeight="1" x14ac:dyDescent="0.2">
      <c r="G114" s="7"/>
      <c r="H114" s="694"/>
      <c r="I114" s="694"/>
      <c r="J114" s="694"/>
      <c r="K114" s="694"/>
      <c r="R114" s="10"/>
      <c r="S114" s="10"/>
      <c r="T114" s="10"/>
      <c r="U114" s="70"/>
    </row>
    <row r="115" spans="7:21" ht="15" customHeight="1" x14ac:dyDescent="0.2">
      <c r="N115" s="690"/>
      <c r="O115" s="695"/>
      <c r="P115" s="696"/>
      <c r="Q115" s="8"/>
      <c r="R115" s="10"/>
      <c r="S115" s="10"/>
      <c r="T115" s="10"/>
      <c r="U115" s="70"/>
    </row>
    <row r="116" spans="7:21" ht="15" customHeight="1" x14ac:dyDescent="0.2">
      <c r="O116" s="693"/>
      <c r="Q116" s="8"/>
      <c r="R116" s="10"/>
      <c r="S116" s="10"/>
      <c r="T116" s="10"/>
      <c r="U116" s="70"/>
    </row>
    <row r="117" spans="7:21" ht="15" customHeight="1" x14ac:dyDescent="0.2">
      <c r="O117" s="693"/>
      <c r="Q117" s="8"/>
      <c r="R117" s="10"/>
      <c r="S117" s="10"/>
      <c r="T117" s="10"/>
      <c r="U117" s="70"/>
    </row>
    <row r="118" spans="7:21" ht="15" customHeight="1" x14ac:dyDescent="0.2">
      <c r="O118" s="693"/>
      <c r="Q118" s="8"/>
      <c r="R118" s="10"/>
      <c r="S118" s="10"/>
      <c r="T118" s="10"/>
      <c r="U118" s="70"/>
    </row>
    <row r="119" spans="7:21" ht="15" customHeight="1" x14ac:dyDescent="0.2">
      <c r="O119" s="693"/>
      <c r="Q119" s="8"/>
      <c r="R119" s="10"/>
      <c r="S119" s="10"/>
      <c r="T119" s="10"/>
      <c r="U119" s="70"/>
    </row>
    <row r="120" spans="7:21" ht="15" customHeight="1" x14ac:dyDescent="0.2">
      <c r="O120" s="693"/>
      <c r="Q120" s="8"/>
      <c r="R120" s="10"/>
      <c r="S120" s="10"/>
      <c r="T120" s="10"/>
      <c r="U120" s="70"/>
    </row>
    <row r="121" spans="7:21" ht="15" customHeight="1" x14ac:dyDescent="0.2">
      <c r="O121" s="693"/>
      <c r="Q121" s="8"/>
      <c r="R121" s="10"/>
      <c r="S121" s="10"/>
      <c r="T121" s="10"/>
      <c r="U121" s="70"/>
    </row>
    <row r="122" spans="7:21" ht="15" customHeight="1" x14ac:dyDescent="0.2">
      <c r="O122" s="693"/>
      <c r="Q122" s="8"/>
      <c r="R122" s="10"/>
      <c r="S122" s="10"/>
      <c r="T122" s="10"/>
      <c r="U122" s="70"/>
    </row>
    <row r="123" spans="7:21" ht="15" customHeight="1" x14ac:dyDescent="0.2">
      <c r="O123" s="8"/>
      <c r="Q123" s="8"/>
      <c r="R123" s="10"/>
      <c r="S123" s="10"/>
      <c r="T123" s="10"/>
      <c r="U123" s="70"/>
    </row>
    <row r="124" spans="7:21" ht="15" customHeight="1" x14ac:dyDescent="0.2">
      <c r="G124" s="7"/>
      <c r="O124" s="8"/>
      <c r="Q124" s="8"/>
      <c r="R124" s="10"/>
      <c r="S124" s="10"/>
      <c r="T124" s="10"/>
      <c r="U124" s="70"/>
    </row>
    <row r="125" spans="7:21" ht="15" customHeight="1" x14ac:dyDescent="0.2">
      <c r="N125" s="690"/>
      <c r="O125" s="695"/>
      <c r="P125" s="696"/>
      <c r="Q125" s="8"/>
      <c r="R125" s="10"/>
      <c r="S125" s="10"/>
      <c r="T125" s="10"/>
      <c r="U125" s="70"/>
    </row>
    <row r="126" spans="7:21" ht="15" customHeight="1" x14ac:dyDescent="0.2">
      <c r="O126" s="67"/>
      <c r="Q126" s="8"/>
      <c r="R126" s="10"/>
      <c r="S126" s="10"/>
      <c r="T126" s="10"/>
      <c r="U126" s="70"/>
    </row>
    <row r="127" spans="7:21" ht="15" customHeight="1" x14ac:dyDescent="0.2">
      <c r="O127" s="67"/>
      <c r="Q127" s="8"/>
      <c r="R127" s="10"/>
      <c r="S127" s="10"/>
      <c r="T127" s="10"/>
      <c r="U127" s="70"/>
    </row>
    <row r="128" spans="7:21" ht="15" customHeight="1" x14ac:dyDescent="0.2">
      <c r="O128" s="67"/>
      <c r="Q128" s="8"/>
      <c r="R128" s="10"/>
      <c r="S128" s="10"/>
      <c r="T128" s="10"/>
      <c r="U128" s="70"/>
    </row>
    <row r="129" spans="7:21" ht="15" customHeight="1" x14ac:dyDescent="0.2">
      <c r="O129" s="67"/>
      <c r="Q129" s="8"/>
      <c r="R129" s="10"/>
      <c r="S129" s="10"/>
      <c r="T129" s="10"/>
      <c r="U129" s="70"/>
    </row>
    <row r="130" spans="7:21" ht="15" customHeight="1" x14ac:dyDescent="0.2">
      <c r="O130" s="67"/>
      <c r="Q130" s="8"/>
      <c r="R130" s="10"/>
      <c r="S130" s="10"/>
      <c r="T130" s="10"/>
      <c r="U130" s="70"/>
    </row>
    <row r="131" spans="7:21" ht="15" customHeight="1" x14ac:dyDescent="0.2">
      <c r="O131" s="67"/>
      <c r="Q131" s="8"/>
      <c r="R131" s="10"/>
      <c r="S131" s="10"/>
      <c r="T131" s="10"/>
      <c r="U131" s="70"/>
    </row>
    <row r="132" spans="7:21" ht="15" customHeight="1" x14ac:dyDescent="0.2">
      <c r="O132" s="67"/>
      <c r="Q132" s="8"/>
      <c r="R132" s="10"/>
      <c r="S132" s="10"/>
      <c r="T132" s="10"/>
      <c r="U132" s="70"/>
    </row>
    <row r="133" spans="7:21" ht="15" customHeight="1" x14ac:dyDescent="0.2">
      <c r="S133" s="10"/>
      <c r="T133" s="10"/>
      <c r="U133" s="70"/>
    </row>
    <row r="134" spans="7:21" ht="15" customHeight="1" x14ac:dyDescent="0.2">
      <c r="G134" s="7"/>
      <c r="S134" s="10"/>
      <c r="T134" s="10"/>
      <c r="U134" s="70"/>
    </row>
    <row r="135" spans="7:21" ht="15" customHeight="1" x14ac:dyDescent="0.2">
      <c r="O135" s="697"/>
      <c r="Q135" s="8"/>
      <c r="R135" s="10"/>
      <c r="S135" s="10"/>
      <c r="T135" s="10"/>
      <c r="U135" s="70"/>
    </row>
    <row r="136" spans="7:21" ht="15" customHeight="1" x14ac:dyDescent="0.2">
      <c r="O136" s="697"/>
      <c r="Q136" s="8"/>
      <c r="R136" s="10"/>
      <c r="S136" s="10"/>
      <c r="T136" s="10"/>
      <c r="U136" s="70"/>
    </row>
    <row r="137" spans="7:21" ht="15" customHeight="1" x14ac:dyDescent="0.2">
      <c r="O137" s="697"/>
      <c r="Q137" s="8"/>
      <c r="R137" s="10"/>
      <c r="S137" s="10"/>
      <c r="T137" s="10"/>
      <c r="U137" s="70"/>
    </row>
    <row r="138" spans="7:21" ht="15" customHeight="1" x14ac:dyDescent="0.2">
      <c r="S138" s="10"/>
      <c r="T138" s="10"/>
      <c r="U138" s="70"/>
    </row>
    <row r="139" spans="7:21" ht="15" customHeight="1" x14ac:dyDescent="0.2">
      <c r="O139" s="697"/>
      <c r="R139" s="10"/>
      <c r="S139" s="10"/>
      <c r="T139" s="10"/>
      <c r="U139" s="70"/>
    </row>
    <row r="140" spans="7:21" ht="15" customHeight="1" x14ac:dyDescent="0.2">
      <c r="O140" s="697"/>
      <c r="R140" s="10"/>
      <c r="S140" s="10"/>
      <c r="T140" s="10"/>
      <c r="U140" s="70"/>
    </row>
    <row r="141" spans="7:21" ht="15" customHeight="1" x14ac:dyDescent="0.2">
      <c r="O141" s="697"/>
      <c r="R141" s="10"/>
      <c r="S141" s="10"/>
      <c r="T141" s="10"/>
      <c r="U141" s="70"/>
    </row>
    <row r="142" spans="7:21" ht="15" customHeight="1" x14ac:dyDescent="0.2">
      <c r="O142" s="697"/>
      <c r="Q142" s="8"/>
      <c r="R142" s="10"/>
      <c r="S142" s="10"/>
      <c r="T142" s="10"/>
      <c r="U142" s="70"/>
    </row>
    <row r="143" spans="7:21" ht="15" customHeight="1" x14ac:dyDescent="0.2">
      <c r="O143" s="697"/>
      <c r="Q143" s="8"/>
      <c r="R143" s="10"/>
      <c r="S143" s="10"/>
      <c r="T143" s="10"/>
      <c r="U143" s="70"/>
    </row>
    <row r="144" spans="7:21" ht="15" customHeight="1" x14ac:dyDescent="0.2">
      <c r="O144" s="8"/>
      <c r="Q144" s="8"/>
      <c r="R144" s="10"/>
      <c r="S144" s="10"/>
      <c r="T144" s="10"/>
      <c r="U144" s="70"/>
    </row>
    <row r="145" spans="7:21" ht="15" customHeight="1" x14ac:dyDescent="0.2">
      <c r="G145" s="7"/>
      <c r="O145" s="8"/>
      <c r="Q145" s="8"/>
      <c r="R145" s="10"/>
      <c r="S145" s="10"/>
      <c r="T145" s="10"/>
      <c r="U145" s="70"/>
    </row>
    <row r="146" spans="7:21" ht="15" customHeight="1" x14ac:dyDescent="0.2">
      <c r="O146" s="697"/>
      <c r="R146" s="10"/>
      <c r="S146" s="10"/>
      <c r="T146" s="10"/>
      <c r="U146" s="70"/>
    </row>
    <row r="147" spans="7:21" ht="15" customHeight="1" x14ac:dyDescent="0.2">
      <c r="O147" s="697"/>
      <c r="R147" s="10"/>
      <c r="S147" s="10"/>
      <c r="T147" s="10"/>
      <c r="U147" s="70"/>
    </row>
    <row r="148" spans="7:21" ht="15" customHeight="1" x14ac:dyDescent="0.2">
      <c r="R148" s="10"/>
      <c r="S148" s="10"/>
      <c r="T148" s="10"/>
      <c r="U148" s="70"/>
    </row>
    <row r="149" spans="7:21" ht="15" customHeight="1" x14ac:dyDescent="0.2">
      <c r="G149" s="1082"/>
      <c r="H149" s="1082"/>
      <c r="I149" s="1082"/>
      <c r="J149" s="698"/>
      <c r="K149" s="698"/>
      <c r="R149" s="10"/>
      <c r="S149" s="10"/>
      <c r="T149" s="10"/>
      <c r="U149" s="70"/>
    </row>
    <row r="150" spans="7:21" ht="15" customHeight="1" x14ac:dyDescent="0.2">
      <c r="G150" s="1082"/>
      <c r="H150" s="1082"/>
      <c r="I150" s="1082"/>
      <c r="J150" s="698"/>
      <c r="K150" s="698"/>
      <c r="R150" s="10"/>
      <c r="S150" s="10"/>
      <c r="T150" s="10"/>
      <c r="U150" s="70"/>
    </row>
    <row r="151" spans="7:21" ht="15" customHeight="1" x14ac:dyDescent="0.2">
      <c r="G151" s="7"/>
      <c r="H151" s="698"/>
      <c r="I151" s="698"/>
      <c r="J151" s="698"/>
      <c r="K151" s="698"/>
      <c r="R151" s="10"/>
      <c r="S151" s="10"/>
      <c r="T151" s="10"/>
      <c r="U151" s="70"/>
    </row>
    <row r="152" spans="7:21" ht="15" customHeight="1" x14ac:dyDescent="0.2">
      <c r="H152" s="698"/>
      <c r="I152" s="698"/>
      <c r="J152" s="698"/>
      <c r="K152" s="698"/>
      <c r="N152" s="690"/>
      <c r="O152" s="690"/>
      <c r="P152" s="690"/>
      <c r="R152" s="10"/>
      <c r="S152" s="10"/>
      <c r="T152" s="10"/>
      <c r="U152" s="70"/>
    </row>
    <row r="153" spans="7:21" ht="15" customHeight="1" x14ac:dyDescent="0.2">
      <c r="H153" s="698"/>
      <c r="I153" s="698"/>
      <c r="J153" s="698"/>
      <c r="K153" s="698"/>
      <c r="O153" s="697"/>
      <c r="R153" s="10"/>
      <c r="S153" s="10"/>
      <c r="T153" s="10"/>
      <c r="U153" s="10"/>
    </row>
    <row r="154" spans="7:21" ht="15" customHeight="1" x14ac:dyDescent="0.2">
      <c r="H154" s="698"/>
      <c r="I154" s="698"/>
      <c r="J154" s="698"/>
      <c r="K154" s="698"/>
      <c r="O154" s="697"/>
      <c r="R154" s="10"/>
      <c r="S154" s="10"/>
      <c r="T154" s="10"/>
      <c r="U154" s="10"/>
    </row>
    <row r="155" spans="7:21" ht="15" customHeight="1" x14ac:dyDescent="0.2">
      <c r="H155" s="698"/>
      <c r="I155" s="698"/>
      <c r="J155" s="698"/>
      <c r="K155" s="698"/>
      <c r="O155" s="697"/>
      <c r="R155" s="10"/>
      <c r="S155" s="10"/>
      <c r="T155" s="10"/>
      <c r="U155" s="10"/>
    </row>
    <row r="156" spans="7:21" ht="15" customHeight="1" x14ac:dyDescent="0.2">
      <c r="H156" s="10"/>
      <c r="I156" s="10"/>
      <c r="J156" s="10"/>
      <c r="K156" s="10"/>
      <c r="L156" s="10"/>
      <c r="M156" s="10"/>
      <c r="N156" s="10"/>
      <c r="O156" s="10"/>
      <c r="R156" s="10"/>
      <c r="S156" s="10"/>
      <c r="T156" s="10"/>
      <c r="U156" s="70"/>
    </row>
    <row r="157" spans="7:21" ht="15" customHeight="1" x14ac:dyDescent="0.2">
      <c r="G157" s="7"/>
      <c r="H157" s="10"/>
      <c r="I157" s="10"/>
      <c r="J157" s="10"/>
      <c r="K157" s="10"/>
      <c r="L157" s="10"/>
      <c r="M157" s="10"/>
      <c r="N157" s="10"/>
      <c r="O157" s="10"/>
      <c r="R157" s="10"/>
      <c r="S157" s="10"/>
      <c r="T157" s="10"/>
      <c r="U157" s="70"/>
    </row>
    <row r="158" spans="7:21" ht="15" customHeight="1" x14ac:dyDescent="0.2">
      <c r="O158" s="697"/>
      <c r="R158" s="10"/>
      <c r="S158" s="10"/>
      <c r="T158" s="10"/>
      <c r="U158" s="70"/>
    </row>
    <row r="159" spans="7:21" ht="15" customHeight="1" x14ac:dyDescent="0.2">
      <c r="O159" s="697"/>
      <c r="R159" s="10"/>
      <c r="S159" s="10"/>
      <c r="T159" s="10"/>
      <c r="U159" s="70"/>
    </row>
    <row r="160" spans="7:21" ht="15" customHeight="1" x14ac:dyDescent="0.2">
      <c r="O160" s="697"/>
      <c r="R160" s="10"/>
      <c r="S160" s="10"/>
      <c r="T160" s="10"/>
      <c r="U160" s="70"/>
    </row>
    <row r="161" spans="7:21" ht="15" customHeight="1" x14ac:dyDescent="0.2">
      <c r="O161" s="697"/>
      <c r="R161" s="10"/>
      <c r="S161" s="10"/>
      <c r="T161" s="10"/>
      <c r="U161" s="70"/>
    </row>
    <row r="162" spans="7:21" ht="15" customHeight="1" x14ac:dyDescent="0.2">
      <c r="R162" s="10"/>
      <c r="S162" s="10"/>
      <c r="T162" s="10"/>
      <c r="U162" s="70"/>
    </row>
    <row r="163" spans="7:21" ht="15" customHeight="1" x14ac:dyDescent="0.2">
      <c r="G163" s="1079"/>
      <c r="H163" s="1079"/>
      <c r="I163" s="1079"/>
      <c r="R163" s="10"/>
      <c r="S163" s="10"/>
      <c r="T163" s="10"/>
      <c r="U163" s="70"/>
    </row>
    <row r="164" spans="7:21" ht="15" customHeight="1" x14ac:dyDescent="0.2">
      <c r="G164" s="1079"/>
      <c r="H164" s="1079"/>
      <c r="I164" s="1079"/>
      <c r="O164" s="699"/>
      <c r="Q164" s="8"/>
      <c r="R164" s="10"/>
      <c r="S164" s="10"/>
      <c r="T164" s="10"/>
      <c r="U164" s="70"/>
    </row>
    <row r="165" spans="7:21" ht="15" customHeight="1" x14ac:dyDescent="0.2">
      <c r="G165" s="7"/>
      <c r="O165" s="699"/>
      <c r="Q165" s="8"/>
      <c r="R165" s="10"/>
      <c r="S165" s="10"/>
      <c r="T165" s="10"/>
      <c r="U165" s="70"/>
    </row>
    <row r="166" spans="7:21" ht="15" customHeight="1" x14ac:dyDescent="0.2">
      <c r="O166" s="689"/>
      <c r="Q166" s="8"/>
      <c r="R166" s="10"/>
      <c r="S166" s="10"/>
      <c r="U166" s="10"/>
    </row>
    <row r="167" spans="7:21" ht="15" customHeight="1" x14ac:dyDescent="0.2">
      <c r="O167" s="697"/>
      <c r="Q167" s="8"/>
      <c r="R167" s="10"/>
      <c r="S167" s="10"/>
      <c r="U167" s="10"/>
    </row>
    <row r="168" spans="7:21" ht="15" customHeight="1" x14ac:dyDescent="0.2">
      <c r="L168" s="20"/>
      <c r="O168" s="697"/>
      <c r="Q168" s="8"/>
      <c r="R168" s="10"/>
      <c r="S168" s="10"/>
      <c r="U168" s="10"/>
    </row>
    <row r="169" spans="7:21" ht="15" customHeight="1" x14ac:dyDescent="0.2">
      <c r="L169" s="20"/>
      <c r="O169" s="697"/>
      <c r="Q169" s="8"/>
      <c r="R169" s="10"/>
      <c r="S169" s="10"/>
      <c r="U169" s="10"/>
    </row>
    <row r="170" spans="7:21" ht="15" customHeight="1" x14ac:dyDescent="0.2">
      <c r="L170" s="494"/>
      <c r="O170" s="697"/>
      <c r="Q170" s="8"/>
      <c r="R170" s="10"/>
      <c r="S170" s="10"/>
      <c r="U170" s="10"/>
    </row>
    <row r="171" spans="7:21" ht="15" customHeight="1" x14ac:dyDescent="0.2">
      <c r="R171" s="10"/>
      <c r="S171" s="10"/>
      <c r="U171" s="10"/>
    </row>
    <row r="172" spans="7:21" ht="15" customHeight="1" x14ac:dyDescent="0.2">
      <c r="G172" s="7"/>
      <c r="R172" s="10"/>
      <c r="S172" s="10"/>
      <c r="U172" s="10"/>
    </row>
    <row r="173" spans="7:21" ht="15" customHeight="1" x14ac:dyDescent="0.2">
      <c r="J173" s="20"/>
      <c r="L173" s="20"/>
      <c r="O173" s="689"/>
      <c r="Q173" s="8"/>
      <c r="R173" s="10"/>
      <c r="S173" s="10"/>
      <c r="U173" s="10"/>
    </row>
    <row r="174" spans="7:21" ht="15" customHeight="1" x14ac:dyDescent="0.2">
      <c r="J174" s="20"/>
      <c r="L174" s="20"/>
      <c r="O174" s="697"/>
      <c r="Q174" s="8"/>
      <c r="R174" s="10"/>
      <c r="S174" s="10"/>
      <c r="U174" s="10"/>
    </row>
    <row r="175" spans="7:21" ht="15" customHeight="1" x14ac:dyDescent="0.2">
      <c r="J175" s="494"/>
      <c r="K175" s="700"/>
      <c r="O175" s="697"/>
      <c r="Q175" s="8"/>
      <c r="R175" s="10"/>
      <c r="S175" s="10"/>
      <c r="U175" s="10"/>
    </row>
    <row r="176" spans="7:21" ht="15" customHeight="1" x14ac:dyDescent="0.2">
      <c r="L176" s="20"/>
      <c r="O176" s="697"/>
      <c r="Q176" s="8"/>
      <c r="R176" s="10"/>
      <c r="S176" s="10"/>
      <c r="U176" s="10"/>
    </row>
    <row r="177" spans="7:21" ht="15" customHeight="1" x14ac:dyDescent="0.2">
      <c r="H177" s="531"/>
      <c r="K177" s="700"/>
      <c r="O177" s="697"/>
      <c r="Q177" s="8"/>
      <c r="R177" s="10"/>
      <c r="S177" s="10"/>
      <c r="U177" s="10"/>
    </row>
    <row r="178" spans="7:21" ht="15" customHeight="1" x14ac:dyDescent="0.2">
      <c r="U178" s="8"/>
    </row>
    <row r="179" spans="7:21" ht="15" customHeight="1" x14ac:dyDescent="0.2">
      <c r="O179" s="699"/>
      <c r="Q179" s="8"/>
      <c r="R179" s="10"/>
      <c r="S179" s="10"/>
      <c r="U179" s="10"/>
    </row>
    <row r="180" spans="7:21" ht="15" customHeight="1" x14ac:dyDescent="0.2">
      <c r="R180" s="10"/>
      <c r="S180" s="10"/>
      <c r="U180" s="10"/>
    </row>
    <row r="181" spans="7:21" ht="15" customHeight="1" x14ac:dyDescent="0.2">
      <c r="G181" s="7"/>
      <c r="R181" s="10"/>
      <c r="S181" s="10"/>
      <c r="U181" s="10"/>
    </row>
    <row r="182" spans="7:21" ht="15" customHeight="1" x14ac:dyDescent="0.2">
      <c r="O182" s="697"/>
      <c r="Q182" s="8"/>
      <c r="R182" s="10"/>
      <c r="S182" s="10"/>
      <c r="U182" s="10"/>
    </row>
    <row r="183" spans="7:21" ht="15" customHeight="1" x14ac:dyDescent="0.2">
      <c r="O183" s="8"/>
      <c r="Q183" s="8"/>
      <c r="R183" s="10"/>
      <c r="S183" s="10"/>
      <c r="U183" s="10"/>
    </row>
    <row r="184" spans="7:21" ht="15" customHeight="1" x14ac:dyDescent="0.2">
      <c r="O184" s="701"/>
      <c r="Q184" s="8"/>
      <c r="R184" s="10"/>
      <c r="S184" s="10"/>
      <c r="U184" s="10"/>
    </row>
    <row r="185" spans="7:21" ht="15" customHeight="1" x14ac:dyDescent="0.2">
      <c r="O185" s="701"/>
      <c r="Q185" s="8"/>
      <c r="R185" s="10"/>
      <c r="S185" s="10"/>
      <c r="U185" s="10"/>
    </row>
    <row r="186" spans="7:21" ht="15" customHeight="1" x14ac:dyDescent="0.2">
      <c r="O186" s="701"/>
      <c r="Q186" s="8"/>
      <c r="R186" s="10"/>
      <c r="S186" s="10"/>
      <c r="U186" s="10"/>
    </row>
    <row r="187" spans="7:21" ht="15" customHeight="1" x14ac:dyDescent="0.2">
      <c r="O187" s="701"/>
      <c r="Q187" s="8"/>
      <c r="R187" s="10"/>
      <c r="S187" s="10"/>
      <c r="U187" s="10"/>
    </row>
    <row r="188" spans="7:21" ht="15" customHeight="1" x14ac:dyDescent="0.2">
      <c r="O188" s="701"/>
      <c r="Q188" s="8"/>
      <c r="R188" s="10"/>
      <c r="S188" s="10"/>
      <c r="U188" s="10"/>
    </row>
    <row r="189" spans="7:21" ht="15" customHeight="1" x14ac:dyDescent="0.2">
      <c r="O189" s="8"/>
      <c r="Q189" s="8"/>
      <c r="R189" s="10"/>
      <c r="S189" s="10"/>
      <c r="U189" s="10"/>
    </row>
    <row r="190" spans="7:21" ht="15" customHeight="1" x14ac:dyDescent="0.2">
      <c r="O190" s="701"/>
      <c r="Q190" s="8"/>
      <c r="R190" s="10"/>
      <c r="S190" s="10"/>
      <c r="U190" s="10"/>
    </row>
    <row r="191" spans="7:21" ht="15" customHeight="1" x14ac:dyDescent="0.2">
      <c r="O191" s="8"/>
      <c r="Q191" s="8"/>
      <c r="R191" s="10"/>
      <c r="S191" s="10"/>
      <c r="U191" s="10"/>
    </row>
    <row r="192" spans="7:21" ht="15" customHeight="1" x14ac:dyDescent="0.2">
      <c r="O192" s="701"/>
      <c r="Q192" s="8"/>
      <c r="R192" s="10"/>
      <c r="S192" s="10"/>
      <c r="U192" s="10"/>
    </row>
    <row r="193" spans="7:21" ht="15" customHeight="1" x14ac:dyDescent="0.2">
      <c r="O193" s="697"/>
      <c r="Q193" s="8"/>
      <c r="R193" s="10"/>
      <c r="S193" s="10"/>
      <c r="U193" s="10"/>
    </row>
    <row r="194" spans="7:21" ht="15" customHeight="1" x14ac:dyDescent="0.2">
      <c r="O194" s="701"/>
      <c r="Q194" s="8"/>
      <c r="R194" s="10"/>
      <c r="S194" s="10"/>
      <c r="U194" s="10"/>
    </row>
    <row r="195" spans="7:21" ht="15" customHeight="1" x14ac:dyDescent="0.2">
      <c r="O195" s="701"/>
      <c r="Q195" s="8"/>
      <c r="R195" s="10"/>
      <c r="S195" s="10"/>
      <c r="U195" s="10"/>
    </row>
    <row r="196" spans="7:21" ht="15" customHeight="1" x14ac:dyDescent="0.2">
      <c r="O196" s="701"/>
      <c r="Q196" s="8"/>
      <c r="R196" s="10"/>
      <c r="S196" s="10"/>
      <c r="U196" s="10"/>
    </row>
    <row r="197" spans="7:21" ht="15" customHeight="1" x14ac:dyDescent="0.2">
      <c r="O197" s="8"/>
      <c r="Q197" s="8"/>
      <c r="R197" s="10"/>
      <c r="S197" s="10"/>
      <c r="U197" s="10"/>
    </row>
    <row r="198" spans="7:21" ht="15" customHeight="1" x14ac:dyDescent="0.2">
      <c r="O198" s="701"/>
      <c r="Q198" s="8"/>
      <c r="R198" s="10"/>
      <c r="S198" s="10"/>
      <c r="U198" s="10"/>
    </row>
    <row r="199" spans="7:21" ht="15" customHeight="1" x14ac:dyDescent="0.2">
      <c r="R199" s="10"/>
      <c r="S199" s="10"/>
      <c r="U199" s="10"/>
    </row>
    <row r="200" spans="7:21" ht="15" customHeight="1" x14ac:dyDescent="0.2">
      <c r="G200" s="7"/>
      <c r="R200" s="10"/>
      <c r="S200" s="10"/>
      <c r="U200" s="10"/>
    </row>
    <row r="201" spans="7:21" ht="15" customHeight="1" x14ac:dyDescent="0.2">
      <c r="O201" s="67"/>
      <c r="R201" s="10"/>
      <c r="S201" s="10"/>
      <c r="U201" s="10"/>
    </row>
  </sheetData>
  <mergeCells count="12">
    <mergeCell ref="M7:N7"/>
    <mergeCell ref="G163:I164"/>
    <mergeCell ref="A1:E3"/>
    <mergeCell ref="G1:I3"/>
    <mergeCell ref="G5:H7"/>
    <mergeCell ref="B7:D7"/>
    <mergeCell ref="B10:D10"/>
    <mergeCell ref="B48:D48"/>
    <mergeCell ref="G81:I82"/>
    <mergeCell ref="G96:I97"/>
    <mergeCell ref="G112:I113"/>
    <mergeCell ref="G149:I150"/>
  </mergeCells>
  <conditionalFormatting sqref="G81">
    <cfRule type="expression" dxfId="74" priority="8">
      <formula>#REF!="No"</formula>
    </cfRule>
  </conditionalFormatting>
  <conditionalFormatting sqref="G96">
    <cfRule type="expression" dxfId="73" priority="4">
      <formula>#REF!="No"</formula>
    </cfRule>
  </conditionalFormatting>
  <conditionalFormatting sqref="G112">
    <cfRule type="expression" dxfId="72" priority="7">
      <formula>#REF!="No"</formula>
    </cfRule>
  </conditionalFormatting>
  <conditionalFormatting sqref="G149">
    <cfRule type="expression" dxfId="71" priority="6">
      <formula>#REF!="No"</formula>
    </cfRule>
  </conditionalFormatting>
  <conditionalFormatting sqref="G163">
    <cfRule type="expression" dxfId="70" priority="5">
      <formula>#REF!="No"</formula>
    </cfRule>
  </conditionalFormatting>
  <dataValidations disablePrompts="1" count="1">
    <dataValidation type="list" allowBlank="1" showInputMessage="1" showErrorMessage="1" sqref="H177 H79 H91 H94" xr:uid="{00000000-0002-0000-0D00-000000000000}">
      <formula1>"TBC, A, B, C"</formula1>
    </dataValidation>
  </dataValidations>
  <hyperlinks>
    <hyperlink ref="G5:H7" location="SimpleStep3!A1" display="Back" xr:uid="{00000000-0004-0000-0D00-000000000000}"/>
  </hyperlinks>
  <pageMargins left="0.25" right="0.25" top="0.75" bottom="0.75" header="0.3" footer="0.3"/>
  <pageSetup paperSize="8" scale="45"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9"/>
  <dimension ref="A1:AL160"/>
  <sheetViews>
    <sheetView showGridLines="0" zoomScale="70" zoomScaleNormal="70" workbookViewId="0">
      <selection activeCell="G5" sqref="G5:H7"/>
    </sheetView>
  </sheetViews>
  <sheetFormatPr defaultColWidth="8.7109375" defaultRowHeight="15" customHeight="1" x14ac:dyDescent="0.2"/>
  <cols>
    <col min="1" max="1" width="3.7109375" style="47" customWidth="1"/>
    <col min="2" max="2" width="8.85546875" style="62" bestFit="1" customWidth="1"/>
    <col min="3" max="3" width="8.7109375" style="481" customWidth="1"/>
    <col min="4" max="4" width="8.7109375" style="49" customWidth="1"/>
    <col min="5" max="5" width="3.7109375" style="48" customWidth="1"/>
    <col min="6" max="8" width="8.7109375" style="1"/>
    <col min="9" max="9" width="25.7109375" style="1" customWidth="1"/>
    <col min="10" max="11" width="12.7109375" style="1" customWidth="1"/>
    <col min="12" max="14" width="8.7109375" style="1"/>
    <col min="15" max="15" width="25.7109375" style="1" customWidth="1"/>
    <col min="16" max="17" width="12.7109375" style="1" customWidth="1"/>
    <col min="18" max="18" width="8.7109375" style="5"/>
    <col min="19" max="33" width="8.7109375" style="1"/>
    <col min="34" max="34" width="25.7109375" style="1" customWidth="1"/>
    <col min="35" max="37" width="8.7109375" style="1"/>
    <col min="38" max="38" width="8.7109375" style="986"/>
    <col min="39" max="16384" width="8.7109375" style="1"/>
  </cols>
  <sheetData>
    <row r="1" spans="1:36" ht="15" customHeight="1" x14ac:dyDescent="0.2">
      <c r="A1" s="1022"/>
      <c r="B1" s="1084"/>
      <c r="C1" s="1084"/>
      <c r="D1" s="1084"/>
      <c r="E1" s="1084"/>
      <c r="G1" s="1024" t="s">
        <v>500</v>
      </c>
      <c r="H1" s="1024"/>
    </row>
    <row r="2" spans="1:36" ht="15" customHeight="1" x14ac:dyDescent="0.2">
      <c r="A2" s="1084"/>
      <c r="B2" s="1084"/>
      <c r="C2" s="1084"/>
      <c r="D2" s="1084"/>
      <c r="E2" s="1084"/>
      <c r="G2" s="1024"/>
      <c r="H2" s="1024"/>
      <c r="I2" s="2"/>
      <c r="J2" s="2"/>
      <c r="K2" s="3"/>
      <c r="L2" s="70"/>
      <c r="M2" s="3"/>
      <c r="N2" s="2"/>
      <c r="O2" s="2"/>
      <c r="P2" s="2"/>
      <c r="Q2" s="4"/>
    </row>
    <row r="3" spans="1:36" ht="15" customHeight="1" x14ac:dyDescent="0.2">
      <c r="A3" s="1084"/>
      <c r="B3" s="1084"/>
      <c r="C3" s="1084"/>
      <c r="D3" s="1084"/>
      <c r="E3" s="1084"/>
      <c r="G3" s="1024"/>
      <c r="H3" s="1024"/>
    </row>
    <row r="4" spans="1:36" ht="15" customHeight="1" x14ac:dyDescent="0.2">
      <c r="A4" s="618"/>
      <c r="B4" s="618"/>
      <c r="C4" s="618"/>
      <c r="D4" s="618"/>
      <c r="E4" s="618"/>
      <c r="G4" s="619"/>
      <c r="H4" s="619"/>
    </row>
    <row r="5" spans="1:36" ht="15" customHeight="1" x14ac:dyDescent="0.2">
      <c r="A5" s="669"/>
      <c r="B5" s="62" t="s">
        <v>251</v>
      </c>
      <c r="C5" s="669"/>
      <c r="D5" s="669"/>
      <c r="E5" s="669"/>
      <c r="G5" s="1020" t="s">
        <v>201</v>
      </c>
      <c r="H5" s="1020"/>
      <c r="V5" s="1020" t="s">
        <v>691</v>
      </c>
      <c r="W5" s="1020"/>
    </row>
    <row r="6" spans="1:36" ht="15" customHeight="1" x14ac:dyDescent="0.2">
      <c r="A6" s="669"/>
      <c r="C6" s="48"/>
      <c r="E6" s="669"/>
      <c r="F6" s="8"/>
      <c r="G6" s="1020"/>
      <c r="H6" s="1020"/>
      <c r="I6" s="8"/>
      <c r="J6" s="8"/>
      <c r="K6" s="8"/>
      <c r="L6" s="10"/>
      <c r="M6" s="8"/>
      <c r="N6" s="8"/>
      <c r="O6" s="8"/>
      <c r="P6" s="8"/>
      <c r="U6" s="8"/>
      <c r="V6" s="1020"/>
      <c r="W6" s="1020"/>
      <c r="Y6" s="8"/>
      <c r="Z6" s="10"/>
      <c r="AA6" s="8"/>
      <c r="AB6" s="8"/>
      <c r="AC6" s="8"/>
      <c r="AD6" s="8"/>
      <c r="AE6" s="8"/>
      <c r="AF6" s="8"/>
      <c r="AG6" s="8"/>
      <c r="AH6" s="8"/>
      <c r="AI6" s="8"/>
      <c r="AJ6" s="8"/>
    </row>
    <row r="7" spans="1:36" ht="15" customHeight="1" x14ac:dyDescent="0.2">
      <c r="A7" s="669"/>
      <c r="B7" s="1023" t="str">
        <f>IF(Step1!K12="New building",Step1!Q12,Step1!K15)</f>
        <v>1-19 Torrington Place</v>
      </c>
      <c r="C7" s="1023"/>
      <c r="D7" s="1023"/>
      <c r="E7" s="669"/>
      <c r="F7" s="8"/>
      <c r="G7" s="1020"/>
      <c r="H7" s="1020"/>
      <c r="I7" s="22"/>
      <c r="J7" s="22"/>
      <c r="K7" s="8"/>
      <c r="L7" s="10"/>
      <c r="M7" s="8"/>
      <c r="N7" s="8"/>
      <c r="O7" s="8"/>
      <c r="P7" s="8"/>
      <c r="U7" s="8"/>
      <c r="V7" s="1020"/>
      <c r="W7" s="1020"/>
      <c r="Y7" s="8"/>
      <c r="Z7" s="10"/>
      <c r="AA7" s="8"/>
      <c r="AB7" s="8"/>
      <c r="AC7" s="8"/>
      <c r="AD7" s="8"/>
      <c r="AE7" s="8"/>
      <c r="AF7" s="8"/>
      <c r="AG7" s="8"/>
      <c r="AH7" s="8"/>
      <c r="AI7" s="8"/>
      <c r="AJ7" s="8"/>
    </row>
    <row r="8" spans="1:36" ht="15" customHeight="1" x14ac:dyDescent="0.2">
      <c r="B8" s="89"/>
      <c r="C8" s="48"/>
      <c r="F8" s="8"/>
      <c r="G8" s="20"/>
      <c r="H8" s="8"/>
      <c r="I8" s="8"/>
      <c r="J8" s="8"/>
      <c r="K8" s="8"/>
      <c r="L8" s="10"/>
      <c r="M8" s="8"/>
      <c r="N8" s="8"/>
      <c r="O8" s="8"/>
      <c r="P8" s="8"/>
      <c r="Q8" s="8"/>
      <c r="R8" s="9"/>
      <c r="S8" s="10"/>
      <c r="T8" s="8"/>
      <c r="U8" s="8"/>
      <c r="V8" s="8"/>
      <c r="W8" s="8"/>
      <c r="X8" s="8"/>
      <c r="Y8" s="8"/>
      <c r="Z8" s="10"/>
      <c r="AA8" s="8"/>
      <c r="AB8" s="8"/>
      <c r="AC8" s="8"/>
      <c r="AD8" s="8"/>
      <c r="AE8" s="8"/>
      <c r="AF8" s="8"/>
      <c r="AG8" s="8"/>
      <c r="AH8" s="8"/>
      <c r="AI8" s="8"/>
      <c r="AJ8" s="8"/>
    </row>
    <row r="9" spans="1:36" ht="15" customHeight="1" x14ac:dyDescent="0.2">
      <c r="B9" s="89"/>
      <c r="C9" s="48"/>
      <c r="F9" s="8"/>
      <c r="G9" s="20"/>
      <c r="H9" s="8"/>
      <c r="I9" s="8"/>
      <c r="J9" s="8"/>
      <c r="K9" s="8"/>
      <c r="L9" s="10"/>
      <c r="M9" s="8"/>
      <c r="N9" s="8"/>
      <c r="O9" s="8"/>
      <c r="P9" s="8"/>
      <c r="Q9" s="8"/>
      <c r="R9" s="9"/>
      <c r="S9" s="10"/>
      <c r="T9" s="8"/>
      <c r="U9" s="8"/>
      <c r="V9" s="8"/>
      <c r="W9" s="8"/>
      <c r="X9" s="8"/>
      <c r="Y9" s="8"/>
      <c r="Z9" s="10"/>
      <c r="AA9" s="8"/>
      <c r="AB9" s="8"/>
      <c r="AC9" s="8"/>
      <c r="AD9" s="8"/>
      <c r="AE9" s="8"/>
      <c r="AF9" s="8"/>
      <c r="AG9" s="8"/>
      <c r="AH9" s="8"/>
      <c r="AI9" s="8"/>
      <c r="AJ9" s="8"/>
    </row>
    <row r="10" spans="1:36" ht="15" customHeight="1" x14ac:dyDescent="0.3">
      <c r="B10" s="199" t="s">
        <v>329</v>
      </c>
      <c r="C10" s="593"/>
      <c r="D10" s="594"/>
      <c r="F10" s="8"/>
      <c r="G10" s="817" t="s">
        <v>614</v>
      </c>
      <c r="H10" s="297"/>
      <c r="I10" s="297"/>
      <c r="J10" s="297"/>
      <c r="K10" s="298"/>
      <c r="M10" s="339" t="s">
        <v>525</v>
      </c>
      <c r="N10" s="299"/>
      <c r="O10" s="299"/>
      <c r="P10" s="299"/>
      <c r="Q10" s="300"/>
      <c r="R10" s="9"/>
      <c r="S10" s="1019" t="s">
        <v>496</v>
      </c>
      <c r="T10" s="1019"/>
      <c r="U10" s="1019"/>
      <c r="V10" s="1019"/>
      <c r="W10" s="1019"/>
      <c r="X10" s="8"/>
      <c r="Y10" s="8"/>
      <c r="Z10" s="8"/>
      <c r="AA10" s="8"/>
      <c r="AB10" s="8"/>
      <c r="AC10" s="8"/>
      <c r="AD10" s="8"/>
      <c r="AE10" s="8"/>
      <c r="AF10" s="521"/>
      <c r="AG10" s="8"/>
      <c r="AH10" s="8"/>
      <c r="AI10" s="8"/>
      <c r="AJ10" s="250"/>
    </row>
    <row r="11" spans="1:36" ht="15" customHeight="1" thickBot="1" x14ac:dyDescent="0.35">
      <c r="B11" s="590"/>
      <c r="C11" s="593"/>
      <c r="D11" s="594"/>
      <c r="F11" s="8"/>
      <c r="G11" s="818" t="s">
        <v>381</v>
      </c>
      <c r="H11" s="220"/>
      <c r="I11" s="220"/>
      <c r="J11" s="304"/>
      <c r="K11" s="244">
        <f>J11</f>
        <v>0</v>
      </c>
      <c r="M11" s="232" t="s">
        <v>381</v>
      </c>
      <c r="N11" s="220"/>
      <c r="O11" s="220"/>
      <c r="P11" s="305"/>
      <c r="Q11" s="244">
        <f>P11</f>
        <v>0</v>
      </c>
      <c r="R11" s="9"/>
      <c r="S11" s="7"/>
      <c r="T11" s="8"/>
      <c r="U11" s="8"/>
      <c r="V11" s="8"/>
      <c r="W11" s="11"/>
      <c r="X11" s="8"/>
      <c r="Y11" s="8"/>
      <c r="Z11" s="10"/>
      <c r="AA11" s="8"/>
      <c r="AB11" s="8"/>
      <c r="AC11" s="8"/>
      <c r="AD11" s="8"/>
      <c r="AE11" s="8"/>
    </row>
    <row r="12" spans="1:36" ht="15" customHeight="1" thickBot="1" x14ac:dyDescent="0.35">
      <c r="B12" s="199" t="s">
        <v>575</v>
      </c>
      <c r="C12" s="595"/>
      <c r="D12" s="594"/>
      <c r="F12" s="8"/>
      <c r="G12" s="889"/>
      <c r="H12" s="188"/>
      <c r="I12" s="188"/>
      <c r="J12" s="188"/>
      <c r="K12" s="522"/>
      <c r="M12" s="188"/>
      <c r="N12" s="188"/>
      <c r="O12" s="188"/>
      <c r="P12" s="188"/>
      <c r="Q12" s="522"/>
      <c r="R12" s="9"/>
      <c r="S12" s="10"/>
      <c r="T12" s="8"/>
      <c r="U12" s="8"/>
      <c r="V12" s="8"/>
      <c r="W12" s="11"/>
      <c r="X12" s="8"/>
      <c r="Y12" s="8"/>
      <c r="Z12" s="10"/>
      <c r="AA12" s="8"/>
      <c r="AB12" s="8"/>
      <c r="AC12" s="8"/>
      <c r="AD12" s="8"/>
      <c r="AE12" s="8"/>
    </row>
    <row r="13" spans="1:36" ht="15" customHeight="1" thickBot="1" x14ac:dyDescent="0.35">
      <c r="B13" s="596"/>
      <c r="C13" s="597"/>
      <c r="D13" s="594"/>
      <c r="F13" s="8"/>
      <c r="G13" s="889"/>
      <c r="H13" s="188"/>
      <c r="I13" s="188"/>
      <c r="J13" s="188"/>
      <c r="K13" s="522"/>
      <c r="M13" s="167" t="s">
        <v>0</v>
      </c>
      <c r="N13" s="171"/>
      <c r="O13" s="171"/>
      <c r="P13" s="171"/>
      <c r="Q13" s="263" t="e">
        <f>1-Q11/K11</f>
        <v>#DIV/0!</v>
      </c>
      <c r="R13" s="9"/>
      <c r="S13" s="7"/>
      <c r="T13" s="8"/>
      <c r="U13" s="8"/>
      <c r="V13" s="8"/>
      <c r="W13" s="11"/>
      <c r="X13" s="8"/>
      <c r="Y13" s="8"/>
      <c r="Z13" s="10"/>
      <c r="AA13" s="8"/>
      <c r="AB13" s="8"/>
      <c r="AC13" s="8"/>
      <c r="AD13" s="8"/>
      <c r="AE13" s="8"/>
    </row>
    <row r="14" spans="1:36" ht="15" customHeight="1" x14ac:dyDescent="0.3">
      <c r="A14" s="483" t="s">
        <v>330</v>
      </c>
      <c r="B14" s="201" t="s">
        <v>574</v>
      </c>
      <c r="C14" s="593"/>
      <c r="D14" s="594"/>
      <c r="F14" s="8"/>
      <c r="G14" s="866"/>
      <c r="H14" s="523"/>
      <c r="I14" s="523"/>
      <c r="J14" s="523"/>
      <c r="K14" s="524"/>
      <c r="M14" s="523"/>
      <c r="N14" s="523"/>
      <c r="O14" s="523"/>
      <c r="P14" s="523"/>
      <c r="Q14" s="524"/>
      <c r="R14" s="9"/>
      <c r="S14" s="10"/>
      <c r="T14" s="8"/>
      <c r="U14" s="8"/>
      <c r="V14" s="8"/>
      <c r="W14" s="11"/>
      <c r="X14" s="8"/>
      <c r="Y14" s="8"/>
      <c r="Z14" s="10"/>
      <c r="AA14" s="8"/>
      <c r="AB14" s="8"/>
      <c r="AC14" s="8"/>
      <c r="AD14" s="8"/>
      <c r="AE14" s="8"/>
    </row>
    <row r="15" spans="1:36" ht="15" customHeight="1" thickBot="1" x14ac:dyDescent="0.35">
      <c r="B15" s="599"/>
      <c r="C15" s="593"/>
      <c r="D15" s="594"/>
      <c r="F15" s="8"/>
      <c r="G15" s="826" t="s">
        <v>283</v>
      </c>
      <c r="H15" s="60"/>
      <c r="I15" s="357" t="s">
        <v>284</v>
      </c>
      <c r="J15" s="637"/>
      <c r="K15" s="525"/>
      <c r="M15" s="17" t="s">
        <v>283</v>
      </c>
      <c r="N15" s="60"/>
      <c r="O15" s="357" t="s">
        <v>284</v>
      </c>
      <c r="P15" s="637"/>
      <c r="Q15" s="525"/>
      <c r="R15" s="9"/>
      <c r="S15" s="10"/>
      <c r="T15" s="8"/>
      <c r="U15" s="8"/>
      <c r="V15" s="8"/>
      <c r="W15" s="11"/>
      <c r="X15" s="8"/>
      <c r="Y15" s="8"/>
      <c r="Z15" s="10"/>
      <c r="AA15" s="8"/>
      <c r="AB15" s="8"/>
      <c r="AC15" s="8"/>
      <c r="AD15" s="8"/>
      <c r="AE15" s="8"/>
    </row>
    <row r="16" spans="1:36" ht="15" customHeight="1" x14ac:dyDescent="0.3">
      <c r="B16" s="204" t="s">
        <v>576</v>
      </c>
      <c r="C16" s="593"/>
      <c r="D16" s="594"/>
      <c r="F16" s="8"/>
      <c r="G16" s="896"/>
      <c r="H16" s="526"/>
      <c r="I16" s="526"/>
      <c r="J16" s="526"/>
      <c r="K16" s="527"/>
      <c r="M16" s="526"/>
      <c r="N16" s="526"/>
      <c r="O16" s="526"/>
      <c r="P16" s="526"/>
      <c r="Q16" s="527"/>
      <c r="R16" s="9"/>
      <c r="S16" s="10"/>
      <c r="T16" s="8"/>
      <c r="U16" s="8"/>
      <c r="V16" s="8"/>
      <c r="W16" s="8"/>
      <c r="X16" s="8"/>
      <c r="Y16" s="8"/>
      <c r="Z16" s="10"/>
      <c r="AA16" s="8"/>
      <c r="AB16" s="8"/>
      <c r="AC16" s="8"/>
      <c r="AD16" s="8"/>
      <c r="AE16" s="8"/>
    </row>
    <row r="17" spans="2:36" ht="15" customHeight="1" thickBot="1" x14ac:dyDescent="0.35">
      <c r="B17" s="616"/>
      <c r="C17" s="593"/>
      <c r="D17" s="594"/>
      <c r="F17" s="8"/>
      <c r="G17" s="818" t="s">
        <v>386</v>
      </c>
      <c r="H17" s="310"/>
      <c r="I17" s="310"/>
      <c r="J17" s="310"/>
      <c r="K17" s="528"/>
      <c r="M17" s="232" t="s">
        <v>386</v>
      </c>
      <c r="N17" s="310"/>
      <c r="O17" s="310"/>
      <c r="P17" s="310"/>
      <c r="Q17" s="528"/>
      <c r="U17" s="8"/>
      <c r="V17" s="8"/>
      <c r="AC17" s="8"/>
      <c r="AD17" s="8"/>
      <c r="AE17" s="8"/>
    </row>
    <row r="18" spans="2:36" ht="15" customHeight="1" thickBot="1" x14ac:dyDescent="0.35">
      <c r="B18" s="204" t="s">
        <v>331</v>
      </c>
      <c r="C18" s="593"/>
      <c r="D18" s="594"/>
      <c r="F18" s="8"/>
      <c r="G18" s="819" t="s">
        <v>205</v>
      </c>
      <c r="H18" s="171"/>
      <c r="I18" s="175"/>
      <c r="J18" s="184"/>
      <c r="K18" s="247">
        <f>J18</f>
        <v>0</v>
      </c>
      <c r="M18" s="170" t="s">
        <v>205</v>
      </c>
      <c r="N18" s="171"/>
      <c r="O18" s="175"/>
      <c r="P18" s="184"/>
      <c r="Q18" s="247">
        <f>P18</f>
        <v>0</v>
      </c>
      <c r="U18" s="8"/>
      <c r="V18" s="8"/>
      <c r="AC18" s="8"/>
      <c r="AD18" s="8"/>
      <c r="AE18" s="8"/>
    </row>
    <row r="19" spans="2:36" ht="15" customHeight="1" thickBot="1" x14ac:dyDescent="0.25">
      <c r="B19" s="120"/>
      <c r="C19" s="48"/>
      <c r="F19" s="8"/>
      <c r="G19" s="819" t="s">
        <v>531</v>
      </c>
      <c r="H19" s="171"/>
      <c r="I19" s="175"/>
      <c r="J19" s="172"/>
      <c r="K19" s="243">
        <f>J19</f>
        <v>0</v>
      </c>
      <c r="M19" s="170" t="s">
        <v>531</v>
      </c>
      <c r="N19" s="171"/>
      <c r="O19" s="188"/>
      <c r="P19" s="172"/>
      <c r="Q19" s="243">
        <f>P19</f>
        <v>0</v>
      </c>
      <c r="U19" s="8"/>
      <c r="V19" s="8"/>
      <c r="AC19" s="8"/>
      <c r="AD19" s="8"/>
      <c r="AE19" s="8"/>
    </row>
    <row r="20" spans="2:36" ht="15" customHeight="1" thickBot="1" x14ac:dyDescent="0.25">
      <c r="B20" s="120"/>
      <c r="C20" s="48"/>
      <c r="F20" s="8"/>
      <c r="G20" s="872"/>
      <c r="H20" s="60"/>
      <c r="I20" s="60"/>
      <c r="J20" s="60"/>
      <c r="K20" s="60"/>
      <c r="M20" s="60"/>
      <c r="N20" s="60"/>
      <c r="O20" s="60"/>
      <c r="P20" s="60"/>
      <c r="Q20" s="60"/>
      <c r="U20" s="8"/>
      <c r="V20" s="8"/>
      <c r="AC20" s="8"/>
      <c r="AD20" s="8"/>
      <c r="AE20" s="8"/>
    </row>
    <row r="21" spans="2:36" ht="15" customHeight="1" thickBot="1" x14ac:dyDescent="0.25">
      <c r="B21" s="120"/>
      <c r="C21" s="120"/>
      <c r="D21" s="120"/>
      <c r="F21" s="8"/>
      <c r="G21" s="819" t="s">
        <v>16</v>
      </c>
      <c r="H21" s="171"/>
      <c r="I21" s="177"/>
      <c r="J21" s="172"/>
      <c r="K21" s="243">
        <f>J21</f>
        <v>0</v>
      </c>
      <c r="M21" s="170" t="s">
        <v>16</v>
      </c>
      <c r="N21" s="171"/>
      <c r="O21" s="177"/>
      <c r="P21" s="172"/>
      <c r="Q21" s="243">
        <f>P21</f>
        <v>0</v>
      </c>
      <c r="U21" s="8"/>
      <c r="V21" s="8"/>
      <c r="AC21" s="8"/>
      <c r="AD21" s="8"/>
      <c r="AE21" s="8"/>
    </row>
    <row r="22" spans="2:36" ht="15" customHeight="1" thickBot="1" x14ac:dyDescent="0.25">
      <c r="B22" s="120"/>
      <c r="C22" s="120"/>
      <c r="D22" s="120"/>
      <c r="F22" s="8"/>
      <c r="G22" s="819" t="s">
        <v>425</v>
      </c>
      <c r="H22" s="171"/>
      <c r="I22" s="171"/>
      <c r="J22" s="172"/>
      <c r="K22" s="243">
        <f>J22</f>
        <v>0</v>
      </c>
      <c r="M22" s="170" t="s">
        <v>425</v>
      </c>
      <c r="N22" s="171"/>
      <c r="O22" s="171"/>
      <c r="P22" s="172"/>
      <c r="Q22" s="243">
        <f>P22</f>
        <v>0</v>
      </c>
      <c r="U22" s="8"/>
      <c r="V22" s="8"/>
      <c r="AC22" s="8"/>
      <c r="AD22" s="8"/>
      <c r="AE22" s="8"/>
    </row>
    <row r="23" spans="2:36" ht="15" customHeight="1" thickBot="1" x14ac:dyDescent="0.25">
      <c r="B23" s="120"/>
      <c r="C23" s="120"/>
      <c r="D23" s="120"/>
      <c r="F23" s="8"/>
      <c r="G23" s="872" t="s">
        <v>385</v>
      </c>
      <c r="H23" s="60"/>
      <c r="I23" s="60"/>
      <c r="J23" s="658"/>
      <c r="K23" s="243">
        <f>J23</f>
        <v>0</v>
      </c>
      <c r="M23" s="397" t="s">
        <v>385</v>
      </c>
      <c r="N23" s="60"/>
      <c r="O23" s="60"/>
      <c r="P23" s="658"/>
      <c r="Q23" s="243">
        <f>P23</f>
        <v>0</v>
      </c>
      <c r="U23" s="8"/>
      <c r="V23" s="8"/>
      <c r="AC23" s="8"/>
      <c r="AD23" s="8"/>
      <c r="AE23" s="8"/>
    </row>
    <row r="24" spans="2:36" ht="15" customHeight="1" thickBot="1" x14ac:dyDescent="0.25">
      <c r="B24" s="120"/>
      <c r="C24" s="120"/>
      <c r="D24" s="120"/>
      <c r="F24" s="8"/>
      <c r="G24" s="819" t="s">
        <v>532</v>
      </c>
      <c r="H24" s="641"/>
      <c r="I24" s="643"/>
      <c r="J24" s="649"/>
      <c r="K24" s="642">
        <f>J24</f>
        <v>0</v>
      </c>
      <c r="M24" s="170" t="s">
        <v>532</v>
      </c>
      <c r="N24" s="171"/>
      <c r="O24" s="175"/>
      <c r="P24" s="649"/>
      <c r="Q24" s="243">
        <f>P24</f>
        <v>0</v>
      </c>
      <c r="U24" s="8"/>
      <c r="V24" s="8"/>
      <c r="AC24" s="8"/>
      <c r="AD24" s="8"/>
      <c r="AE24" s="8"/>
    </row>
    <row r="25" spans="2:36" ht="15" customHeight="1" thickBot="1" x14ac:dyDescent="0.25">
      <c r="B25" s="120"/>
      <c r="C25" s="120"/>
      <c r="D25" s="120"/>
      <c r="F25" s="8"/>
      <c r="G25" s="891"/>
      <c r="H25" s="176"/>
      <c r="I25" s="340"/>
      <c r="J25" s="171"/>
      <c r="K25" s="341"/>
      <c r="M25" s="243"/>
      <c r="N25" s="176"/>
      <c r="O25" s="340"/>
      <c r="P25" s="356"/>
      <c r="Q25" s="341"/>
      <c r="U25" s="8"/>
      <c r="V25" s="8"/>
      <c r="AC25" s="8"/>
      <c r="AD25" s="8"/>
      <c r="AE25" s="8"/>
    </row>
    <row r="26" spans="2:36" ht="15" customHeight="1" x14ac:dyDescent="0.2">
      <c r="B26" s="120"/>
      <c r="C26" s="120"/>
      <c r="D26" s="120"/>
      <c r="F26" s="8"/>
      <c r="K26" s="529"/>
      <c r="Q26" s="529"/>
      <c r="U26" s="8"/>
      <c r="V26" s="8"/>
      <c r="AC26" s="8"/>
      <c r="AD26" s="8"/>
      <c r="AE26" s="8"/>
    </row>
    <row r="27" spans="2:36" ht="15" customHeight="1" x14ac:dyDescent="0.2">
      <c r="B27" s="120"/>
      <c r="C27" s="120"/>
      <c r="D27" s="120"/>
      <c r="F27" s="8"/>
      <c r="G27" s="10"/>
      <c r="H27" s="8"/>
      <c r="I27" s="8"/>
      <c r="J27" s="96"/>
      <c r="K27" s="250"/>
      <c r="Q27" s="529"/>
      <c r="U27" s="8"/>
      <c r="V27" s="8"/>
      <c r="AC27" s="8"/>
      <c r="AD27" s="8"/>
      <c r="AE27" s="8"/>
    </row>
    <row r="28" spans="2:36" ht="15" customHeight="1" thickBot="1" x14ac:dyDescent="0.25">
      <c r="B28" s="120"/>
      <c r="C28" s="120"/>
      <c r="D28" s="120"/>
      <c r="F28" s="8"/>
      <c r="K28" s="529"/>
      <c r="O28" s="574"/>
      <c r="Q28" s="529"/>
      <c r="U28" s="8"/>
      <c r="V28" s="8"/>
      <c r="AC28" s="8"/>
      <c r="AD28" s="8"/>
      <c r="AE28" s="8"/>
      <c r="AF28" s="66"/>
      <c r="AG28" s="8"/>
      <c r="AH28" s="8"/>
      <c r="AI28" s="96"/>
      <c r="AJ28" s="10"/>
    </row>
    <row r="29" spans="2:36" ht="15" customHeight="1" thickBot="1" x14ac:dyDescent="0.25">
      <c r="B29" s="120"/>
      <c r="C29" s="120"/>
      <c r="D29" s="120"/>
      <c r="F29" s="8"/>
      <c r="G29" s="339" t="s">
        <v>489</v>
      </c>
      <c r="H29" s="297"/>
      <c r="I29" s="297"/>
      <c r="J29" s="297"/>
      <c r="K29" s="298"/>
      <c r="M29" s="873" t="s">
        <v>530</v>
      </c>
      <c r="N29" s="405"/>
      <c r="O29" s="406"/>
      <c r="P29" s="406"/>
      <c r="Q29" s="337"/>
      <c r="U29" s="8"/>
      <c r="V29" s="8"/>
      <c r="AC29" s="8"/>
      <c r="AD29" s="8"/>
      <c r="AE29" s="8"/>
    </row>
    <row r="30" spans="2:36" ht="15" customHeight="1" thickBot="1" x14ac:dyDescent="0.25">
      <c r="B30" s="120"/>
      <c r="C30" s="120"/>
      <c r="D30" s="120"/>
      <c r="F30" s="8"/>
      <c r="G30" s="69"/>
      <c r="H30" s="644"/>
      <c r="I30" s="644"/>
      <c r="J30" s="644"/>
      <c r="K30" s="644"/>
      <c r="M30" s="830" t="s">
        <v>381</v>
      </c>
      <c r="N30" s="220"/>
      <c r="O30" s="171"/>
      <c r="P30" s="305"/>
      <c r="Q30" s="244">
        <f>P30</f>
        <v>0</v>
      </c>
      <c r="U30" s="8"/>
      <c r="V30" s="8"/>
      <c r="AC30" s="8"/>
      <c r="AD30" s="8"/>
      <c r="AE30" s="8"/>
    </row>
    <row r="31" spans="2:36" ht="15" customHeight="1" thickBot="1" x14ac:dyDescent="0.25">
      <c r="B31" s="120"/>
      <c r="C31" s="120"/>
      <c r="D31" s="120"/>
      <c r="F31" s="8"/>
      <c r="G31" s="69" t="s">
        <v>527</v>
      </c>
      <c r="H31" s="1057" t="s">
        <v>534</v>
      </c>
      <c r="I31" s="1057"/>
      <c r="J31" s="1057"/>
      <c r="K31" s="1057"/>
      <c r="M31" s="832" t="s">
        <v>0</v>
      </c>
      <c r="N31" s="171"/>
      <c r="O31" s="171"/>
      <c r="P31" s="188"/>
      <c r="Q31" s="257" t="e">
        <f>1-Q30/K11</f>
        <v>#DIV/0!</v>
      </c>
      <c r="U31" s="8"/>
      <c r="V31" s="8"/>
      <c r="AC31" s="8"/>
      <c r="AD31" s="8"/>
      <c r="AE31" s="8"/>
      <c r="AF31" s="8"/>
      <c r="AG31" s="8"/>
      <c r="AH31" s="530"/>
      <c r="AI31" s="8"/>
      <c r="AJ31" s="10"/>
    </row>
    <row r="32" spans="2:36" ht="15" customHeight="1" x14ac:dyDescent="0.2">
      <c r="B32" s="120"/>
      <c r="C32" s="120"/>
      <c r="D32" s="120"/>
      <c r="E32" s="55"/>
      <c r="F32" s="8"/>
      <c r="G32" s="69"/>
      <c r="H32" s="644"/>
      <c r="I32" s="644"/>
      <c r="J32" s="644"/>
      <c r="K32" s="644"/>
      <c r="M32" s="885"/>
      <c r="N32" s="523"/>
      <c r="O32" s="523"/>
      <c r="P32" s="523"/>
      <c r="Q32" s="524"/>
      <c r="U32" s="8"/>
      <c r="V32" s="8"/>
      <c r="AC32" s="8"/>
      <c r="AD32" s="8"/>
      <c r="AE32" s="8"/>
      <c r="AH32" s="530"/>
    </row>
    <row r="33" spans="2:36" ht="15" customHeight="1" thickBot="1" x14ac:dyDescent="0.25">
      <c r="B33" s="120"/>
      <c r="C33" s="120"/>
      <c r="D33" s="120"/>
      <c r="F33" s="8"/>
      <c r="G33" s="1057" t="s">
        <v>533</v>
      </c>
      <c r="H33" s="1057"/>
      <c r="I33" s="1057"/>
      <c r="J33" s="1057"/>
      <c r="K33" s="1057"/>
      <c r="M33" s="839" t="s">
        <v>283</v>
      </c>
      <c r="N33" s="60"/>
      <c r="O33" s="357" t="s">
        <v>284</v>
      </c>
      <c r="P33" s="637"/>
      <c r="Q33" s="525"/>
      <c r="U33" s="8"/>
      <c r="V33" s="8"/>
      <c r="AC33" s="8"/>
      <c r="AD33" s="8"/>
      <c r="AE33" s="8"/>
    </row>
    <row r="34" spans="2:36" ht="15" customHeight="1" x14ac:dyDescent="0.2">
      <c r="C34" s="48"/>
      <c r="F34" s="8"/>
      <c r="G34" s="1057"/>
      <c r="H34" s="1057"/>
      <c r="I34" s="1057"/>
      <c r="J34" s="1057"/>
      <c r="K34" s="1057"/>
      <c r="M34" s="888"/>
      <c r="N34" s="526"/>
      <c r="O34" s="526"/>
      <c r="P34" s="526"/>
      <c r="Q34" s="527"/>
      <c r="U34" s="8"/>
      <c r="V34" s="8"/>
      <c r="AC34" s="8"/>
      <c r="AD34" s="8"/>
      <c r="AE34" s="8"/>
      <c r="AF34" s="66"/>
      <c r="AG34" s="10"/>
      <c r="AH34" s="10"/>
      <c r="AI34" s="8"/>
      <c r="AJ34" s="10"/>
    </row>
    <row r="35" spans="2:36" ht="15" customHeight="1" thickBot="1" x14ac:dyDescent="0.25">
      <c r="C35" s="486"/>
      <c r="D35" s="486"/>
      <c r="F35" s="8"/>
      <c r="G35" s="1057"/>
      <c r="H35" s="1057"/>
      <c r="I35" s="1057"/>
      <c r="J35" s="1057"/>
      <c r="K35" s="1057"/>
      <c r="M35" s="830" t="s">
        <v>386</v>
      </c>
      <c r="N35" s="310"/>
      <c r="O35" s="221"/>
      <c r="P35" s="310"/>
      <c r="Q35" s="528"/>
      <c r="U35" s="8"/>
      <c r="V35" s="8"/>
      <c r="AC35" s="8"/>
      <c r="AD35" s="8"/>
      <c r="AE35" s="8"/>
      <c r="AF35" s="8"/>
      <c r="AG35" s="8"/>
      <c r="AI35" s="8"/>
      <c r="AJ35" s="10"/>
    </row>
    <row r="36" spans="2:36" ht="15" customHeight="1" thickBot="1" x14ac:dyDescent="0.25">
      <c r="B36" s="89"/>
      <c r="C36" s="48"/>
      <c r="E36" s="55"/>
      <c r="F36" s="8"/>
      <c r="G36" s="1057"/>
      <c r="H36" s="1057"/>
      <c r="I36" s="1057"/>
      <c r="J36" s="1057"/>
      <c r="K36" s="1057"/>
      <c r="M36" s="837" t="s">
        <v>205</v>
      </c>
      <c r="N36" s="171"/>
      <c r="O36" s="175"/>
      <c r="P36" s="184"/>
      <c r="Q36" s="247">
        <f>P36</f>
        <v>0</v>
      </c>
      <c r="U36" s="8"/>
      <c r="V36" s="8"/>
      <c r="AC36" s="8"/>
      <c r="AD36" s="8"/>
      <c r="AE36" s="8"/>
      <c r="AF36" s="66"/>
      <c r="AG36" s="8"/>
      <c r="AH36" s="8"/>
      <c r="AI36" s="8"/>
      <c r="AJ36" s="93"/>
    </row>
    <row r="37" spans="2:36" ht="15" customHeight="1" thickBot="1" x14ac:dyDescent="0.25">
      <c r="B37" s="89"/>
      <c r="C37" s="48"/>
      <c r="F37" s="8"/>
      <c r="G37" s="1057"/>
      <c r="H37" s="1057"/>
      <c r="I37" s="1057"/>
      <c r="J37" s="1057"/>
      <c r="K37" s="1057"/>
      <c r="M37" s="837" t="s">
        <v>531</v>
      </c>
      <c r="N37" s="171"/>
      <c r="O37" s="175"/>
      <c r="P37" s="172"/>
      <c r="Q37" s="243">
        <f>P37</f>
        <v>0</v>
      </c>
      <c r="R37" s="9"/>
      <c r="S37" s="10"/>
      <c r="T37" s="8"/>
      <c r="U37" s="8"/>
      <c r="V37" s="8"/>
      <c r="AB37" s="8"/>
      <c r="AC37" s="8"/>
      <c r="AD37" s="8"/>
      <c r="AE37" s="8"/>
      <c r="AF37" s="66"/>
      <c r="AG37" s="8"/>
      <c r="AH37" s="8"/>
      <c r="AI37" s="8"/>
      <c r="AJ37" s="93"/>
    </row>
    <row r="38" spans="2:36" ht="15" customHeight="1" thickBot="1" x14ac:dyDescent="0.25">
      <c r="F38" s="8"/>
      <c r="G38" s="1057"/>
      <c r="H38" s="1057"/>
      <c r="I38" s="1057"/>
      <c r="J38" s="1057"/>
      <c r="K38" s="1057"/>
      <c r="M38" s="864"/>
      <c r="N38" s="60"/>
      <c r="O38" s="60"/>
      <c r="P38" s="60"/>
      <c r="Q38" s="60"/>
      <c r="R38" s="9"/>
      <c r="S38" s="10"/>
      <c r="T38" s="8"/>
      <c r="U38" s="8"/>
      <c r="V38" s="8"/>
      <c r="AB38" s="8"/>
      <c r="AC38" s="8"/>
      <c r="AD38" s="8"/>
      <c r="AE38" s="8"/>
      <c r="AF38" s="66"/>
      <c r="AG38" s="8"/>
      <c r="AH38" s="8"/>
      <c r="AI38" s="8"/>
      <c r="AJ38" s="93"/>
    </row>
    <row r="39" spans="2:36" ht="15" customHeight="1" thickBot="1" x14ac:dyDescent="0.25">
      <c r="F39" s="8"/>
      <c r="G39" s="1057"/>
      <c r="H39" s="1057"/>
      <c r="I39" s="1057"/>
      <c r="J39" s="1057"/>
      <c r="K39" s="1057"/>
      <c r="L39" s="10"/>
      <c r="M39" s="837" t="s">
        <v>16</v>
      </c>
      <c r="N39" s="171"/>
      <c r="O39" s="177"/>
      <c r="P39" s="172"/>
      <c r="Q39" s="243">
        <f>P39</f>
        <v>0</v>
      </c>
      <c r="R39" s="9"/>
      <c r="S39" s="10"/>
      <c r="T39" s="8"/>
      <c r="U39" s="8"/>
      <c r="V39" s="8"/>
      <c r="AB39" s="8"/>
      <c r="AC39" s="8"/>
      <c r="AD39" s="8"/>
      <c r="AE39" s="8"/>
      <c r="AF39" s="66"/>
      <c r="AG39" s="8"/>
      <c r="AH39" s="8"/>
      <c r="AI39" s="8"/>
      <c r="AJ39" s="93"/>
    </row>
    <row r="40" spans="2:36" ht="15" customHeight="1" thickBot="1" x14ac:dyDescent="0.25">
      <c r="F40" s="8"/>
      <c r="G40" s="1057"/>
      <c r="H40" s="1057"/>
      <c r="I40" s="1057"/>
      <c r="J40" s="1057"/>
      <c r="K40" s="1057"/>
      <c r="M40" s="837" t="s">
        <v>425</v>
      </c>
      <c r="N40" s="171"/>
      <c r="O40" s="171"/>
      <c r="P40" s="172"/>
      <c r="Q40" s="243">
        <f>P40</f>
        <v>0</v>
      </c>
      <c r="R40" s="9"/>
      <c r="S40" s="10"/>
      <c r="T40" s="8"/>
      <c r="U40" s="8"/>
      <c r="V40" s="8"/>
      <c r="W40" s="531"/>
      <c r="AB40" s="8"/>
      <c r="AC40" s="8"/>
      <c r="AD40" s="8"/>
      <c r="AE40" s="8"/>
      <c r="AF40" s="8"/>
      <c r="AG40" s="8"/>
      <c r="AH40" s="8"/>
      <c r="AI40" s="68"/>
      <c r="AJ40" s="10"/>
    </row>
    <row r="41" spans="2:36" ht="15" customHeight="1" thickBot="1" x14ac:dyDescent="0.25">
      <c r="F41" s="8"/>
      <c r="G41" s="1057"/>
      <c r="H41" s="1057"/>
      <c r="I41" s="1057"/>
      <c r="J41" s="1057"/>
      <c r="K41" s="1057"/>
      <c r="M41" s="864" t="s">
        <v>385</v>
      </c>
      <c r="N41" s="60"/>
      <c r="O41" s="60"/>
      <c r="P41" s="658"/>
      <c r="Q41" s="243">
        <f>P41</f>
        <v>0</v>
      </c>
      <c r="R41" s="9"/>
      <c r="S41" s="660" t="s">
        <v>316</v>
      </c>
      <c r="T41" s="659"/>
      <c r="U41" s="659"/>
      <c r="V41" s="659"/>
      <c r="W41" s="659"/>
      <c r="AB41" s="8"/>
      <c r="AC41" s="8"/>
      <c r="AD41" s="8"/>
      <c r="AE41" s="8"/>
    </row>
    <row r="42" spans="2:36" ht="15" customHeight="1" thickBot="1" x14ac:dyDescent="0.25">
      <c r="F42" s="8"/>
      <c r="G42" s="1057"/>
      <c r="H42" s="1057"/>
      <c r="I42" s="1057"/>
      <c r="J42" s="1057"/>
      <c r="K42" s="1057"/>
      <c r="L42" s="10"/>
      <c r="M42" s="837" t="s">
        <v>532</v>
      </c>
      <c r="N42" s="171"/>
      <c r="O42" s="175"/>
      <c r="P42" s="649"/>
      <c r="Q42" s="243">
        <f>P42</f>
        <v>0</v>
      </c>
      <c r="R42" s="9"/>
      <c r="S42" s="532" t="s">
        <v>541</v>
      </c>
      <c r="T42" s="60"/>
      <c r="U42" s="13"/>
      <c r="V42" s="661" t="e">
        <f>J72</f>
        <v>#N/A</v>
      </c>
      <c r="W42" s="662" t="s">
        <v>542</v>
      </c>
      <c r="AB42" s="8"/>
      <c r="AC42" s="8"/>
      <c r="AD42" s="8"/>
      <c r="AE42" s="8"/>
    </row>
    <row r="43" spans="2:36" ht="15" customHeight="1" thickBot="1" x14ac:dyDescent="0.25">
      <c r="F43" s="8"/>
      <c r="G43" s="1057"/>
      <c r="H43" s="1057"/>
      <c r="I43" s="1057"/>
      <c r="J43" s="1057"/>
      <c r="K43" s="1057"/>
      <c r="L43" s="10"/>
      <c r="M43" s="895"/>
      <c r="N43" s="176"/>
      <c r="O43" s="340"/>
      <c r="P43" s="171"/>
      <c r="Q43" s="341"/>
      <c r="R43" s="9"/>
      <c r="S43" s="906" t="s">
        <v>594</v>
      </c>
      <c r="T43" s="864"/>
      <c r="U43" s="864"/>
      <c r="V43" s="907" t="e">
        <f>J73</f>
        <v>#N/A</v>
      </c>
      <c r="W43" s="908" t="s">
        <v>542</v>
      </c>
      <c r="AB43" s="8"/>
      <c r="AC43" s="8"/>
      <c r="AD43" s="8"/>
      <c r="AE43" s="8"/>
      <c r="AF43" s="9"/>
      <c r="AG43" s="9"/>
      <c r="AH43" s="9"/>
      <c r="AI43" s="9"/>
      <c r="AJ43" s="9"/>
    </row>
    <row r="44" spans="2:36" ht="15" customHeight="1" x14ac:dyDescent="0.2">
      <c r="B44" s="89"/>
      <c r="C44" s="48"/>
      <c r="F44" s="8"/>
      <c r="G44" s="10"/>
      <c r="H44" s="8"/>
      <c r="I44" s="8"/>
      <c r="J44" s="8"/>
      <c r="K44" s="45"/>
      <c r="L44" s="10"/>
      <c r="M44" s="46"/>
      <c r="N44" s="46"/>
      <c r="O44" s="8"/>
      <c r="P44" s="8"/>
      <c r="Q44" s="46"/>
      <c r="R44" s="9"/>
      <c r="S44" s="10"/>
      <c r="T44" s="8"/>
      <c r="U44" s="8"/>
      <c r="V44" s="8"/>
      <c r="AB44" s="8"/>
      <c r="AC44" s="8"/>
      <c r="AD44" s="8"/>
      <c r="AE44" s="8"/>
      <c r="AF44" s="9"/>
      <c r="AG44" s="9"/>
      <c r="AH44" s="9"/>
      <c r="AI44" s="9"/>
      <c r="AJ44" s="9"/>
    </row>
    <row r="45" spans="2:36" ht="15" customHeight="1" x14ac:dyDescent="0.2">
      <c r="B45" s="89"/>
      <c r="C45" s="48"/>
      <c r="F45" s="8"/>
      <c r="G45" s="8"/>
      <c r="H45" s="8"/>
      <c r="I45" s="8"/>
      <c r="J45" s="8"/>
      <c r="K45" s="8"/>
      <c r="L45" s="10"/>
      <c r="M45" s="8"/>
      <c r="N45" s="8"/>
      <c r="O45" s="8"/>
      <c r="P45" s="8"/>
      <c r="Q45" s="8"/>
      <c r="R45" s="9"/>
      <c r="S45" s="10"/>
      <c r="T45" s="8"/>
      <c r="U45" s="8"/>
      <c r="V45" s="8"/>
      <c r="AB45" s="8"/>
      <c r="AC45" s="8"/>
      <c r="AD45" s="8"/>
      <c r="AE45" s="8"/>
      <c r="AF45" s="9"/>
      <c r="AG45" s="9"/>
      <c r="AH45" s="9"/>
      <c r="AI45" s="9"/>
      <c r="AJ45" s="9"/>
    </row>
    <row r="46" spans="2:36" ht="15" customHeight="1" x14ac:dyDescent="0.2">
      <c r="B46" s="89"/>
      <c r="C46" s="48"/>
      <c r="F46" s="8"/>
      <c r="G46" s="7"/>
      <c r="H46" s="8"/>
      <c r="I46" s="8"/>
      <c r="J46" s="8"/>
      <c r="K46" s="67"/>
      <c r="T46" s="12"/>
      <c r="U46" s="8"/>
      <c r="AC46" s="8"/>
      <c r="AD46" s="8"/>
      <c r="AE46" s="8"/>
      <c r="AF46" s="87"/>
      <c r="AG46" s="9"/>
      <c r="AH46" s="9"/>
      <c r="AI46" s="9"/>
      <c r="AJ46" s="98"/>
    </row>
    <row r="47" spans="2:36" ht="15" customHeight="1" x14ac:dyDescent="0.2">
      <c r="F47" s="8"/>
      <c r="G47" s="7"/>
      <c r="H47" s="8"/>
      <c r="I47" s="8"/>
      <c r="J47" s="8"/>
      <c r="K47" s="67"/>
      <c r="T47" s="12"/>
      <c r="U47" s="8"/>
      <c r="AC47" s="8"/>
      <c r="AD47" s="8"/>
      <c r="AE47" s="8"/>
      <c r="AF47" s="87"/>
      <c r="AG47" s="9"/>
      <c r="AH47" s="9"/>
      <c r="AI47" s="9"/>
      <c r="AJ47" s="98"/>
    </row>
    <row r="48" spans="2:36" ht="15" customHeight="1" x14ac:dyDescent="0.2">
      <c r="F48" s="8"/>
      <c r="G48" s="7"/>
      <c r="H48" s="8"/>
      <c r="I48" s="8"/>
      <c r="J48" s="8"/>
      <c r="K48" s="67"/>
      <c r="R48" s="1"/>
    </row>
    <row r="49" spans="2:36" ht="15" customHeight="1" x14ac:dyDescent="0.2">
      <c r="F49" s="8"/>
      <c r="G49" s="7"/>
      <c r="H49" s="8"/>
      <c r="I49" s="8"/>
      <c r="J49" s="8"/>
      <c r="K49" s="67"/>
      <c r="T49" s="12"/>
      <c r="U49" s="8"/>
      <c r="AC49" s="8"/>
      <c r="AD49" s="8"/>
      <c r="AE49" s="8"/>
      <c r="AF49" s="87"/>
      <c r="AG49" s="9"/>
      <c r="AH49" s="9"/>
      <c r="AI49" s="9"/>
      <c r="AJ49" s="98"/>
    </row>
    <row r="50" spans="2:36" ht="15" customHeight="1" x14ac:dyDescent="0.2">
      <c r="F50" s="8"/>
      <c r="G50" s="7"/>
      <c r="H50" s="8"/>
      <c r="I50" s="8"/>
      <c r="J50" s="8"/>
      <c r="K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row>
    <row r="51" spans="2:36" ht="15" customHeight="1" x14ac:dyDescent="0.2">
      <c r="B51" s="47"/>
      <c r="C51" s="47"/>
      <c r="D51" s="47"/>
      <c r="E51" s="47"/>
      <c r="F51" s="8"/>
      <c r="G51" s="7"/>
      <c r="H51" s="8"/>
      <c r="I51" s="8"/>
      <c r="J51" s="8"/>
      <c r="K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row>
    <row r="52" spans="2:36" ht="15" customHeight="1" x14ac:dyDescent="0.2">
      <c r="B52" s="47"/>
      <c r="C52" s="47"/>
      <c r="D52" s="47"/>
      <c r="E52" s="47"/>
      <c r="F52" s="8"/>
      <c r="G52" s="7"/>
      <c r="H52" s="8"/>
      <c r="I52" s="8"/>
      <c r="J52" s="8"/>
      <c r="K52" s="67"/>
      <c r="T52" s="12"/>
      <c r="U52" s="8"/>
      <c r="AC52" s="8"/>
      <c r="AD52" s="8"/>
      <c r="AE52" s="8"/>
      <c r="AF52" s="87"/>
      <c r="AG52" s="9"/>
      <c r="AH52" s="9"/>
      <c r="AI52" s="9"/>
      <c r="AJ52" s="98"/>
    </row>
    <row r="53" spans="2:36" ht="15" customHeight="1" x14ac:dyDescent="0.2">
      <c r="B53" s="47"/>
      <c r="C53" s="47"/>
      <c r="D53" s="47"/>
      <c r="E53" s="47"/>
      <c r="F53" s="8"/>
      <c r="G53" s="7"/>
      <c r="H53" s="8"/>
      <c r="I53" s="8"/>
      <c r="J53" s="8"/>
      <c r="K53" s="67"/>
      <c r="T53" s="12"/>
      <c r="U53" s="8"/>
      <c r="AC53" s="8"/>
      <c r="AD53" s="8"/>
      <c r="AE53" s="8"/>
      <c r="AF53" s="87"/>
      <c r="AG53" s="9"/>
      <c r="AH53" s="9"/>
      <c r="AI53" s="9"/>
      <c r="AJ53" s="98"/>
    </row>
    <row r="54" spans="2:36" ht="15" customHeight="1" x14ac:dyDescent="0.2">
      <c r="B54" s="47"/>
      <c r="C54" s="47"/>
      <c r="D54" s="47"/>
      <c r="E54" s="47"/>
      <c r="F54" s="8"/>
      <c r="G54" s="7"/>
      <c r="H54" s="8"/>
      <c r="I54" s="8"/>
      <c r="J54" s="8"/>
      <c r="K54" s="663"/>
      <c r="L54" s="663"/>
      <c r="M54" s="663"/>
      <c r="N54" s="663"/>
      <c r="O54" s="663"/>
      <c r="P54" s="663"/>
      <c r="Q54" s="663"/>
      <c r="R54" s="663"/>
      <c r="S54" s="663"/>
      <c r="T54" s="663"/>
      <c r="U54" s="663"/>
      <c r="V54" s="663"/>
      <c r="W54" s="663"/>
      <c r="X54" s="663"/>
      <c r="Y54" s="663"/>
      <c r="Z54" s="663"/>
      <c r="AA54" s="663"/>
      <c r="AB54" s="663"/>
      <c r="AC54" s="663"/>
      <c r="AD54" s="663"/>
      <c r="AE54" s="663"/>
      <c r="AF54" s="663"/>
      <c r="AG54" s="663"/>
      <c r="AH54" s="663"/>
      <c r="AI54" s="663"/>
      <c r="AJ54" s="663"/>
    </row>
    <row r="55" spans="2:36" ht="15" customHeight="1" x14ac:dyDescent="0.2">
      <c r="B55" s="47"/>
      <c r="C55" s="47"/>
      <c r="D55" s="47"/>
      <c r="E55" s="47"/>
      <c r="F55" s="8"/>
      <c r="G55" s="7"/>
      <c r="H55" s="8"/>
      <c r="I55" s="8"/>
      <c r="J55" s="8"/>
      <c r="K55" s="663"/>
      <c r="L55" s="663"/>
      <c r="M55" s="663"/>
      <c r="N55" s="663"/>
      <c r="O55" s="663"/>
      <c r="P55" s="663"/>
      <c r="Q55" s="663"/>
      <c r="R55" s="663"/>
      <c r="S55" s="663"/>
      <c r="T55" s="663"/>
      <c r="U55" s="663"/>
      <c r="V55" s="663"/>
      <c r="W55" s="663"/>
      <c r="X55" s="663"/>
      <c r="Y55" s="663"/>
      <c r="Z55" s="663"/>
      <c r="AA55" s="663"/>
      <c r="AB55" s="663"/>
      <c r="AC55" s="663"/>
      <c r="AD55" s="663"/>
      <c r="AE55" s="663"/>
      <c r="AF55" s="663"/>
      <c r="AG55" s="663"/>
      <c r="AH55" s="663"/>
      <c r="AI55" s="663"/>
      <c r="AJ55" s="663"/>
    </row>
    <row r="56" spans="2:36" ht="15" customHeight="1" x14ac:dyDescent="0.2">
      <c r="B56" s="47"/>
      <c r="C56" s="47"/>
      <c r="D56" s="47"/>
      <c r="E56" s="47"/>
      <c r="F56" s="8"/>
      <c r="G56" s="7"/>
      <c r="H56" s="8"/>
      <c r="I56" s="8"/>
      <c r="J56" s="8"/>
      <c r="K56" s="663"/>
      <c r="L56" s="663"/>
      <c r="M56" s="663"/>
      <c r="N56" s="663"/>
      <c r="O56" s="663"/>
      <c r="P56" s="663"/>
      <c r="Q56" s="663"/>
      <c r="R56" s="663"/>
      <c r="S56" s="663"/>
      <c r="T56" s="663"/>
      <c r="U56" s="663"/>
      <c r="V56" s="663"/>
      <c r="W56" s="663"/>
      <c r="X56" s="663"/>
      <c r="Y56" s="663"/>
      <c r="Z56" s="663"/>
      <c r="AA56" s="663"/>
      <c r="AB56" s="663"/>
      <c r="AC56" s="663"/>
      <c r="AD56" s="663"/>
      <c r="AE56" s="663"/>
      <c r="AF56" s="663"/>
      <c r="AG56" s="663"/>
      <c r="AH56" s="663"/>
      <c r="AI56" s="663"/>
      <c r="AJ56" s="663"/>
    </row>
    <row r="57" spans="2:36" ht="15" customHeight="1" x14ac:dyDescent="0.2">
      <c r="B57" s="47"/>
      <c r="C57" s="47"/>
      <c r="D57" s="47"/>
      <c r="E57" s="47"/>
      <c r="F57" s="8"/>
      <c r="G57" s="7"/>
      <c r="H57" s="8"/>
      <c r="I57" s="8"/>
      <c r="J57" s="8"/>
      <c r="K57" s="663"/>
      <c r="L57" s="663"/>
      <c r="M57" s="663"/>
      <c r="N57" s="663"/>
      <c r="O57" s="663"/>
      <c r="P57" s="663"/>
      <c r="Q57" s="663"/>
      <c r="R57" s="663"/>
      <c r="S57" s="663"/>
      <c r="T57" s="663"/>
      <c r="U57" s="663"/>
      <c r="V57" s="663"/>
      <c r="W57" s="663"/>
      <c r="X57" s="663"/>
      <c r="Y57" s="663"/>
      <c r="Z57" s="663"/>
      <c r="AA57" s="663"/>
      <c r="AB57" s="663"/>
      <c r="AC57" s="663"/>
      <c r="AD57" s="663"/>
      <c r="AE57" s="663"/>
      <c r="AF57" s="663"/>
      <c r="AG57" s="663"/>
      <c r="AH57" s="663"/>
      <c r="AI57" s="663"/>
      <c r="AJ57" s="663"/>
    </row>
    <row r="58" spans="2:36" ht="15" customHeight="1" x14ac:dyDescent="0.2">
      <c r="B58" s="47"/>
      <c r="C58" s="47"/>
      <c r="D58" s="47"/>
      <c r="E58" s="47"/>
      <c r="F58" s="8"/>
      <c r="G58" s="7"/>
      <c r="H58" s="8"/>
      <c r="I58" s="8"/>
      <c r="J58" s="8"/>
      <c r="K58" s="663"/>
      <c r="L58" s="663"/>
      <c r="M58" s="663"/>
      <c r="N58" s="663"/>
      <c r="O58" s="663"/>
      <c r="P58" s="663"/>
      <c r="Q58" s="663"/>
      <c r="R58" s="663"/>
      <c r="S58" s="663"/>
      <c r="T58" s="663"/>
      <c r="U58" s="663"/>
      <c r="V58" s="663"/>
      <c r="W58" s="663"/>
      <c r="X58" s="663"/>
      <c r="Y58" s="663"/>
      <c r="Z58" s="663"/>
      <c r="AA58" s="663"/>
      <c r="AB58" s="663"/>
      <c r="AC58" s="663"/>
      <c r="AD58" s="663"/>
      <c r="AE58" s="663"/>
      <c r="AF58" s="663"/>
      <c r="AG58" s="663"/>
      <c r="AH58" s="663"/>
      <c r="AI58" s="663"/>
      <c r="AJ58" s="663"/>
    </row>
    <row r="59" spans="2:36" ht="15" customHeight="1" x14ac:dyDescent="0.2">
      <c r="B59" s="47"/>
      <c r="C59" s="47"/>
      <c r="D59" s="47"/>
      <c r="E59" s="47"/>
      <c r="F59" s="8"/>
      <c r="G59" s="7"/>
      <c r="H59" s="8"/>
      <c r="I59" s="8"/>
      <c r="J59" s="8"/>
      <c r="K59" s="663"/>
      <c r="L59" s="663"/>
      <c r="M59" s="663"/>
      <c r="N59" s="663"/>
      <c r="O59" s="663"/>
      <c r="P59" s="663"/>
      <c r="Q59" s="663"/>
      <c r="R59" s="663"/>
      <c r="S59" s="663"/>
      <c r="T59" s="663"/>
      <c r="U59" s="663"/>
      <c r="V59" s="663"/>
      <c r="W59" s="663"/>
      <c r="X59" s="663"/>
      <c r="Y59" s="663"/>
      <c r="Z59" s="663"/>
      <c r="AA59" s="663"/>
      <c r="AB59" s="663"/>
      <c r="AC59" s="663"/>
      <c r="AD59" s="663"/>
      <c r="AE59" s="663"/>
      <c r="AF59" s="663"/>
      <c r="AG59" s="663"/>
      <c r="AH59" s="663"/>
      <c r="AI59" s="663"/>
      <c r="AJ59" s="663"/>
    </row>
    <row r="60" spans="2:36" ht="15" customHeight="1" x14ac:dyDescent="0.2">
      <c r="B60" s="47"/>
      <c r="C60" s="47"/>
      <c r="D60" s="47"/>
      <c r="E60" s="47"/>
      <c r="F60" s="8"/>
      <c r="G60" s="7"/>
      <c r="H60" s="8"/>
      <c r="I60" s="8"/>
      <c r="J60" s="8"/>
      <c r="K60" s="663"/>
      <c r="L60" s="663"/>
      <c r="M60" s="663"/>
      <c r="N60" s="663"/>
      <c r="O60" s="663"/>
      <c r="P60" s="663"/>
      <c r="Q60" s="663"/>
      <c r="R60" s="663"/>
      <c r="S60" s="663"/>
      <c r="T60" s="663"/>
      <c r="U60" s="663"/>
      <c r="V60" s="663"/>
      <c r="W60" s="663"/>
      <c r="X60" s="663"/>
      <c r="Y60" s="663"/>
      <c r="Z60" s="663"/>
      <c r="AA60" s="663"/>
      <c r="AB60" s="663"/>
      <c r="AC60" s="663"/>
      <c r="AD60" s="663"/>
      <c r="AE60" s="663"/>
      <c r="AF60" s="663"/>
      <c r="AG60" s="663"/>
      <c r="AH60" s="663"/>
      <c r="AI60" s="663"/>
      <c r="AJ60" s="663"/>
    </row>
    <row r="61" spans="2:36" ht="15" customHeight="1" x14ac:dyDescent="0.2">
      <c r="B61" s="47"/>
      <c r="C61" s="47"/>
      <c r="D61" s="47"/>
      <c r="E61" s="47"/>
      <c r="F61" s="8"/>
      <c r="G61" s="7"/>
      <c r="H61" s="8"/>
      <c r="I61" s="8"/>
      <c r="J61" s="8"/>
      <c r="K61" s="663"/>
      <c r="L61" s="663"/>
      <c r="M61" s="663"/>
      <c r="N61" s="663"/>
      <c r="O61" s="663"/>
      <c r="P61" s="663"/>
      <c r="Q61" s="663"/>
      <c r="R61" s="663"/>
      <c r="S61" s="663"/>
      <c r="T61" s="663"/>
      <c r="U61" s="663"/>
      <c r="V61" s="663"/>
      <c r="W61" s="663"/>
      <c r="X61" s="663"/>
      <c r="Y61" s="663"/>
      <c r="Z61" s="663"/>
      <c r="AA61" s="663"/>
      <c r="AB61" s="663"/>
      <c r="AC61" s="663"/>
      <c r="AD61" s="663"/>
      <c r="AE61" s="663"/>
      <c r="AF61" s="663"/>
      <c r="AG61" s="663"/>
      <c r="AH61" s="663"/>
      <c r="AI61" s="663"/>
      <c r="AJ61" s="663"/>
    </row>
    <row r="62" spans="2:36" ht="15" customHeight="1" x14ac:dyDescent="0.2">
      <c r="B62" s="47"/>
      <c r="C62" s="47"/>
      <c r="D62" s="47"/>
      <c r="E62" s="47"/>
      <c r="F62" s="8"/>
      <c r="G62" s="7"/>
      <c r="H62" s="8"/>
      <c r="I62" s="8"/>
      <c r="J62" s="8"/>
      <c r="K62" s="663"/>
      <c r="L62" s="663"/>
      <c r="M62" s="663"/>
      <c r="N62" s="663"/>
      <c r="O62" s="663"/>
      <c r="P62" s="663"/>
      <c r="Q62" s="663"/>
      <c r="R62" s="663"/>
      <c r="S62" s="663"/>
      <c r="T62" s="663"/>
      <c r="U62" s="663"/>
      <c r="V62" s="663"/>
      <c r="W62" s="663"/>
      <c r="X62" s="663"/>
      <c r="Y62" s="663"/>
      <c r="Z62" s="663"/>
      <c r="AA62" s="663"/>
      <c r="AB62" s="663"/>
      <c r="AC62" s="663"/>
      <c r="AD62" s="663"/>
      <c r="AE62" s="663"/>
      <c r="AF62" s="663"/>
      <c r="AG62" s="663"/>
      <c r="AH62" s="663"/>
      <c r="AI62" s="663"/>
      <c r="AJ62" s="663"/>
    </row>
    <row r="63" spans="2:36" ht="15" customHeight="1" x14ac:dyDescent="0.2">
      <c r="B63" s="47"/>
      <c r="C63" s="47"/>
      <c r="D63" s="47"/>
      <c r="E63" s="47"/>
      <c r="F63" s="8"/>
      <c r="G63" s="7"/>
      <c r="H63" s="8"/>
      <c r="I63" s="8"/>
      <c r="J63" s="8"/>
      <c r="K63" s="663"/>
      <c r="L63" s="663"/>
      <c r="M63" s="663"/>
      <c r="N63" s="663"/>
      <c r="O63" s="663"/>
      <c r="P63" s="663"/>
      <c r="Q63" s="663"/>
      <c r="R63" s="663"/>
      <c r="S63" s="663"/>
      <c r="T63" s="663"/>
      <c r="U63" s="663"/>
      <c r="V63" s="663"/>
      <c r="W63" s="663"/>
      <c r="X63" s="663"/>
      <c r="Y63" s="663"/>
      <c r="Z63" s="663"/>
      <c r="AA63" s="663"/>
      <c r="AB63" s="663"/>
      <c r="AC63" s="663"/>
      <c r="AD63" s="663"/>
      <c r="AE63" s="663"/>
      <c r="AF63" s="663"/>
      <c r="AG63" s="663"/>
      <c r="AH63" s="663"/>
      <c r="AI63" s="663"/>
      <c r="AJ63" s="663"/>
    </row>
    <row r="64" spans="2:36" ht="15" customHeight="1" x14ac:dyDescent="0.2">
      <c r="B64" s="47"/>
      <c r="C64" s="47"/>
      <c r="D64" s="47"/>
      <c r="E64" s="47"/>
      <c r="F64" s="8"/>
      <c r="G64" s="7"/>
      <c r="H64" s="8"/>
      <c r="I64" s="8"/>
      <c r="J64" s="8"/>
      <c r="K64" s="663"/>
      <c r="L64" s="663"/>
      <c r="M64" s="663"/>
      <c r="N64" s="663"/>
      <c r="O64" s="663"/>
      <c r="P64" s="663"/>
      <c r="Q64" s="663"/>
      <c r="R64" s="663"/>
      <c r="S64" s="663"/>
      <c r="T64" s="663"/>
      <c r="U64" s="663"/>
      <c r="V64" s="663"/>
      <c r="W64" s="663"/>
      <c r="X64" s="663"/>
      <c r="Y64" s="663"/>
      <c r="Z64" s="663"/>
      <c r="AA64" s="663"/>
      <c r="AB64" s="663"/>
      <c r="AC64" s="663"/>
      <c r="AD64" s="663"/>
      <c r="AE64" s="663"/>
      <c r="AF64" s="663"/>
      <c r="AG64" s="663"/>
      <c r="AH64" s="663"/>
      <c r="AI64" s="663"/>
      <c r="AJ64" s="663"/>
    </row>
    <row r="65" spans="2:36" ht="15" customHeight="1" x14ac:dyDescent="0.2">
      <c r="B65" s="47"/>
      <c r="C65" s="47"/>
      <c r="D65" s="47"/>
      <c r="E65" s="47"/>
      <c r="F65" s="8"/>
      <c r="G65" s="7"/>
      <c r="H65" s="8"/>
      <c r="I65" s="8"/>
      <c r="J65" s="8"/>
      <c r="K65" s="663"/>
      <c r="L65" s="663"/>
      <c r="M65" s="663"/>
      <c r="N65" s="663"/>
      <c r="O65" s="663"/>
      <c r="P65" s="663"/>
      <c r="Q65" s="663"/>
      <c r="R65" s="663"/>
      <c r="S65" s="663"/>
      <c r="T65" s="663"/>
      <c r="U65" s="663"/>
      <c r="V65" s="663"/>
      <c r="W65" s="663"/>
      <c r="X65" s="663"/>
      <c r="Y65" s="663"/>
      <c r="Z65" s="663"/>
      <c r="AA65" s="663"/>
      <c r="AB65" s="663"/>
      <c r="AC65" s="663"/>
      <c r="AD65" s="663"/>
      <c r="AE65" s="663"/>
      <c r="AF65" s="663"/>
      <c r="AG65" s="663"/>
      <c r="AH65" s="663"/>
      <c r="AI65" s="663"/>
      <c r="AJ65" s="663"/>
    </row>
    <row r="66" spans="2:36" ht="15" customHeight="1" x14ac:dyDescent="0.2">
      <c r="B66" s="47"/>
      <c r="C66" s="47"/>
      <c r="D66" s="47"/>
      <c r="E66" s="47"/>
      <c r="F66" s="8"/>
      <c r="G66" s="7"/>
      <c r="H66" s="8"/>
      <c r="I66" s="8"/>
      <c r="J66" s="8"/>
      <c r="K66" s="663"/>
      <c r="L66" s="663"/>
      <c r="M66" s="663"/>
      <c r="N66" s="663"/>
      <c r="O66" s="663"/>
      <c r="P66" s="663"/>
      <c r="Q66" s="663"/>
      <c r="R66" s="663"/>
      <c r="S66" s="663"/>
      <c r="T66" s="663"/>
      <c r="U66" s="663"/>
      <c r="V66" s="663"/>
      <c r="W66" s="663"/>
      <c r="X66" s="663"/>
      <c r="Y66" s="663"/>
      <c r="Z66" s="663"/>
      <c r="AA66" s="663"/>
      <c r="AB66" s="663"/>
      <c r="AC66" s="663"/>
      <c r="AD66" s="663"/>
      <c r="AE66" s="663"/>
      <c r="AF66" s="663"/>
      <c r="AG66" s="663"/>
      <c r="AH66" s="663"/>
      <c r="AI66" s="663"/>
      <c r="AJ66" s="663"/>
    </row>
    <row r="67" spans="2:36" ht="15" customHeight="1" x14ac:dyDescent="0.2">
      <c r="B67" s="47"/>
      <c r="C67" s="47"/>
      <c r="D67" s="47"/>
      <c r="E67" s="47"/>
      <c r="F67" s="8"/>
      <c r="G67" s="8"/>
      <c r="H67" s="8"/>
      <c r="I67" s="8"/>
      <c r="J67" s="8"/>
      <c r="K67" s="8"/>
      <c r="T67" s="93"/>
      <c r="U67" s="8"/>
      <c r="V67" s="8"/>
      <c r="AC67" s="8"/>
      <c r="AD67" s="8"/>
      <c r="AE67" s="8"/>
      <c r="AF67" s="87"/>
      <c r="AG67" s="9"/>
      <c r="AH67" s="9"/>
      <c r="AI67" s="9"/>
      <c r="AJ67" s="97"/>
    </row>
    <row r="68" spans="2:36" ht="15" customHeight="1" x14ac:dyDescent="0.2">
      <c r="B68" s="47"/>
      <c r="C68" s="47"/>
      <c r="D68" s="47"/>
      <c r="E68" s="47"/>
      <c r="F68" s="8"/>
      <c r="G68" s="8"/>
      <c r="H68" s="8"/>
      <c r="I68" s="8"/>
      <c r="J68" s="8"/>
      <c r="K68" s="8"/>
      <c r="L68" s="10"/>
      <c r="M68" s="8"/>
      <c r="N68" s="8"/>
      <c r="O68" s="8"/>
      <c r="P68" s="8"/>
      <c r="Q68" s="8"/>
      <c r="R68" s="9"/>
      <c r="S68" s="10"/>
      <c r="T68" s="8"/>
      <c r="U68" s="8"/>
      <c r="V68" s="8"/>
      <c r="W68" s="8"/>
      <c r="X68" s="8"/>
      <c r="Y68" s="8"/>
      <c r="Z68" s="10"/>
      <c r="AA68" s="8"/>
      <c r="AB68" s="8"/>
      <c r="AC68" s="8"/>
      <c r="AD68" s="8"/>
      <c r="AE68" s="8"/>
      <c r="AF68" s="8"/>
      <c r="AG68" s="8"/>
      <c r="AH68" s="8"/>
      <c r="AI68" s="8"/>
      <c r="AJ68" s="8"/>
    </row>
    <row r="69" spans="2:36" ht="15" customHeight="1" x14ac:dyDescent="0.2">
      <c r="B69" s="47"/>
      <c r="C69" s="47"/>
      <c r="D69" s="47"/>
      <c r="E69" s="47"/>
      <c r="F69" s="8"/>
      <c r="G69" s="8"/>
      <c r="H69" s="8"/>
      <c r="I69" s="8"/>
      <c r="J69" s="8"/>
      <c r="K69" s="8"/>
      <c r="L69" s="10"/>
      <c r="M69" s="8"/>
      <c r="N69" s="8"/>
      <c r="O69" s="8"/>
      <c r="P69" s="8"/>
      <c r="Q69" s="8"/>
      <c r="R69" s="9"/>
      <c r="S69" s="10"/>
      <c r="T69" s="8"/>
      <c r="U69" s="8"/>
      <c r="V69" s="8"/>
      <c r="W69" s="8"/>
      <c r="X69" s="8"/>
      <c r="Y69" s="8"/>
      <c r="Z69" s="10"/>
      <c r="AA69" s="8"/>
      <c r="AB69" s="8"/>
      <c r="AC69" s="8"/>
      <c r="AD69" s="8"/>
      <c r="AE69" s="8"/>
      <c r="AF69" s="8"/>
      <c r="AG69" s="8"/>
      <c r="AH69" s="8"/>
      <c r="AI69" s="8"/>
      <c r="AJ69" s="8"/>
    </row>
    <row r="70" spans="2:36" ht="15" hidden="1" customHeight="1" x14ac:dyDescent="0.2">
      <c r="B70" s="47"/>
      <c r="C70" s="47"/>
      <c r="D70" s="47"/>
      <c r="E70" s="47"/>
      <c r="F70" s="8"/>
      <c r="G70" s="30"/>
      <c r="H70" s="14"/>
      <c r="I70" s="14"/>
      <c r="J70" s="14"/>
      <c r="K70" s="40">
        <v>0</v>
      </c>
      <c r="L70" s="40">
        <v>1</v>
      </c>
      <c r="M70" s="40">
        <v>2</v>
      </c>
      <c r="N70" s="40">
        <v>3</v>
      </c>
      <c r="O70" s="40">
        <v>4</v>
      </c>
      <c r="P70" s="40">
        <v>5</v>
      </c>
      <c r="Q70" s="40">
        <v>6</v>
      </c>
      <c r="R70" s="40">
        <v>7</v>
      </c>
      <c r="S70" s="40">
        <v>8</v>
      </c>
      <c r="T70" s="40">
        <v>9</v>
      </c>
      <c r="U70" s="40">
        <v>10</v>
      </c>
      <c r="V70" s="40">
        <v>11</v>
      </c>
      <c r="W70" s="40">
        <v>12</v>
      </c>
      <c r="X70" s="40">
        <v>13</v>
      </c>
      <c r="Y70" s="40">
        <v>14</v>
      </c>
      <c r="Z70" s="40">
        <v>15</v>
      </c>
      <c r="AA70" s="40">
        <v>16</v>
      </c>
      <c r="AB70" s="40">
        <v>17</v>
      </c>
      <c r="AC70" s="40">
        <v>18</v>
      </c>
      <c r="AD70" s="40">
        <v>19</v>
      </c>
      <c r="AE70" s="40">
        <v>20</v>
      </c>
      <c r="AF70" s="40">
        <v>21</v>
      </c>
      <c r="AG70" s="40">
        <v>22</v>
      </c>
      <c r="AH70" s="40">
        <v>23</v>
      </c>
      <c r="AI70" s="40">
        <v>24</v>
      </c>
      <c r="AJ70" s="40">
        <v>25</v>
      </c>
    </row>
    <row r="71" spans="2:36" ht="15" hidden="1" customHeight="1" x14ac:dyDescent="0.2">
      <c r="B71" s="47"/>
      <c r="C71" s="47"/>
      <c r="D71" s="47"/>
      <c r="E71" s="47"/>
      <c r="F71" s="8"/>
      <c r="G71" s="14" t="s">
        <v>183</v>
      </c>
      <c r="H71" s="14"/>
      <c r="I71" s="14"/>
      <c r="J71" s="14">
        <v>0</v>
      </c>
      <c r="K71" s="41">
        <v>1</v>
      </c>
      <c r="L71" s="41">
        <f>K71+1</f>
        <v>2</v>
      </c>
      <c r="M71" s="41">
        <f t="shared" ref="M71:AJ71" si="0">L71+1</f>
        <v>3</v>
      </c>
      <c r="N71" s="41">
        <f t="shared" si="0"/>
        <v>4</v>
      </c>
      <c r="O71" s="41">
        <f t="shared" si="0"/>
        <v>5</v>
      </c>
      <c r="P71" s="41">
        <f t="shared" si="0"/>
        <v>6</v>
      </c>
      <c r="Q71" s="41">
        <f t="shared" si="0"/>
        <v>7</v>
      </c>
      <c r="R71" s="41">
        <f t="shared" si="0"/>
        <v>8</v>
      </c>
      <c r="S71" s="41">
        <f t="shared" si="0"/>
        <v>9</v>
      </c>
      <c r="T71" s="41">
        <f t="shared" si="0"/>
        <v>10</v>
      </c>
      <c r="U71" s="41">
        <f t="shared" si="0"/>
        <v>11</v>
      </c>
      <c r="V71" s="41">
        <f t="shared" si="0"/>
        <v>12</v>
      </c>
      <c r="W71" s="41">
        <f t="shared" si="0"/>
        <v>13</v>
      </c>
      <c r="X71" s="41">
        <f t="shared" si="0"/>
        <v>14</v>
      </c>
      <c r="Y71" s="41">
        <f t="shared" si="0"/>
        <v>15</v>
      </c>
      <c r="Z71" s="41">
        <f t="shared" si="0"/>
        <v>16</v>
      </c>
      <c r="AA71" s="41">
        <f t="shared" si="0"/>
        <v>17</v>
      </c>
      <c r="AB71" s="41">
        <f t="shared" si="0"/>
        <v>18</v>
      </c>
      <c r="AC71" s="41">
        <f t="shared" si="0"/>
        <v>19</v>
      </c>
      <c r="AD71" s="41">
        <f t="shared" si="0"/>
        <v>20</v>
      </c>
      <c r="AE71" s="41">
        <f t="shared" si="0"/>
        <v>21</v>
      </c>
      <c r="AF71" s="41">
        <f t="shared" si="0"/>
        <v>22</v>
      </c>
      <c r="AG71" s="41">
        <f t="shared" si="0"/>
        <v>23</v>
      </c>
      <c r="AH71" s="41">
        <f t="shared" si="0"/>
        <v>24</v>
      </c>
      <c r="AI71" s="41">
        <f t="shared" si="0"/>
        <v>25</v>
      </c>
      <c r="AJ71" s="41">
        <f t="shared" si="0"/>
        <v>26</v>
      </c>
    </row>
    <row r="72" spans="2:36" ht="15" hidden="1" customHeight="1" x14ac:dyDescent="0.2">
      <c r="B72" s="47"/>
      <c r="C72" s="47"/>
      <c r="D72" s="47"/>
      <c r="E72" s="47"/>
      <c r="F72" s="8"/>
      <c r="G72" s="14" t="s">
        <v>548</v>
      </c>
      <c r="H72" s="69"/>
      <c r="I72" s="69"/>
      <c r="J72" s="196" t="e">
        <f>INDEX(K$70:AJ$70,MATCH(TRUE,INDEX(K72:AJ72&lt;&gt;0,),0))</f>
        <v>#N/A</v>
      </c>
      <c r="K72" s="69">
        <f>IF(K70&lt;$Q$19,0,IF(K136&lt;K112,1,0))</f>
        <v>0</v>
      </c>
      <c r="L72" s="69">
        <f t="shared" ref="L72:AJ72" si="1">IF(L70&lt;$Q$19,0,IF(L136&lt;L112,1,0))</f>
        <v>0</v>
      </c>
      <c r="M72" s="69">
        <f t="shared" si="1"/>
        <v>0</v>
      </c>
      <c r="N72" s="69">
        <f t="shared" si="1"/>
        <v>0</v>
      </c>
      <c r="O72" s="69">
        <f t="shared" si="1"/>
        <v>0</v>
      </c>
      <c r="P72" s="69">
        <f t="shared" si="1"/>
        <v>0</v>
      </c>
      <c r="Q72" s="69">
        <f t="shared" si="1"/>
        <v>0</v>
      </c>
      <c r="R72" s="69">
        <f t="shared" si="1"/>
        <v>0</v>
      </c>
      <c r="S72" s="69">
        <f t="shared" si="1"/>
        <v>0</v>
      </c>
      <c r="T72" s="69">
        <f t="shared" si="1"/>
        <v>0</v>
      </c>
      <c r="U72" s="69">
        <f t="shared" si="1"/>
        <v>0</v>
      </c>
      <c r="V72" s="69">
        <f t="shared" si="1"/>
        <v>0</v>
      </c>
      <c r="W72" s="69">
        <f t="shared" si="1"/>
        <v>0</v>
      </c>
      <c r="X72" s="69">
        <f t="shared" si="1"/>
        <v>0</v>
      </c>
      <c r="Y72" s="69">
        <f t="shared" si="1"/>
        <v>0</v>
      </c>
      <c r="Z72" s="69">
        <f t="shared" si="1"/>
        <v>0</v>
      </c>
      <c r="AA72" s="69">
        <f t="shared" si="1"/>
        <v>0</v>
      </c>
      <c r="AB72" s="69">
        <f t="shared" si="1"/>
        <v>0</v>
      </c>
      <c r="AC72" s="69">
        <f t="shared" si="1"/>
        <v>0</v>
      </c>
      <c r="AD72" s="69">
        <f t="shared" si="1"/>
        <v>0</v>
      </c>
      <c r="AE72" s="69">
        <f t="shared" si="1"/>
        <v>0</v>
      </c>
      <c r="AF72" s="69">
        <f t="shared" si="1"/>
        <v>0</v>
      </c>
      <c r="AG72" s="69">
        <f t="shared" si="1"/>
        <v>0</v>
      </c>
      <c r="AH72" s="69">
        <f t="shared" si="1"/>
        <v>0</v>
      </c>
      <c r="AI72" s="69">
        <f t="shared" si="1"/>
        <v>0</v>
      </c>
      <c r="AJ72" s="69">
        <f t="shared" si="1"/>
        <v>0</v>
      </c>
    </row>
    <row r="73" spans="2:36" ht="15" hidden="1" customHeight="1" x14ac:dyDescent="0.2">
      <c r="B73" s="47"/>
      <c r="C73" s="47"/>
      <c r="D73" s="47"/>
      <c r="E73" s="47"/>
      <c r="F73" s="8"/>
      <c r="G73" s="445" t="s">
        <v>592</v>
      </c>
      <c r="H73" s="741"/>
      <c r="I73" s="741"/>
      <c r="J73" s="742" t="e">
        <f>INDEX(K$70:AJ$70,MATCH(TRUE,INDEX(K73:AJ73&lt;&gt;0,),0))</f>
        <v>#N/A</v>
      </c>
      <c r="K73" s="741">
        <f>IF(K71&lt;$Q$37,0,IF(K160&lt;K112,1,0))</f>
        <v>0</v>
      </c>
      <c r="L73" s="741">
        <f t="shared" ref="L73:AJ73" si="2">IF(L71&lt;$Q$37,0,IF(L160&lt;L112,1,0))</f>
        <v>0</v>
      </c>
      <c r="M73" s="741">
        <f t="shared" si="2"/>
        <v>0</v>
      </c>
      <c r="N73" s="741">
        <f t="shared" si="2"/>
        <v>0</v>
      </c>
      <c r="O73" s="741">
        <f t="shared" si="2"/>
        <v>0</v>
      </c>
      <c r="P73" s="741">
        <f t="shared" si="2"/>
        <v>0</v>
      </c>
      <c r="Q73" s="741">
        <f t="shared" si="2"/>
        <v>0</v>
      </c>
      <c r="R73" s="741">
        <f t="shared" si="2"/>
        <v>0</v>
      </c>
      <c r="S73" s="741">
        <f t="shared" si="2"/>
        <v>0</v>
      </c>
      <c r="T73" s="741">
        <f t="shared" si="2"/>
        <v>0</v>
      </c>
      <c r="U73" s="741">
        <f t="shared" si="2"/>
        <v>0</v>
      </c>
      <c r="V73" s="741">
        <f t="shared" si="2"/>
        <v>0</v>
      </c>
      <c r="W73" s="741">
        <f t="shared" si="2"/>
        <v>0</v>
      </c>
      <c r="X73" s="741">
        <f t="shared" si="2"/>
        <v>0</v>
      </c>
      <c r="Y73" s="741">
        <f t="shared" si="2"/>
        <v>0</v>
      </c>
      <c r="Z73" s="741">
        <f t="shared" si="2"/>
        <v>0</v>
      </c>
      <c r="AA73" s="741">
        <f t="shared" si="2"/>
        <v>0</v>
      </c>
      <c r="AB73" s="741">
        <f t="shared" si="2"/>
        <v>0</v>
      </c>
      <c r="AC73" s="741">
        <f t="shared" si="2"/>
        <v>0</v>
      </c>
      <c r="AD73" s="741">
        <f t="shared" si="2"/>
        <v>0</v>
      </c>
      <c r="AE73" s="741">
        <f t="shared" si="2"/>
        <v>0</v>
      </c>
      <c r="AF73" s="741">
        <f t="shared" si="2"/>
        <v>0</v>
      </c>
      <c r="AG73" s="741">
        <f t="shared" si="2"/>
        <v>0</v>
      </c>
      <c r="AH73" s="741">
        <f t="shared" si="2"/>
        <v>0</v>
      </c>
      <c r="AI73" s="741">
        <f t="shared" si="2"/>
        <v>0</v>
      </c>
      <c r="AJ73" s="741">
        <f t="shared" si="2"/>
        <v>0</v>
      </c>
    </row>
    <row r="74" spans="2:36" ht="15" hidden="1" customHeight="1" x14ac:dyDescent="0.2">
      <c r="B74" s="47"/>
      <c r="C74" s="47"/>
      <c r="D74" s="47"/>
      <c r="E74" s="47"/>
      <c r="F74" s="8"/>
      <c r="G74" s="14"/>
      <c r="H74" s="69"/>
      <c r="I74" s="69"/>
      <c r="J74" s="196"/>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row>
    <row r="75" spans="2:36" ht="15" hidden="1" customHeight="1" x14ac:dyDescent="0.2">
      <c r="B75" s="47"/>
      <c r="C75" s="47"/>
      <c r="D75" s="47"/>
      <c r="E75" s="47"/>
      <c r="F75" s="8"/>
      <c r="G75" s="14" t="s">
        <v>309</v>
      </c>
      <c r="H75" s="69"/>
      <c r="I75" s="69"/>
      <c r="J75" s="196"/>
      <c r="K75" s="394">
        <f>Data!$P$170</f>
        <v>0</v>
      </c>
      <c r="L75" s="103">
        <f>K75*(1+(Data!$P$196/100))</f>
        <v>0</v>
      </c>
      <c r="M75" s="103">
        <f>L75*(1+(Data!$P$196/100))</f>
        <v>0</v>
      </c>
      <c r="N75" s="103">
        <f>M75*(1+(Data!$P$196/100))</f>
        <v>0</v>
      </c>
      <c r="O75" s="103">
        <f>N75*(1+(Data!$P$196/100))</f>
        <v>0</v>
      </c>
      <c r="P75" s="103">
        <f>O75*(1+(Data!$P$196/100))</f>
        <v>0</v>
      </c>
      <c r="Q75" s="103">
        <f>P75*(1+(Data!$P$196/100))</f>
        <v>0</v>
      </c>
      <c r="R75" s="103">
        <f>Q75*(1+(Data!$P$196/100))</f>
        <v>0</v>
      </c>
      <c r="S75" s="103">
        <f>R75*(1+(Data!$P$196/100))</f>
        <v>0</v>
      </c>
      <c r="T75" s="103">
        <f>S75*(1+(Data!$P$196/100))</f>
        <v>0</v>
      </c>
      <c r="U75" s="103">
        <f>T75*(1+(Data!$P$196/100))</f>
        <v>0</v>
      </c>
      <c r="V75" s="103">
        <f>U75*(1+(Data!$P$196/100))</f>
        <v>0</v>
      </c>
      <c r="W75" s="103">
        <f>V75*(1+(Data!$P$196/100))</f>
        <v>0</v>
      </c>
      <c r="X75" s="103">
        <f>W75*(1+(Data!$P$196/100))</f>
        <v>0</v>
      </c>
      <c r="Y75" s="103">
        <f>X75*(1+(Data!$P$196/100))</f>
        <v>0</v>
      </c>
      <c r="Z75" s="103">
        <f>Y75*(1+(Data!$P$196/100))</f>
        <v>0</v>
      </c>
      <c r="AA75" s="103">
        <f>Z75*(1+(Data!$P$196/100))</f>
        <v>0</v>
      </c>
      <c r="AB75" s="103">
        <f>AA75*(1+(Data!$P$196/100))</f>
        <v>0</v>
      </c>
      <c r="AC75" s="103">
        <f>AB75*(1+(Data!$P$196/100))</f>
        <v>0</v>
      </c>
      <c r="AD75" s="103">
        <f>AC75*(1+(Data!$P$196/100))</f>
        <v>0</v>
      </c>
      <c r="AE75" s="103">
        <f>AD75*(1+(Data!$P$196/100))</f>
        <v>0</v>
      </c>
      <c r="AF75" s="103">
        <f>AE75*(1+(Data!$P$196/100))</f>
        <v>0</v>
      </c>
      <c r="AG75" s="103">
        <f>AF75*(1+(Data!$P$196/100))</f>
        <v>0</v>
      </c>
      <c r="AH75" s="103">
        <f>AG75*(1+(Data!$P$196/100))</f>
        <v>0</v>
      </c>
      <c r="AI75" s="103">
        <f>AH75*(1+(Data!$P$196/100))</f>
        <v>0</v>
      </c>
      <c r="AJ75" s="103">
        <f>AI75*(1+(Data!$P$196/100))</f>
        <v>0</v>
      </c>
    </row>
    <row r="76" spans="2:36" ht="15" hidden="1" customHeight="1" x14ac:dyDescent="0.2">
      <c r="B76" s="47"/>
      <c r="C76" s="47"/>
      <c r="D76" s="47"/>
      <c r="E76" s="47"/>
      <c r="F76" s="8"/>
      <c r="G76" s="14" t="s">
        <v>284</v>
      </c>
      <c r="H76" s="14"/>
      <c r="I76" s="14"/>
      <c r="J76" s="14"/>
      <c r="K76" s="103">
        <f>Data!$P$171</f>
        <v>0.184</v>
      </c>
      <c r="L76" s="103">
        <f>K76*(1+(Data!$P$197/100))</f>
        <v>0.184</v>
      </c>
      <c r="M76" s="103">
        <f>L76*(1+(Data!$P$197/100))</f>
        <v>0.184</v>
      </c>
      <c r="N76" s="103">
        <f>M76*(1+(Data!$P$197/100))</f>
        <v>0.184</v>
      </c>
      <c r="O76" s="103">
        <f>N76*(1+(Data!$P$197/100))</f>
        <v>0.184</v>
      </c>
      <c r="P76" s="103">
        <f>O76*(1+(Data!$P$197/100))</f>
        <v>0.184</v>
      </c>
      <c r="Q76" s="103">
        <f>P76*(1+(Data!$P$197/100))</f>
        <v>0.184</v>
      </c>
      <c r="R76" s="103">
        <f>Q76*(1+(Data!$P$197/100))</f>
        <v>0.184</v>
      </c>
      <c r="S76" s="103">
        <f>R76*(1+(Data!$P$197/100))</f>
        <v>0.184</v>
      </c>
      <c r="T76" s="103">
        <f>S76*(1+(Data!$P$197/100))</f>
        <v>0.184</v>
      </c>
      <c r="U76" s="103">
        <f>T76*(1+(Data!$P$197/100))</f>
        <v>0.184</v>
      </c>
      <c r="V76" s="103">
        <f>U76*(1+(Data!$P$197/100))</f>
        <v>0.184</v>
      </c>
      <c r="W76" s="103">
        <f>V76*(1+(Data!$P$197/100))</f>
        <v>0.184</v>
      </c>
      <c r="X76" s="103">
        <f>W76*(1+(Data!$P$197/100))</f>
        <v>0.184</v>
      </c>
      <c r="Y76" s="103">
        <f>X76*(1+(Data!$P$197/100))</f>
        <v>0.184</v>
      </c>
      <c r="Z76" s="103">
        <f>Y76*(1+(Data!$P$197/100))</f>
        <v>0.184</v>
      </c>
      <c r="AA76" s="103">
        <f>Z76*(1+(Data!$P$197/100))</f>
        <v>0.184</v>
      </c>
      <c r="AB76" s="103">
        <f>AA76*(1+(Data!$P$197/100))</f>
        <v>0.184</v>
      </c>
      <c r="AC76" s="103">
        <f>AB76*(1+(Data!$P$197/100))</f>
        <v>0.184</v>
      </c>
      <c r="AD76" s="103">
        <f>AC76*(1+(Data!$P$197/100))</f>
        <v>0.184</v>
      </c>
      <c r="AE76" s="103">
        <f>AD76*(1+(Data!$P$197/100))</f>
        <v>0.184</v>
      </c>
      <c r="AF76" s="103">
        <f>AE76*(1+(Data!$P$197/100))</f>
        <v>0.184</v>
      </c>
      <c r="AG76" s="103">
        <f>AF76*(1+(Data!$P$197/100))</f>
        <v>0.184</v>
      </c>
      <c r="AH76" s="103">
        <f>AG76*(1+(Data!$P$197/100))</f>
        <v>0.184</v>
      </c>
      <c r="AI76" s="103">
        <f>AH76*(1+(Data!$P$197/100))</f>
        <v>0.184</v>
      </c>
      <c r="AJ76" s="103">
        <f>AI76*(1+(Data!$P$197/100))</f>
        <v>0.184</v>
      </c>
    </row>
    <row r="77" spans="2:36" ht="15" hidden="1" customHeight="1" x14ac:dyDescent="0.2">
      <c r="B77" s="47"/>
      <c r="C77" s="47"/>
      <c r="D77" s="47"/>
      <c r="E77" s="47"/>
      <c r="F77" s="8"/>
      <c r="G77" s="14" t="s">
        <v>259</v>
      </c>
      <c r="H77" s="14"/>
      <c r="I77" s="14"/>
      <c r="J77" s="14"/>
      <c r="K77" s="103">
        <f>Data!$P$172</f>
        <v>0.17072999999999999</v>
      </c>
      <c r="L77" s="103">
        <f>K77*(1+(Data!$P$198/100))</f>
        <v>0.17072999999999999</v>
      </c>
      <c r="M77" s="103">
        <f>L77*(1+(Data!$P$198/100))</f>
        <v>0.17072999999999999</v>
      </c>
      <c r="N77" s="103">
        <f>M77*(1+(Data!$P$198/100))</f>
        <v>0.17072999999999999</v>
      </c>
      <c r="O77" s="103">
        <f>N77*(1+(Data!$P$198/100))</f>
        <v>0.17072999999999999</v>
      </c>
      <c r="P77" s="103">
        <f>O77*(1+(Data!$P$198/100))</f>
        <v>0.17072999999999999</v>
      </c>
      <c r="Q77" s="103">
        <f>P77*(1+(Data!$P$198/100))</f>
        <v>0.17072999999999999</v>
      </c>
      <c r="R77" s="103">
        <f>Q77*(1+(Data!$P$198/100))</f>
        <v>0.17072999999999999</v>
      </c>
      <c r="S77" s="103">
        <f>R77*(1+(Data!$P$198/100))</f>
        <v>0.17072999999999999</v>
      </c>
      <c r="T77" s="103">
        <f>S77*(1+(Data!$P$198/100))</f>
        <v>0.17072999999999999</v>
      </c>
      <c r="U77" s="103">
        <f>T77*(1+(Data!$P$198/100))</f>
        <v>0.17072999999999999</v>
      </c>
      <c r="V77" s="103">
        <f>U77*(1+(Data!$P$198/100))</f>
        <v>0.17072999999999999</v>
      </c>
      <c r="W77" s="103">
        <f>V77*(1+(Data!$P$198/100))</f>
        <v>0.17072999999999999</v>
      </c>
      <c r="X77" s="103">
        <f>W77*(1+(Data!$P$198/100))</f>
        <v>0.17072999999999999</v>
      </c>
      <c r="Y77" s="103">
        <f>X77*(1+(Data!$P$198/100))</f>
        <v>0.17072999999999999</v>
      </c>
      <c r="Z77" s="103">
        <f>Y77*(1+(Data!$P$198/100))</f>
        <v>0.17072999999999999</v>
      </c>
      <c r="AA77" s="103">
        <f>Z77*(1+(Data!$P$198/100))</f>
        <v>0.17072999999999999</v>
      </c>
      <c r="AB77" s="103">
        <f>AA77*(1+(Data!$P$198/100))</f>
        <v>0.17072999999999999</v>
      </c>
      <c r="AC77" s="103">
        <f>AB77*(1+(Data!$P$198/100))</f>
        <v>0.17072999999999999</v>
      </c>
      <c r="AD77" s="103">
        <f>AC77*(1+(Data!$P$198/100))</f>
        <v>0.17072999999999999</v>
      </c>
      <c r="AE77" s="103">
        <f>AD77*(1+(Data!$P$198/100))</f>
        <v>0.17072999999999999</v>
      </c>
      <c r="AF77" s="103">
        <f>AE77*(1+(Data!$P$198/100))</f>
        <v>0.17072999999999999</v>
      </c>
      <c r="AG77" s="103">
        <f>AF77*(1+(Data!$P$198/100))</f>
        <v>0.17072999999999999</v>
      </c>
      <c r="AH77" s="103">
        <f>AG77*(1+(Data!$P$198/100))</f>
        <v>0.17072999999999999</v>
      </c>
      <c r="AI77" s="103">
        <f>AH77*(1+(Data!$P$198/100))</f>
        <v>0.17072999999999999</v>
      </c>
      <c r="AJ77" s="103">
        <f>AI77*(1+(Data!$P$198/100))</f>
        <v>0.17072999999999999</v>
      </c>
    </row>
    <row r="78" spans="2:36" ht="15" hidden="1" customHeight="1" x14ac:dyDescent="0.2">
      <c r="B78" s="47"/>
      <c r="C78" s="47"/>
      <c r="D78" s="47"/>
      <c r="E78" s="47"/>
      <c r="F78" s="8"/>
      <c r="G78" s="14" t="s">
        <v>320</v>
      </c>
      <c r="H78" s="14"/>
      <c r="I78" s="14"/>
      <c r="J78" s="14"/>
      <c r="K78" s="103">
        <f>Data!$P$173</f>
        <v>0.17072999999999999</v>
      </c>
      <c r="L78" s="103">
        <f>K78*(1+(Data!$P$199/100))</f>
        <v>0.17072999999999999</v>
      </c>
      <c r="M78" s="103">
        <f>L78*(1+(Data!$P$199/100))</f>
        <v>0.17072999999999999</v>
      </c>
      <c r="N78" s="103">
        <f>M78*(1+(Data!$P$199/100))</f>
        <v>0.17072999999999999</v>
      </c>
      <c r="O78" s="103">
        <f>N78*(1+(Data!$P$199/100))</f>
        <v>0.17072999999999999</v>
      </c>
      <c r="P78" s="103">
        <f>O78*(1+(Data!$P$199/100))</f>
        <v>0.17072999999999999</v>
      </c>
      <c r="Q78" s="103">
        <f>P78*(1+(Data!$P$199/100))</f>
        <v>0.17072999999999999</v>
      </c>
      <c r="R78" s="103">
        <f>Q78*(1+(Data!$P$199/100))</f>
        <v>0.17072999999999999</v>
      </c>
      <c r="S78" s="103">
        <f>R78*(1+(Data!$P$199/100))</f>
        <v>0.17072999999999999</v>
      </c>
      <c r="T78" s="103">
        <f>S78*(1+(Data!$P$199/100))</f>
        <v>0.17072999999999999</v>
      </c>
      <c r="U78" s="103">
        <f>T78*(1+(Data!$P$199/100))</f>
        <v>0.17072999999999999</v>
      </c>
      <c r="V78" s="103">
        <f>U78*(1+(Data!$P$199/100))</f>
        <v>0.17072999999999999</v>
      </c>
      <c r="W78" s="103">
        <f>V78*(1+(Data!$P$199/100))</f>
        <v>0.17072999999999999</v>
      </c>
      <c r="X78" s="103">
        <f>W78*(1+(Data!$P$199/100))</f>
        <v>0.17072999999999999</v>
      </c>
      <c r="Y78" s="103">
        <f>X78*(1+(Data!$P$199/100))</f>
        <v>0.17072999999999999</v>
      </c>
      <c r="Z78" s="103">
        <f>Y78*(1+(Data!$P$199/100))</f>
        <v>0.17072999999999999</v>
      </c>
      <c r="AA78" s="103">
        <f>Z78*(1+(Data!$P$199/100))</f>
        <v>0.17072999999999999</v>
      </c>
      <c r="AB78" s="103">
        <f>AA78*(1+(Data!$P$199/100))</f>
        <v>0.17072999999999999</v>
      </c>
      <c r="AC78" s="103">
        <f>AB78*(1+(Data!$P$199/100))</f>
        <v>0.17072999999999999</v>
      </c>
      <c r="AD78" s="103">
        <f>AC78*(1+(Data!$P$199/100))</f>
        <v>0.17072999999999999</v>
      </c>
      <c r="AE78" s="103">
        <f>AD78*(1+(Data!$P$199/100))</f>
        <v>0.17072999999999999</v>
      </c>
      <c r="AF78" s="103">
        <f>AE78*(1+(Data!$P$199/100))</f>
        <v>0.17072999999999999</v>
      </c>
      <c r="AG78" s="103">
        <f>AF78*(1+(Data!$P$199/100))</f>
        <v>0.17072999999999999</v>
      </c>
      <c r="AH78" s="103">
        <f>AG78*(1+(Data!$P$199/100))</f>
        <v>0.17072999999999999</v>
      </c>
      <c r="AI78" s="103">
        <f>AH78*(1+(Data!$P$199/100))</f>
        <v>0.17072999999999999</v>
      </c>
      <c r="AJ78" s="103">
        <f>AI78*(1+(Data!$P$199/100))</f>
        <v>0.17072999999999999</v>
      </c>
    </row>
    <row r="79" spans="2:36" ht="15" hidden="1" customHeight="1" x14ac:dyDescent="0.2">
      <c r="B79" s="47"/>
      <c r="C79" s="47"/>
      <c r="D79" s="47"/>
      <c r="E79" s="47"/>
      <c r="F79" s="8"/>
      <c r="G79" s="14" t="s">
        <v>252</v>
      </c>
      <c r="H79" s="14"/>
      <c r="I79" s="14"/>
      <c r="J79" s="14"/>
      <c r="K79" s="103">
        <f>Data!$P$174</f>
        <v>0.19338</v>
      </c>
      <c r="L79" s="103">
        <f>K79*(1+(Data!$P$200/100))</f>
        <v>0.18757859999999998</v>
      </c>
      <c r="M79" s="103">
        <f>L79*(1+(Data!$P$200/100))</f>
        <v>0.18195124199999999</v>
      </c>
      <c r="N79" s="103">
        <f>M79*(1+(Data!$P$200/100))</f>
        <v>0.17649270473999998</v>
      </c>
      <c r="O79" s="103">
        <f>N79*(1+(Data!$P$200/100))</f>
        <v>0.17119792359779998</v>
      </c>
      <c r="P79" s="103">
        <f>O79*(1+(Data!$P$200/100))</f>
        <v>0.16606198588986598</v>
      </c>
      <c r="Q79" s="103">
        <f>P79*(1+(Data!$P$200/100))</f>
        <v>0.16108012631317001</v>
      </c>
      <c r="R79" s="103">
        <f>Q79*(1+(Data!$P$200/100))</f>
        <v>0.15624772252377489</v>
      </c>
      <c r="S79" s="103">
        <f>R79*(1+(Data!$P$200/100))</f>
        <v>0.15156029084806164</v>
      </c>
      <c r="T79" s="103">
        <f>S79*(1+(Data!$P$200/100))</f>
        <v>0.14701348212261978</v>
      </c>
      <c r="U79" s="103">
        <f>T79*(1+(Data!$P$200/100))</f>
        <v>0.14260307765894117</v>
      </c>
      <c r="V79" s="103">
        <f>U79*(1+(Data!$P$200/100))</f>
        <v>0.13832498532917292</v>
      </c>
      <c r="W79" s="103">
        <f>V79*(1+(Data!$P$200/100))</f>
        <v>0.13417523576929774</v>
      </c>
      <c r="X79" s="103">
        <f>W79*(1+(Data!$P$200/100))</f>
        <v>0.1301499786962188</v>
      </c>
      <c r="Y79" s="103">
        <f>X79*(1+(Data!$P$200/100))</f>
        <v>0.12624547933533223</v>
      </c>
      <c r="Z79" s="103">
        <f>Y79*(1+(Data!$P$200/100))</f>
        <v>0.12245811495527226</v>
      </c>
      <c r="AA79" s="103">
        <f>Z79*(1+(Data!$P$200/100))</f>
        <v>0.11878437150661408</v>
      </c>
      <c r="AB79" s="103">
        <f>AA79*(1+(Data!$P$200/100))</f>
        <v>0.11522084036141565</v>
      </c>
      <c r="AC79" s="103">
        <f>AB79*(1+(Data!$P$200/100))</f>
        <v>0.11176421515057318</v>
      </c>
      <c r="AD79" s="103">
        <f>AC79*(1+(Data!$P$200/100))</f>
        <v>0.10841128869605599</v>
      </c>
      <c r="AE79" s="103">
        <f>AD79*(1+(Data!$P$200/100))</f>
        <v>0.10515895003517431</v>
      </c>
      <c r="AF79" s="103">
        <f>AE79*(1+(Data!$P$200/100))</f>
        <v>0.10200418153411908</v>
      </c>
      <c r="AG79" s="103">
        <f>AF79*(1+(Data!$P$200/100))</f>
        <v>9.8944056088095506E-2</v>
      </c>
      <c r="AH79" s="103">
        <f>AG79*(1+(Data!$P$200/100))</f>
        <v>9.5975734405452637E-2</v>
      </c>
      <c r="AI79" s="103">
        <f>AH79*(1+(Data!$P$200/100))</f>
        <v>9.3096462373289057E-2</v>
      </c>
      <c r="AJ79" s="103">
        <f>AI79*(1+(Data!$P$200/100))</f>
        <v>9.0303568502090384E-2</v>
      </c>
    </row>
    <row r="80" spans="2:36" ht="15" hidden="1" customHeight="1" x14ac:dyDescent="0.2">
      <c r="B80" s="47"/>
      <c r="C80" s="47"/>
      <c r="D80" s="47"/>
      <c r="E80" s="47"/>
      <c r="F80" s="8"/>
      <c r="G80" s="14"/>
      <c r="H80" s="69"/>
      <c r="I80" s="69"/>
      <c r="J80" s="196"/>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row>
    <row r="81" spans="2:36" ht="15" hidden="1" customHeight="1" x14ac:dyDescent="0.2">
      <c r="B81" s="47"/>
      <c r="C81" s="47"/>
      <c r="D81" s="47"/>
      <c r="E81" s="47"/>
      <c r="F81" s="8"/>
      <c r="G81" s="14" t="s">
        <v>309</v>
      </c>
      <c r="H81" s="69"/>
      <c r="I81" s="69"/>
      <c r="J81" s="196"/>
      <c r="K81" s="394">
        <f>Data!$P$177</f>
        <v>0</v>
      </c>
      <c r="L81" s="103">
        <f>K81*(1+(Data!$P$188/100))</f>
        <v>0</v>
      </c>
      <c r="M81" s="103">
        <f>L81*(1+(Data!$P$188/100))</f>
        <v>0</v>
      </c>
      <c r="N81" s="103">
        <f>M81*(1+(Data!$P$188/100))</f>
        <v>0</v>
      </c>
      <c r="O81" s="103">
        <f>N81*(1+(Data!$P$188/100))</f>
        <v>0</v>
      </c>
      <c r="P81" s="103">
        <f>O81*(1+(Data!$P$188/100))</f>
        <v>0</v>
      </c>
      <c r="Q81" s="103">
        <f>P81*(1+(Data!$P$188/100))</f>
        <v>0</v>
      </c>
      <c r="R81" s="103">
        <f>Q81*(1+(Data!$P$188/100))</f>
        <v>0</v>
      </c>
      <c r="S81" s="103">
        <f>R81*(1+(Data!$P$188/100))</f>
        <v>0</v>
      </c>
      <c r="T81" s="103">
        <f>S81*(1+(Data!$P$188/100))</f>
        <v>0</v>
      </c>
      <c r="U81" s="103">
        <f>T81*(1+(Data!$P$188/100))</f>
        <v>0</v>
      </c>
      <c r="V81" s="103">
        <f>U81*(1+(Data!$P$188/100))</f>
        <v>0</v>
      </c>
      <c r="W81" s="103">
        <f>V81*(1+(Data!$P$188/100))</f>
        <v>0</v>
      </c>
      <c r="X81" s="103">
        <f>W81*(1+(Data!$P$188/100))</f>
        <v>0</v>
      </c>
      <c r="Y81" s="103">
        <f>X81*(1+(Data!$P$188/100))</f>
        <v>0</v>
      </c>
      <c r="Z81" s="103">
        <f>Y81*(1+(Data!$P$188/100))</f>
        <v>0</v>
      </c>
      <c r="AA81" s="103">
        <f>Z81*(1+(Data!$P$188/100))</f>
        <v>0</v>
      </c>
      <c r="AB81" s="103">
        <f>AA81*(1+(Data!$P$188/100))</f>
        <v>0</v>
      </c>
      <c r="AC81" s="103">
        <f>AB81*(1+(Data!$P$188/100))</f>
        <v>0</v>
      </c>
      <c r="AD81" s="103">
        <f>AC81*(1+(Data!$P$188/100))</f>
        <v>0</v>
      </c>
      <c r="AE81" s="103">
        <f>AD81*(1+(Data!$P$188/100))</f>
        <v>0</v>
      </c>
      <c r="AF81" s="103">
        <f>AE81*(1+(Data!$P$188/100))</f>
        <v>0</v>
      </c>
      <c r="AG81" s="103">
        <f>AF81*(1+(Data!$P$188/100))</f>
        <v>0</v>
      </c>
      <c r="AH81" s="103">
        <f>AG81*(1+(Data!$P$188/100))</f>
        <v>0</v>
      </c>
      <c r="AI81" s="103">
        <f>AH81*(1+(Data!$P$188/100))</f>
        <v>0</v>
      </c>
      <c r="AJ81" s="103">
        <f>AI81*(1+(Data!$P$188/100))</f>
        <v>0</v>
      </c>
    </row>
    <row r="82" spans="2:36" ht="15" hidden="1" customHeight="1" x14ac:dyDescent="0.2">
      <c r="B82" s="47"/>
      <c r="C82" s="47"/>
      <c r="D82" s="47"/>
      <c r="E82" s="47"/>
      <c r="F82" s="8"/>
      <c r="G82" s="14" t="s">
        <v>284</v>
      </c>
      <c r="H82" s="69"/>
      <c r="I82" s="69"/>
      <c r="J82" s="196"/>
      <c r="K82" s="392">
        <f>Data!$P$178</f>
        <v>0.09</v>
      </c>
      <c r="L82" s="103">
        <f>K82*(1+(Data!$P$189/100))</f>
        <v>9.5399999999999999E-2</v>
      </c>
      <c r="M82" s="103">
        <f>L82*(1+(Data!$P$189/100))</f>
        <v>0.10112400000000001</v>
      </c>
      <c r="N82" s="103">
        <f>M82*(1+(Data!$P$189/100))</f>
        <v>0.10719144000000001</v>
      </c>
      <c r="O82" s="103">
        <f>N82*(1+(Data!$P$189/100))</f>
        <v>0.11362292640000002</v>
      </c>
      <c r="P82" s="103">
        <f>O82*(1+(Data!$P$189/100))</f>
        <v>0.12044030198400002</v>
      </c>
      <c r="Q82" s="103">
        <f>P82*(1+(Data!$P$189/100))</f>
        <v>0.12766672010304003</v>
      </c>
      <c r="R82" s="103">
        <f>Q82*(1+(Data!$P$189/100))</f>
        <v>0.13532672330922244</v>
      </c>
      <c r="S82" s="103">
        <f>R82*(1+(Data!$P$189/100))</f>
        <v>0.1434463267077758</v>
      </c>
      <c r="T82" s="103">
        <f>S82*(1+(Data!$P$189/100))</f>
        <v>0.15205310631024235</v>
      </c>
      <c r="U82" s="103">
        <f>T82*(1+(Data!$P$189/100))</f>
        <v>0.16117629268885691</v>
      </c>
      <c r="V82" s="103">
        <f>U82*(1+(Data!$P$189/100))</f>
        <v>0.17084687025018833</v>
      </c>
      <c r="W82" s="103">
        <f>V82*(1+(Data!$P$189/100))</f>
        <v>0.18109768246519964</v>
      </c>
      <c r="X82" s="103">
        <f>W82*(1+(Data!$P$189/100))</f>
        <v>0.19196354341311161</v>
      </c>
      <c r="Y82" s="103">
        <f>X82*(1+(Data!$P$189/100))</f>
        <v>0.20348135601789832</v>
      </c>
      <c r="Z82" s="103">
        <f>Y82*(1+(Data!$P$189/100))</f>
        <v>0.21569023737897222</v>
      </c>
      <c r="AA82" s="103">
        <f>Z82*(1+(Data!$P$189/100))</f>
        <v>0.22863165162171056</v>
      </c>
      <c r="AB82" s="103">
        <f>AA82*(1+(Data!$P$189/100))</f>
        <v>0.24234955071901321</v>
      </c>
      <c r="AC82" s="103">
        <f>AB82*(1+(Data!$P$189/100))</f>
        <v>0.25689052376215399</v>
      </c>
      <c r="AD82" s="103">
        <f>AC82*(1+(Data!$P$189/100))</f>
        <v>0.27230395518788325</v>
      </c>
      <c r="AE82" s="103">
        <f>AD82*(1+(Data!$P$189/100))</f>
        <v>0.28864219249915624</v>
      </c>
      <c r="AF82" s="103">
        <f>AE82*(1+(Data!$P$189/100))</f>
        <v>0.30596072404910563</v>
      </c>
      <c r="AG82" s="103">
        <f>AF82*(1+(Data!$P$189/100))</f>
        <v>0.32431836749205201</v>
      </c>
      <c r="AH82" s="103">
        <f>AG82*(1+(Data!$P$189/100))</f>
        <v>0.34377746954157512</v>
      </c>
      <c r="AI82" s="103">
        <f>AH82*(1+(Data!$P$189/100))</f>
        <v>0.36440411771406966</v>
      </c>
      <c r="AJ82" s="103">
        <f>AI82*(1+(Data!$P$189/100))</f>
        <v>0.38626836477691384</v>
      </c>
    </row>
    <row r="83" spans="2:36" ht="15" hidden="1" customHeight="1" x14ac:dyDescent="0.2">
      <c r="B83" s="47"/>
      <c r="C83" s="47"/>
      <c r="D83" s="47"/>
      <c r="E83" s="47"/>
      <c r="F83" s="8"/>
      <c r="G83" s="14" t="s">
        <v>259</v>
      </c>
      <c r="H83" s="69"/>
      <c r="I83" s="69"/>
      <c r="J83" s="196"/>
      <c r="K83" s="392">
        <f>Data!$P$179</f>
        <v>0.09</v>
      </c>
      <c r="L83" s="103">
        <f>K83*(1+(Data!$P$190/100))</f>
        <v>9.5399999999999999E-2</v>
      </c>
      <c r="M83" s="103">
        <f>L83*(1+(Data!$P$190/100))</f>
        <v>0.10112400000000001</v>
      </c>
      <c r="N83" s="103">
        <f>M83*(1+(Data!$P$190/100))</f>
        <v>0.10719144000000001</v>
      </c>
      <c r="O83" s="103">
        <f>N83*(1+(Data!$P$190/100))</f>
        <v>0.11362292640000002</v>
      </c>
      <c r="P83" s="103">
        <f>O83*(1+(Data!$P$190/100))</f>
        <v>0.12044030198400002</v>
      </c>
      <c r="Q83" s="103">
        <f>P83*(1+(Data!$P$190/100))</f>
        <v>0.12766672010304003</v>
      </c>
      <c r="R83" s="103">
        <f>Q83*(1+(Data!$P$190/100))</f>
        <v>0.13532672330922244</v>
      </c>
      <c r="S83" s="103">
        <f>R83*(1+(Data!$P$190/100))</f>
        <v>0.1434463267077758</v>
      </c>
      <c r="T83" s="103">
        <f>S83*(1+(Data!$P$190/100))</f>
        <v>0.15205310631024235</v>
      </c>
      <c r="U83" s="103">
        <f>T83*(1+(Data!$P$190/100))</f>
        <v>0.16117629268885691</v>
      </c>
      <c r="V83" s="103">
        <f>U83*(1+(Data!$P$190/100))</f>
        <v>0.17084687025018833</v>
      </c>
      <c r="W83" s="103">
        <f>V83*(1+(Data!$P$190/100))</f>
        <v>0.18109768246519964</v>
      </c>
      <c r="X83" s="103">
        <f>W83*(1+(Data!$P$190/100))</f>
        <v>0.19196354341311161</v>
      </c>
      <c r="Y83" s="103">
        <f>X83*(1+(Data!$P$190/100))</f>
        <v>0.20348135601789832</v>
      </c>
      <c r="Z83" s="103">
        <f>Y83*(1+(Data!$P$190/100))</f>
        <v>0.21569023737897222</v>
      </c>
      <c r="AA83" s="103">
        <f>Z83*(1+(Data!$P$190/100))</f>
        <v>0.22863165162171056</v>
      </c>
      <c r="AB83" s="103">
        <f>AA83*(1+(Data!$P$190/100))</f>
        <v>0.24234955071901321</v>
      </c>
      <c r="AC83" s="103">
        <f>AB83*(1+(Data!$P$190/100))</f>
        <v>0.25689052376215399</v>
      </c>
      <c r="AD83" s="103">
        <f>AC83*(1+(Data!$P$190/100))</f>
        <v>0.27230395518788325</v>
      </c>
      <c r="AE83" s="103">
        <f>AD83*(1+(Data!$P$190/100))</f>
        <v>0.28864219249915624</v>
      </c>
      <c r="AF83" s="103">
        <f>AE83*(1+(Data!$P$190/100))</f>
        <v>0.30596072404910563</v>
      </c>
      <c r="AG83" s="103">
        <f>AF83*(1+(Data!$P$190/100))</f>
        <v>0.32431836749205201</v>
      </c>
      <c r="AH83" s="103">
        <f>AG83*(1+(Data!$P$190/100))</f>
        <v>0.34377746954157512</v>
      </c>
      <c r="AI83" s="103">
        <f>AH83*(1+(Data!$P$190/100))</f>
        <v>0.36440411771406966</v>
      </c>
      <c r="AJ83" s="103">
        <f>AI83*(1+(Data!$P$190/100))</f>
        <v>0.38626836477691384</v>
      </c>
    </row>
    <row r="84" spans="2:36" ht="15" hidden="1" customHeight="1" x14ac:dyDescent="0.2">
      <c r="B84" s="47"/>
      <c r="C84" s="47"/>
      <c r="D84" s="47"/>
      <c r="E84" s="47"/>
      <c r="F84" s="8"/>
      <c r="G84" s="14" t="s">
        <v>320</v>
      </c>
      <c r="H84" s="69"/>
      <c r="I84" s="69"/>
      <c r="J84" s="196"/>
      <c r="K84" s="392">
        <f>Data!$P$180</f>
        <v>0.16463429999999998</v>
      </c>
      <c r="L84" s="103">
        <f>K84*(1+(Data!$P$191/100))</f>
        <v>0.17451235799999998</v>
      </c>
      <c r="M84" s="103">
        <f>L84*(1+(Data!$P$191/100))</f>
        <v>0.18498309948</v>
      </c>
      <c r="N84" s="103">
        <f>M84*(1+(Data!$P$191/100))</f>
        <v>0.19608208544880001</v>
      </c>
      <c r="O84" s="103">
        <f>N84*(1+(Data!$P$191/100))</f>
        <v>0.20784701057572802</v>
      </c>
      <c r="P84" s="103">
        <f>O84*(1+(Data!$P$191/100))</f>
        <v>0.22031783121027171</v>
      </c>
      <c r="Q84" s="103">
        <f>P84*(1+(Data!$P$191/100))</f>
        <v>0.23353690108288802</v>
      </c>
      <c r="R84" s="103">
        <f>Q84*(1+(Data!$P$191/100))</f>
        <v>0.24754911514786132</v>
      </c>
      <c r="S84" s="103">
        <f>R84*(1+(Data!$P$191/100))</f>
        <v>0.262402062056733</v>
      </c>
      <c r="T84" s="103">
        <f>S84*(1+(Data!$P$191/100))</f>
        <v>0.278146185780137</v>
      </c>
      <c r="U84" s="103">
        <f>T84*(1+(Data!$P$191/100))</f>
        <v>0.29483495692694522</v>
      </c>
      <c r="V84" s="103">
        <f>U84*(1+(Data!$P$191/100))</f>
        <v>0.31252505434256195</v>
      </c>
      <c r="W84" s="103">
        <f>V84*(1+(Data!$P$191/100))</f>
        <v>0.3312765576031157</v>
      </c>
      <c r="X84" s="103">
        <f>W84*(1+(Data!$P$191/100))</f>
        <v>0.35115315105930267</v>
      </c>
      <c r="Y84" s="103">
        <f>X84*(1+(Data!$P$191/100))</f>
        <v>0.37222234012286087</v>
      </c>
      <c r="Z84" s="103">
        <f>Y84*(1+(Data!$P$191/100))</f>
        <v>0.39455568053023254</v>
      </c>
      <c r="AA84" s="103">
        <f>Z84*(1+(Data!$P$191/100))</f>
        <v>0.41822902136204654</v>
      </c>
      <c r="AB84" s="103">
        <f>AA84*(1+(Data!$P$191/100))</f>
        <v>0.44332276264376935</v>
      </c>
      <c r="AC84" s="103">
        <f>AB84*(1+(Data!$P$191/100))</f>
        <v>0.46992212840239556</v>
      </c>
      <c r="AD84" s="103">
        <f>AC84*(1+(Data!$P$191/100))</f>
        <v>0.49811745610653929</v>
      </c>
      <c r="AE84" s="103">
        <f>AD84*(1+(Data!$P$191/100))</f>
        <v>0.52800450347293171</v>
      </c>
      <c r="AF84" s="103">
        <f>AE84*(1+(Data!$P$191/100))</f>
        <v>0.55968477368130765</v>
      </c>
      <c r="AG84" s="103">
        <f>AF84*(1+(Data!$P$191/100))</f>
        <v>0.59326586010218618</v>
      </c>
      <c r="AH84" s="103">
        <f>AG84*(1+(Data!$P$191/100))</f>
        <v>0.62886181170831734</v>
      </c>
      <c r="AI84" s="103">
        <f>AH84*(1+(Data!$P$191/100))</f>
        <v>0.66659352041081643</v>
      </c>
      <c r="AJ84" s="103">
        <f>AI84*(1+(Data!$P$191/100))</f>
        <v>0.70658913163546544</v>
      </c>
    </row>
    <row r="85" spans="2:36" ht="15" hidden="1" customHeight="1" x14ac:dyDescent="0.2">
      <c r="B85" s="47"/>
      <c r="C85" s="47"/>
      <c r="D85" s="47"/>
      <c r="E85" s="47"/>
      <c r="F85" s="8"/>
      <c r="G85" s="14" t="s">
        <v>252</v>
      </c>
      <c r="H85" s="69"/>
      <c r="I85" s="69"/>
      <c r="J85" s="196"/>
      <c r="K85" s="392">
        <f>Data!$P$181</f>
        <v>0.31</v>
      </c>
      <c r="L85" s="103">
        <f>K85*(1+(Data!$P$192/100))</f>
        <v>0.34100000000000003</v>
      </c>
      <c r="M85" s="103">
        <f>L85*(1+(Data!$P$192/100))</f>
        <v>0.37510000000000004</v>
      </c>
      <c r="N85" s="103">
        <f>M85*(1+(Data!$P$192/100))</f>
        <v>0.41261000000000009</v>
      </c>
      <c r="O85" s="103">
        <f>N85*(1+(Data!$P$192/100))</f>
        <v>0.45387100000000014</v>
      </c>
      <c r="P85" s="103">
        <f>O85*(1+(Data!$P$192/100))</f>
        <v>0.4992581000000002</v>
      </c>
      <c r="Q85" s="103">
        <f>P85*(1+(Data!$P$192/100))</f>
        <v>0.54918391000000022</v>
      </c>
      <c r="R85" s="103">
        <f>Q85*(1+(Data!$P$192/100))</f>
        <v>0.60410230100000029</v>
      </c>
      <c r="S85" s="103">
        <f>R85*(1+(Data!$P$192/100))</f>
        <v>0.66451253110000041</v>
      </c>
      <c r="T85" s="103">
        <f>S85*(1+(Data!$P$192/100))</f>
        <v>0.73096378421000052</v>
      </c>
      <c r="U85" s="103">
        <f>T85*(1+(Data!$P$192/100))</f>
        <v>0.80406016263100066</v>
      </c>
      <c r="V85" s="103">
        <f>U85*(1+(Data!$P$192/100))</f>
        <v>0.88446617889410084</v>
      </c>
      <c r="W85" s="103">
        <f>V85*(1+(Data!$P$192/100))</f>
        <v>0.97291279678351106</v>
      </c>
      <c r="X85" s="103">
        <f>W85*(1+(Data!$P$192/100))</f>
        <v>1.0702040764618623</v>
      </c>
      <c r="Y85" s="103">
        <f>X85*(1+(Data!$P$192/100))</f>
        <v>1.1772244841080486</v>
      </c>
      <c r="Z85" s="103">
        <f>Y85*(1+(Data!$P$192/100))</f>
        <v>1.2949469325188536</v>
      </c>
      <c r="AA85" s="103">
        <f>Z85*(1+(Data!$P$192/100))</f>
        <v>1.4244416257707391</v>
      </c>
      <c r="AB85" s="103">
        <f>AA85*(1+(Data!$P$192/100))</f>
        <v>1.5668857883478131</v>
      </c>
      <c r="AC85" s="103">
        <f>AB85*(1+(Data!$P$192/100))</f>
        <v>1.7235743671825945</v>
      </c>
      <c r="AD85" s="103">
        <f>AC85*(1+(Data!$P$192/100))</f>
        <v>1.8959318039008541</v>
      </c>
      <c r="AE85" s="103">
        <f>AD85*(1+(Data!$P$192/100))</f>
        <v>2.0855249842909398</v>
      </c>
      <c r="AF85" s="103">
        <f>AE85*(1+(Data!$P$192/100))</f>
        <v>2.2940774827200339</v>
      </c>
      <c r="AG85" s="103">
        <f>AF85*(1+(Data!$P$192/100))</f>
        <v>2.5234852309920375</v>
      </c>
      <c r="AH85" s="103">
        <f>AG85*(1+(Data!$P$192/100))</f>
        <v>2.7758337540912414</v>
      </c>
      <c r="AI85" s="103">
        <f>AH85*(1+(Data!$P$192/100))</f>
        <v>3.053417129500366</v>
      </c>
      <c r="AJ85" s="103">
        <f>AI85*(1+(Data!$P$192/100))</f>
        <v>3.3587588424504031</v>
      </c>
    </row>
    <row r="86" spans="2:36" ht="15" hidden="1" customHeight="1" x14ac:dyDescent="0.2">
      <c r="B86" s="47"/>
      <c r="C86" s="47"/>
      <c r="D86" s="47"/>
      <c r="E86" s="47"/>
      <c r="F86" s="8"/>
      <c r="G86" s="14"/>
      <c r="H86" s="69"/>
      <c r="I86" s="69"/>
      <c r="J86" s="196"/>
      <c r="K86" s="392"/>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row>
    <row r="87" spans="2:36" ht="15" hidden="1" customHeight="1" x14ac:dyDescent="0.2">
      <c r="B87" s="47"/>
      <c r="C87" s="47"/>
      <c r="D87" s="47"/>
      <c r="E87" s="47"/>
      <c r="F87" s="8"/>
      <c r="G87" s="14" t="s">
        <v>307</v>
      </c>
      <c r="H87" s="14"/>
      <c r="I87" s="14"/>
      <c r="J87" s="14"/>
      <c r="K87" s="103">
        <v>1</v>
      </c>
      <c r="L87" s="103">
        <f>K87*(1+(Data!$P$194)/100)</f>
        <v>1.02</v>
      </c>
      <c r="M87" s="103">
        <f>L87*(1+(Data!$P$194)/100)</f>
        <v>1.0404</v>
      </c>
      <c r="N87" s="103">
        <f>M87*(1+(Data!$P$194)/100)</f>
        <v>1.0612079999999999</v>
      </c>
      <c r="O87" s="103">
        <f>N87*(1+(Data!$P$194)/100)</f>
        <v>1.08243216</v>
      </c>
      <c r="P87" s="103">
        <f>O87*(1+(Data!$P$194)/100)</f>
        <v>1.1040808032</v>
      </c>
      <c r="Q87" s="103">
        <f>P87*(1+(Data!$P$194)/100)</f>
        <v>1.1261624192640001</v>
      </c>
      <c r="R87" s="103">
        <f>Q87*(1+(Data!$P$194)/100)</f>
        <v>1.14868566764928</v>
      </c>
      <c r="S87" s="103">
        <f>R87*(1+(Data!$P$194)/100)</f>
        <v>1.1716593810022657</v>
      </c>
      <c r="T87" s="103">
        <f>S87*(1+(Data!$P$194)/100)</f>
        <v>1.1950925686223111</v>
      </c>
      <c r="U87" s="103">
        <f>T87*(1+(Data!$P$194)/100)</f>
        <v>1.2189944199947573</v>
      </c>
      <c r="V87" s="103">
        <f>U87*(1+(Data!$P$194)/100)</f>
        <v>1.2433743083946525</v>
      </c>
      <c r="W87" s="103">
        <f>V87*(1+(Data!$P$194)/100)</f>
        <v>1.2682417945625455</v>
      </c>
      <c r="X87" s="103">
        <f>W87*(1+(Data!$P$194)/100)</f>
        <v>1.2936066304537963</v>
      </c>
      <c r="Y87" s="103">
        <f>X87*(1+(Data!$P$194)/100)</f>
        <v>1.3194787630628724</v>
      </c>
      <c r="Z87" s="103">
        <f>Y87*(1+(Data!$P$194)/100)</f>
        <v>1.3458683383241299</v>
      </c>
      <c r="AA87" s="103">
        <f>Z87*(1+(Data!$P$194)/100)</f>
        <v>1.3727857050906125</v>
      </c>
      <c r="AB87" s="103">
        <f>AA87*(1+(Data!$P$194)/100)</f>
        <v>1.4002414191924248</v>
      </c>
      <c r="AC87" s="103">
        <f>AB87*(1+(Data!$P$194)/100)</f>
        <v>1.4282462475762734</v>
      </c>
      <c r="AD87" s="103">
        <f>AC87*(1+(Data!$P$194)/100)</f>
        <v>1.4568111725277988</v>
      </c>
      <c r="AE87" s="103">
        <f>AD87*(1+(Data!$P$194)/100)</f>
        <v>1.4859473959783549</v>
      </c>
      <c r="AF87" s="103">
        <f>AE87*(1+(Data!$P$194)/100)</f>
        <v>1.5156663438979221</v>
      </c>
      <c r="AG87" s="103">
        <f>AF87*(1+(Data!$P$194)/100)</f>
        <v>1.5459796707758806</v>
      </c>
      <c r="AH87" s="103">
        <f>AG87*(1+(Data!$P$194)/100)</f>
        <v>1.5768992641913981</v>
      </c>
      <c r="AI87" s="103">
        <f>AH87*(1+(Data!$P$194)/100)</f>
        <v>1.6084372494752261</v>
      </c>
      <c r="AJ87" s="103">
        <f>AI87*(1+(Data!$P$194)/100)</f>
        <v>1.6406059944647307</v>
      </c>
    </row>
    <row r="88" spans="2:36" ht="15" hidden="1" customHeight="1" x14ac:dyDescent="0.2">
      <c r="B88" s="47"/>
      <c r="C88" s="47"/>
      <c r="D88" s="47"/>
      <c r="E88" s="47"/>
      <c r="F88" s="8"/>
      <c r="G88" s="14" t="s">
        <v>3</v>
      </c>
      <c r="H88" s="14"/>
      <c r="I88" s="14"/>
      <c r="J88" s="14"/>
      <c r="K88" s="103">
        <f>Data!$P$183</f>
        <v>0.1</v>
      </c>
      <c r="L88" s="103">
        <f>K88*((100+Data!$P$202)/100)</f>
        <v>0.10200000000000001</v>
      </c>
      <c r="M88" s="103">
        <f>L88*((100+Data!$P$202)/100)</f>
        <v>0.10404000000000001</v>
      </c>
      <c r="N88" s="103">
        <f>M88*((100+Data!$P$202)/100)</f>
        <v>0.10612080000000002</v>
      </c>
      <c r="O88" s="103">
        <f>N88*((100+Data!$P$202)/100)</f>
        <v>0.10824321600000002</v>
      </c>
      <c r="P88" s="103">
        <f>O88*((100+Data!$P$202)/100)</f>
        <v>0.11040808032000002</v>
      </c>
      <c r="Q88" s="103">
        <f>P88*((100+Data!$P$202)/100)</f>
        <v>0.11261624192640002</v>
      </c>
      <c r="R88" s="103">
        <f>Q88*((100+Data!$P$202)/100)</f>
        <v>0.11486856676492802</v>
      </c>
      <c r="S88" s="103">
        <f>R88*((100+Data!$P$202)/100)</f>
        <v>0.11716593810022657</v>
      </c>
      <c r="T88" s="103">
        <f>S88*((100+Data!$P$202)/100)</f>
        <v>0.11950925686223111</v>
      </c>
      <c r="U88" s="103">
        <f>T88*((100+Data!$P$202)/100)</f>
        <v>0.12189944199947574</v>
      </c>
      <c r="V88" s="103">
        <f>U88*((100+Data!$P$202)/100)</f>
        <v>0.12433743083946525</v>
      </c>
      <c r="W88" s="103">
        <f>V88*((100+Data!$P$202)/100)</f>
        <v>0.12682417945625454</v>
      </c>
      <c r="X88" s="103">
        <f>W88*((100+Data!$P$202)/100)</f>
        <v>0.12936066304537963</v>
      </c>
      <c r="Y88" s="103">
        <f>X88*((100+Data!$P$202)/100)</f>
        <v>0.13194787630628724</v>
      </c>
      <c r="Z88" s="103">
        <f>Y88*((100+Data!$P$202)/100)</f>
        <v>0.13458683383241299</v>
      </c>
      <c r="AA88" s="103">
        <f>Z88*((100+Data!$P$202)/100)</f>
        <v>0.13727857050906125</v>
      </c>
      <c r="AB88" s="103">
        <f>AA88*((100+Data!$P$202)/100)</f>
        <v>0.14002414191924248</v>
      </c>
      <c r="AC88" s="103">
        <f>AB88*((100+Data!$P$202)/100)</f>
        <v>0.14282462475762733</v>
      </c>
      <c r="AD88" s="103">
        <f>AC88*((100+Data!$P$202)/100)</f>
        <v>0.14568111725277988</v>
      </c>
      <c r="AE88" s="103">
        <f>AD88*((100+Data!$P$202)/100)</f>
        <v>0.14859473959783548</v>
      </c>
      <c r="AF88" s="103">
        <f>AE88*((100+Data!$P$202)/100)</f>
        <v>0.1515666343897922</v>
      </c>
      <c r="AG88" s="103">
        <f>AF88*((100+Data!$P$202)/100)</f>
        <v>0.15459796707758805</v>
      </c>
      <c r="AH88" s="103">
        <f>AG88*((100+Data!$P$202)/100)</f>
        <v>0.15768992641913981</v>
      </c>
      <c r="AI88" s="103">
        <f>AH88*((100+Data!$P$202)/100)</f>
        <v>0.16084372494752261</v>
      </c>
      <c r="AJ88" s="103">
        <f>AI88*((100+Data!$P$202)/100)</f>
        <v>0.16406059944647305</v>
      </c>
    </row>
    <row r="89" spans="2:36" ht="15" hidden="1" customHeight="1" x14ac:dyDescent="0.2">
      <c r="B89" s="47"/>
      <c r="C89" s="47"/>
      <c r="D89" s="47"/>
      <c r="E89" s="47"/>
      <c r="F89" s="8"/>
      <c r="G89" s="10"/>
      <c r="H89" s="10"/>
      <c r="I89" s="8"/>
      <c r="J89" s="8"/>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row>
    <row r="90" spans="2:36" ht="15" hidden="1" customHeight="1" x14ac:dyDescent="0.2">
      <c r="B90" s="47"/>
      <c r="C90" s="47"/>
      <c r="D90" s="47"/>
      <c r="E90" s="47"/>
      <c r="F90" s="8"/>
      <c r="G90" s="489" t="s">
        <v>290</v>
      </c>
      <c r="H90" s="14"/>
      <c r="I90" s="13"/>
      <c r="J90" s="13"/>
      <c r="K90" s="14"/>
      <c r="L90" s="14"/>
      <c r="M90" s="14"/>
      <c r="N90" s="14"/>
      <c r="O90" s="14"/>
      <c r="P90" s="14"/>
      <c r="Q90" s="14"/>
      <c r="R90" s="14"/>
      <c r="S90" s="14"/>
      <c r="T90" s="14"/>
      <c r="U90" s="14"/>
      <c r="V90" s="14"/>
      <c r="W90" s="14"/>
      <c r="X90" s="14"/>
      <c r="Y90" s="14"/>
      <c r="Z90" s="14"/>
      <c r="AA90" s="14"/>
      <c r="AB90" s="41"/>
      <c r="AC90" s="14"/>
      <c r="AD90" s="14"/>
      <c r="AE90" s="14"/>
      <c r="AF90" s="14"/>
      <c r="AG90" s="14"/>
      <c r="AH90" s="14"/>
      <c r="AI90" s="14"/>
      <c r="AJ90" s="14"/>
    </row>
    <row r="91" spans="2:36" ht="15" hidden="1" customHeight="1" x14ac:dyDescent="0.2">
      <c r="B91" s="47"/>
      <c r="C91" s="47"/>
      <c r="D91" s="47"/>
      <c r="E91" s="47"/>
      <c r="F91" s="8"/>
      <c r="G91" s="14"/>
      <c r="H91" s="14"/>
      <c r="I91" s="13"/>
      <c r="J91" s="13"/>
      <c r="K91" s="31"/>
      <c r="L91" s="31"/>
      <c r="M91" s="31"/>
      <c r="N91" s="31"/>
      <c r="O91" s="31"/>
      <c r="P91" s="31"/>
      <c r="Q91" s="31"/>
      <c r="R91" s="31"/>
      <c r="S91" s="31"/>
      <c r="T91" s="31"/>
      <c r="U91" s="31"/>
      <c r="V91" s="31"/>
      <c r="W91" s="31"/>
      <c r="X91" s="31"/>
      <c r="Y91" s="31"/>
      <c r="Z91" s="31"/>
      <c r="AA91" s="31"/>
      <c r="AB91" s="75"/>
      <c r="AC91" s="31"/>
      <c r="AD91" s="31"/>
      <c r="AE91" s="31"/>
      <c r="AF91" s="31"/>
      <c r="AG91" s="31"/>
      <c r="AH91" s="31"/>
      <c r="AI91" s="31"/>
      <c r="AJ91" s="31"/>
    </row>
    <row r="92" spans="2:36" ht="15" hidden="1" customHeight="1" x14ac:dyDescent="0.2">
      <c r="B92" s="47"/>
      <c r="C92" s="47"/>
      <c r="D92" s="47"/>
      <c r="E92" s="47"/>
      <c r="F92" s="8"/>
      <c r="G92" s="14" t="s">
        <v>478</v>
      </c>
      <c r="H92" s="14"/>
      <c r="I92" s="13"/>
      <c r="J92" s="13"/>
      <c r="K92" s="103">
        <f>VLOOKUP($I$15,$G$75:$AJ$79,K$70+5,FALSE)</f>
        <v>0.184</v>
      </c>
      <c r="L92" s="103">
        <f t="shared" ref="L92:AI92" si="3">VLOOKUP($I$15,$G$75:$AJ$79,L$70+5,FALSE)</f>
        <v>0.184</v>
      </c>
      <c r="M92" s="103">
        <f t="shared" si="3"/>
        <v>0.184</v>
      </c>
      <c r="N92" s="103">
        <f t="shared" si="3"/>
        <v>0.184</v>
      </c>
      <c r="O92" s="103">
        <f t="shared" si="3"/>
        <v>0.184</v>
      </c>
      <c r="P92" s="103">
        <f t="shared" si="3"/>
        <v>0.184</v>
      </c>
      <c r="Q92" s="103">
        <f t="shared" si="3"/>
        <v>0.184</v>
      </c>
      <c r="R92" s="103">
        <f t="shared" si="3"/>
        <v>0.184</v>
      </c>
      <c r="S92" s="103">
        <f t="shared" si="3"/>
        <v>0.184</v>
      </c>
      <c r="T92" s="103">
        <f t="shared" si="3"/>
        <v>0.184</v>
      </c>
      <c r="U92" s="103">
        <f t="shared" si="3"/>
        <v>0.184</v>
      </c>
      <c r="V92" s="103">
        <f t="shared" si="3"/>
        <v>0.184</v>
      </c>
      <c r="W92" s="103">
        <f t="shared" si="3"/>
        <v>0.184</v>
      </c>
      <c r="X92" s="103">
        <f t="shared" si="3"/>
        <v>0.184</v>
      </c>
      <c r="Y92" s="103">
        <f t="shared" si="3"/>
        <v>0.184</v>
      </c>
      <c r="Z92" s="103">
        <f t="shared" si="3"/>
        <v>0.184</v>
      </c>
      <c r="AA92" s="103">
        <f t="shared" si="3"/>
        <v>0.184</v>
      </c>
      <c r="AB92" s="103">
        <f t="shared" si="3"/>
        <v>0.184</v>
      </c>
      <c r="AC92" s="103">
        <f t="shared" si="3"/>
        <v>0.184</v>
      </c>
      <c r="AD92" s="103">
        <f t="shared" si="3"/>
        <v>0.184</v>
      </c>
      <c r="AE92" s="103">
        <f t="shared" si="3"/>
        <v>0.184</v>
      </c>
      <c r="AF92" s="103">
        <f t="shared" si="3"/>
        <v>0.184</v>
      </c>
      <c r="AG92" s="103">
        <f t="shared" si="3"/>
        <v>0.184</v>
      </c>
      <c r="AH92" s="103">
        <f t="shared" si="3"/>
        <v>0.184</v>
      </c>
      <c r="AI92" s="103">
        <f t="shared" si="3"/>
        <v>0.184</v>
      </c>
      <c r="AJ92" s="103">
        <f>VLOOKUP($I$15,$G$75:$AJ$79,AJ$70+5,FALSE)</f>
        <v>0.184</v>
      </c>
    </row>
    <row r="93" spans="2:36" ht="15" hidden="1" customHeight="1" x14ac:dyDescent="0.2">
      <c r="B93" s="47"/>
      <c r="C93" s="47"/>
      <c r="D93" s="47"/>
      <c r="E93" s="47"/>
      <c r="F93" s="8"/>
      <c r="G93" s="14" t="s">
        <v>479</v>
      </c>
      <c r="H93" s="14"/>
      <c r="I93" s="13"/>
      <c r="J93" s="13"/>
      <c r="K93" s="103">
        <f>VLOOKUP($I$15,$G$81:$AJ$85,K$70+5,FALSE)</f>
        <v>0.09</v>
      </c>
      <c r="L93" s="103">
        <f t="shared" ref="L93:AI93" si="4">VLOOKUP($I$15,$G$81:$AJ$85,L$70+5,FALSE)</f>
        <v>9.5399999999999999E-2</v>
      </c>
      <c r="M93" s="103">
        <f t="shared" si="4"/>
        <v>0.10112400000000001</v>
      </c>
      <c r="N93" s="103">
        <f t="shared" si="4"/>
        <v>0.10719144000000001</v>
      </c>
      <c r="O93" s="103">
        <f t="shared" si="4"/>
        <v>0.11362292640000002</v>
      </c>
      <c r="P93" s="103">
        <f t="shared" si="4"/>
        <v>0.12044030198400002</v>
      </c>
      <c r="Q93" s="103">
        <f t="shared" si="4"/>
        <v>0.12766672010304003</v>
      </c>
      <c r="R93" s="103">
        <f t="shared" si="4"/>
        <v>0.13532672330922244</v>
      </c>
      <c r="S93" s="103">
        <f t="shared" si="4"/>
        <v>0.1434463267077758</v>
      </c>
      <c r="T93" s="103">
        <f t="shared" si="4"/>
        <v>0.15205310631024235</v>
      </c>
      <c r="U93" s="103">
        <f t="shared" si="4"/>
        <v>0.16117629268885691</v>
      </c>
      <c r="V93" s="103">
        <f t="shared" si="4"/>
        <v>0.17084687025018833</v>
      </c>
      <c r="W93" s="103">
        <f t="shared" si="4"/>
        <v>0.18109768246519964</v>
      </c>
      <c r="X93" s="103">
        <f t="shared" si="4"/>
        <v>0.19196354341311161</v>
      </c>
      <c r="Y93" s="103">
        <f t="shared" si="4"/>
        <v>0.20348135601789832</v>
      </c>
      <c r="Z93" s="103">
        <f t="shared" si="4"/>
        <v>0.21569023737897222</v>
      </c>
      <c r="AA93" s="103">
        <f t="shared" si="4"/>
        <v>0.22863165162171056</v>
      </c>
      <c r="AB93" s="103">
        <f t="shared" si="4"/>
        <v>0.24234955071901321</v>
      </c>
      <c r="AC93" s="103">
        <f t="shared" si="4"/>
        <v>0.25689052376215399</v>
      </c>
      <c r="AD93" s="103">
        <f t="shared" si="4"/>
        <v>0.27230395518788325</v>
      </c>
      <c r="AE93" s="103">
        <f t="shared" si="4"/>
        <v>0.28864219249915624</v>
      </c>
      <c r="AF93" s="103">
        <f t="shared" si="4"/>
        <v>0.30596072404910563</v>
      </c>
      <c r="AG93" s="103">
        <f t="shared" si="4"/>
        <v>0.32431836749205201</v>
      </c>
      <c r="AH93" s="103">
        <f t="shared" si="4"/>
        <v>0.34377746954157512</v>
      </c>
      <c r="AI93" s="103">
        <f t="shared" si="4"/>
        <v>0.36440411771406966</v>
      </c>
      <c r="AJ93" s="103">
        <f>VLOOKUP($I$15,$G$81:$AJ$85,AJ$70+5,FALSE)</f>
        <v>0.38626836477691384</v>
      </c>
    </row>
    <row r="94" spans="2:36" ht="15" hidden="1" customHeight="1" x14ac:dyDescent="0.2">
      <c r="B94" s="47"/>
      <c r="C94" s="47"/>
      <c r="D94" s="47"/>
      <c r="E94" s="47"/>
      <c r="F94" s="8"/>
      <c r="G94" s="14"/>
      <c r="H94" s="14"/>
      <c r="I94" s="13"/>
      <c r="J94" s="13"/>
      <c r="K94" s="31"/>
      <c r="L94" s="31"/>
      <c r="M94" s="31"/>
      <c r="N94" s="31"/>
      <c r="O94" s="31"/>
      <c r="P94" s="31"/>
      <c r="Q94" s="31"/>
      <c r="R94" s="31"/>
      <c r="S94" s="31"/>
      <c r="T94" s="31"/>
      <c r="U94" s="31"/>
      <c r="V94" s="31"/>
      <c r="W94" s="31"/>
      <c r="X94" s="31"/>
      <c r="Y94" s="31"/>
      <c r="Z94" s="31"/>
      <c r="AA94" s="31"/>
      <c r="AB94" s="75"/>
      <c r="AC94" s="31"/>
      <c r="AD94" s="31"/>
      <c r="AE94" s="31"/>
      <c r="AF94" s="31"/>
      <c r="AG94" s="31"/>
      <c r="AH94" s="31"/>
      <c r="AI94" s="31"/>
      <c r="AJ94" s="31"/>
    </row>
    <row r="95" spans="2:36" ht="15" hidden="1" customHeight="1" x14ac:dyDescent="0.2">
      <c r="B95" s="47"/>
      <c r="C95" s="47"/>
      <c r="D95" s="47"/>
      <c r="E95" s="47"/>
      <c r="F95" s="8"/>
      <c r="G95" s="14" t="s">
        <v>4</v>
      </c>
      <c r="H95" s="14"/>
      <c r="I95" s="13"/>
      <c r="J95" s="13"/>
      <c r="K95" s="42"/>
      <c r="L95" s="42"/>
      <c r="M95" s="42"/>
      <c r="N95" s="42"/>
      <c r="O95" s="42"/>
      <c r="P95" s="42"/>
      <c r="Q95" s="42"/>
      <c r="R95" s="42"/>
      <c r="S95" s="42"/>
      <c r="T95" s="42"/>
      <c r="U95" s="42"/>
      <c r="V95" s="42"/>
      <c r="W95" s="42"/>
      <c r="X95" s="42"/>
      <c r="Y95" s="42"/>
      <c r="Z95" s="42"/>
      <c r="AA95" s="42"/>
      <c r="AB95" s="76"/>
      <c r="AC95" s="42"/>
      <c r="AD95" s="42"/>
      <c r="AE95" s="42"/>
      <c r="AF95" s="42"/>
      <c r="AG95" s="42"/>
      <c r="AH95" s="42"/>
      <c r="AI95" s="42"/>
      <c r="AJ95" s="42"/>
    </row>
    <row r="96" spans="2:36" ht="15" hidden="1" customHeight="1" x14ac:dyDescent="0.2">
      <c r="B96" s="47"/>
      <c r="C96" s="47"/>
      <c r="D96" s="47"/>
      <c r="E96" s="47"/>
      <c r="F96" s="8"/>
      <c r="G96" s="14" t="s">
        <v>5</v>
      </c>
      <c r="H96" s="14"/>
      <c r="I96" s="13"/>
      <c r="J96" s="13"/>
      <c r="K96" s="42"/>
      <c r="L96" s="42"/>
      <c r="M96" s="42"/>
      <c r="N96" s="42"/>
      <c r="O96" s="42"/>
      <c r="P96" s="42"/>
      <c r="Q96" s="42"/>
      <c r="R96" s="42"/>
      <c r="S96" s="42"/>
      <c r="T96" s="42"/>
      <c r="U96" s="42"/>
      <c r="V96" s="42"/>
      <c r="W96" s="42"/>
      <c r="X96" s="42"/>
      <c r="Y96" s="42"/>
      <c r="Z96" s="42"/>
      <c r="AA96" s="42"/>
      <c r="AB96" s="76"/>
      <c r="AC96" s="42"/>
      <c r="AD96" s="42"/>
      <c r="AE96" s="42"/>
      <c r="AF96" s="42"/>
      <c r="AG96" s="42"/>
      <c r="AH96" s="42"/>
      <c r="AI96" s="42"/>
      <c r="AJ96" s="42"/>
    </row>
    <row r="97" spans="2:36" ht="15" hidden="1" customHeight="1" x14ac:dyDescent="0.2">
      <c r="B97" s="47"/>
      <c r="C97" s="47"/>
      <c r="D97" s="47"/>
      <c r="E97" s="47"/>
      <c r="F97" s="8"/>
      <c r="G97" s="14" t="s">
        <v>6</v>
      </c>
      <c r="H97" s="14"/>
      <c r="I97" s="13"/>
      <c r="J97" s="13"/>
      <c r="K97" s="31">
        <f>$K$11</f>
        <v>0</v>
      </c>
      <c r="L97" s="31">
        <f t="shared" ref="L97:AI97" si="5">$K$11</f>
        <v>0</v>
      </c>
      <c r="M97" s="31">
        <f t="shared" si="5"/>
        <v>0</v>
      </c>
      <c r="N97" s="31">
        <f t="shared" si="5"/>
        <v>0</v>
      </c>
      <c r="O97" s="31">
        <f t="shared" si="5"/>
        <v>0</v>
      </c>
      <c r="P97" s="31">
        <f t="shared" si="5"/>
        <v>0</v>
      </c>
      <c r="Q97" s="31">
        <f t="shared" si="5"/>
        <v>0</v>
      </c>
      <c r="R97" s="31">
        <f t="shared" si="5"/>
        <v>0</v>
      </c>
      <c r="S97" s="31">
        <f t="shared" si="5"/>
        <v>0</v>
      </c>
      <c r="T97" s="31">
        <f t="shared" si="5"/>
        <v>0</v>
      </c>
      <c r="U97" s="31">
        <f t="shared" si="5"/>
        <v>0</v>
      </c>
      <c r="V97" s="31">
        <f t="shared" si="5"/>
        <v>0</v>
      </c>
      <c r="W97" s="31">
        <f t="shared" si="5"/>
        <v>0</v>
      </c>
      <c r="X97" s="31">
        <f t="shared" si="5"/>
        <v>0</v>
      </c>
      <c r="Y97" s="31">
        <f t="shared" si="5"/>
        <v>0</v>
      </c>
      <c r="Z97" s="31">
        <f t="shared" si="5"/>
        <v>0</v>
      </c>
      <c r="AA97" s="31">
        <f t="shared" si="5"/>
        <v>0</v>
      </c>
      <c r="AB97" s="31">
        <f t="shared" si="5"/>
        <v>0</v>
      </c>
      <c r="AC97" s="31">
        <f t="shared" si="5"/>
        <v>0</v>
      </c>
      <c r="AD97" s="31">
        <f t="shared" si="5"/>
        <v>0</v>
      </c>
      <c r="AE97" s="31">
        <f t="shared" si="5"/>
        <v>0</v>
      </c>
      <c r="AF97" s="31">
        <f t="shared" si="5"/>
        <v>0</v>
      </c>
      <c r="AG97" s="31">
        <f t="shared" si="5"/>
        <v>0</v>
      </c>
      <c r="AH97" s="31">
        <f t="shared" si="5"/>
        <v>0</v>
      </c>
      <c r="AI97" s="31">
        <f t="shared" si="5"/>
        <v>0</v>
      </c>
      <c r="AJ97" s="31">
        <f>$K$11</f>
        <v>0</v>
      </c>
    </row>
    <row r="98" spans="2:36" ht="15" hidden="1" customHeight="1" x14ac:dyDescent="0.2">
      <c r="B98" s="47"/>
      <c r="C98" s="47"/>
      <c r="D98" s="47"/>
      <c r="E98" s="47"/>
      <c r="F98" s="8"/>
      <c r="G98" s="14"/>
      <c r="H98" s="14"/>
      <c r="I98" s="13"/>
      <c r="J98" s="13"/>
      <c r="K98" s="31"/>
      <c r="L98" s="31"/>
      <c r="M98" s="31"/>
      <c r="N98" s="31"/>
      <c r="O98" s="31"/>
      <c r="P98" s="31"/>
      <c r="Q98" s="31"/>
      <c r="R98" s="31"/>
      <c r="S98" s="31"/>
      <c r="T98" s="31"/>
      <c r="U98" s="31"/>
      <c r="V98" s="31"/>
      <c r="W98" s="31"/>
      <c r="X98" s="31"/>
      <c r="Y98" s="31"/>
      <c r="Z98" s="31"/>
      <c r="AA98" s="31"/>
      <c r="AB98" s="75"/>
      <c r="AC98" s="31"/>
      <c r="AD98" s="31"/>
      <c r="AE98" s="31"/>
      <c r="AF98" s="31"/>
      <c r="AG98" s="31"/>
      <c r="AH98" s="31"/>
      <c r="AI98" s="31"/>
      <c r="AJ98" s="31"/>
    </row>
    <row r="99" spans="2:36" ht="15" hidden="1" customHeight="1" x14ac:dyDescent="0.2">
      <c r="B99" s="47"/>
      <c r="C99" s="47"/>
      <c r="D99" s="47"/>
      <c r="E99" s="47"/>
      <c r="F99" s="8"/>
      <c r="G99" s="14" t="s">
        <v>7</v>
      </c>
      <c r="H99" s="14"/>
      <c r="I99" s="13"/>
      <c r="J99" s="13"/>
      <c r="K99" s="42"/>
      <c r="L99" s="42"/>
      <c r="M99" s="42"/>
      <c r="N99" s="42"/>
      <c r="O99" s="42"/>
      <c r="P99" s="42"/>
      <c r="Q99" s="42"/>
      <c r="R99" s="42"/>
      <c r="S99" s="42"/>
      <c r="T99" s="42"/>
      <c r="U99" s="42"/>
      <c r="V99" s="42"/>
      <c r="W99" s="42"/>
      <c r="X99" s="42"/>
      <c r="Y99" s="42"/>
      <c r="Z99" s="42"/>
      <c r="AA99" s="42"/>
      <c r="AB99" s="76"/>
      <c r="AC99" s="42"/>
      <c r="AD99" s="42"/>
      <c r="AE99" s="42"/>
      <c r="AF99" s="42"/>
      <c r="AG99" s="42"/>
      <c r="AH99" s="42"/>
      <c r="AI99" s="42"/>
      <c r="AJ99" s="42"/>
    </row>
    <row r="100" spans="2:36" ht="15" hidden="1" customHeight="1" x14ac:dyDescent="0.2">
      <c r="B100" s="47"/>
      <c r="C100" s="47"/>
      <c r="D100" s="47"/>
      <c r="E100" s="47"/>
      <c r="F100" s="8"/>
      <c r="G100" s="14" t="s">
        <v>8</v>
      </c>
      <c r="H100" s="14"/>
      <c r="I100" s="13"/>
      <c r="J100" s="13"/>
      <c r="K100" s="42"/>
      <c r="L100" s="42"/>
      <c r="M100" s="42"/>
      <c r="N100" s="42"/>
      <c r="O100" s="42"/>
      <c r="P100" s="42"/>
      <c r="Q100" s="42"/>
      <c r="R100" s="42"/>
      <c r="S100" s="42"/>
      <c r="T100" s="42"/>
      <c r="U100" s="42"/>
      <c r="V100" s="42"/>
      <c r="W100" s="42"/>
      <c r="X100" s="42"/>
      <c r="Y100" s="42"/>
      <c r="Z100" s="42"/>
      <c r="AA100" s="42"/>
      <c r="AB100" s="76"/>
      <c r="AC100" s="42"/>
      <c r="AD100" s="42"/>
      <c r="AE100" s="42"/>
      <c r="AF100" s="42"/>
      <c r="AG100" s="42"/>
      <c r="AH100" s="42"/>
      <c r="AI100" s="42"/>
      <c r="AJ100" s="42"/>
    </row>
    <row r="101" spans="2:36" ht="15" hidden="1" customHeight="1" x14ac:dyDescent="0.2">
      <c r="B101" s="47"/>
      <c r="C101" s="47"/>
      <c r="D101" s="47"/>
      <c r="E101" s="47"/>
      <c r="F101" s="8"/>
      <c r="G101" s="14" t="s">
        <v>9</v>
      </c>
      <c r="H101" s="14"/>
      <c r="I101" s="13"/>
      <c r="J101" s="13"/>
      <c r="K101" s="31">
        <f t="shared" ref="K101:AI101" si="6">K92*K97</f>
        <v>0</v>
      </c>
      <c r="L101" s="31">
        <f t="shared" si="6"/>
        <v>0</v>
      </c>
      <c r="M101" s="31">
        <f t="shared" si="6"/>
        <v>0</v>
      </c>
      <c r="N101" s="31">
        <f t="shared" si="6"/>
        <v>0</v>
      </c>
      <c r="O101" s="31">
        <f t="shared" si="6"/>
        <v>0</v>
      </c>
      <c r="P101" s="31">
        <f t="shared" si="6"/>
        <v>0</v>
      </c>
      <c r="Q101" s="31">
        <f t="shared" si="6"/>
        <v>0</v>
      </c>
      <c r="R101" s="31">
        <f t="shared" si="6"/>
        <v>0</v>
      </c>
      <c r="S101" s="31">
        <f t="shared" si="6"/>
        <v>0</v>
      </c>
      <c r="T101" s="31">
        <f t="shared" si="6"/>
        <v>0</v>
      </c>
      <c r="U101" s="31">
        <f t="shared" si="6"/>
        <v>0</v>
      </c>
      <c r="V101" s="31">
        <f t="shared" si="6"/>
        <v>0</v>
      </c>
      <c r="W101" s="31">
        <f t="shared" si="6"/>
        <v>0</v>
      </c>
      <c r="X101" s="31">
        <f t="shared" si="6"/>
        <v>0</v>
      </c>
      <c r="Y101" s="31">
        <f t="shared" si="6"/>
        <v>0</v>
      </c>
      <c r="Z101" s="31">
        <f t="shared" si="6"/>
        <v>0</v>
      </c>
      <c r="AA101" s="31">
        <f t="shared" si="6"/>
        <v>0</v>
      </c>
      <c r="AB101" s="31">
        <f t="shared" si="6"/>
        <v>0</v>
      </c>
      <c r="AC101" s="31">
        <f t="shared" si="6"/>
        <v>0</v>
      </c>
      <c r="AD101" s="31">
        <f t="shared" si="6"/>
        <v>0</v>
      </c>
      <c r="AE101" s="31">
        <f t="shared" si="6"/>
        <v>0</v>
      </c>
      <c r="AF101" s="31">
        <f t="shared" si="6"/>
        <v>0</v>
      </c>
      <c r="AG101" s="31">
        <f t="shared" si="6"/>
        <v>0</v>
      </c>
      <c r="AH101" s="31">
        <f t="shared" si="6"/>
        <v>0</v>
      </c>
      <c r="AI101" s="31">
        <f t="shared" si="6"/>
        <v>0</v>
      </c>
      <c r="AJ101" s="31">
        <f>AJ92*AJ97</f>
        <v>0</v>
      </c>
    </row>
    <row r="102" spans="2:36" ht="15" hidden="1" customHeight="1" x14ac:dyDescent="0.2">
      <c r="B102" s="47"/>
      <c r="C102" s="47"/>
      <c r="D102" s="47"/>
      <c r="E102" s="47"/>
      <c r="F102" s="8"/>
      <c r="G102" s="14"/>
      <c r="H102" s="14"/>
      <c r="I102" s="13"/>
      <c r="J102" s="13"/>
      <c r="K102" s="31"/>
      <c r="L102" s="31"/>
      <c r="M102" s="31"/>
      <c r="N102" s="31"/>
      <c r="O102" s="31"/>
      <c r="P102" s="31"/>
      <c r="Q102" s="31"/>
      <c r="R102" s="31"/>
      <c r="S102" s="31"/>
      <c r="T102" s="31"/>
      <c r="U102" s="31"/>
      <c r="V102" s="31"/>
      <c r="W102" s="31"/>
      <c r="X102" s="31"/>
      <c r="Y102" s="31"/>
      <c r="Z102" s="31"/>
      <c r="AA102" s="31"/>
      <c r="AB102" s="75"/>
      <c r="AC102" s="31"/>
      <c r="AD102" s="31"/>
      <c r="AE102" s="31"/>
      <c r="AF102" s="31"/>
      <c r="AG102" s="31"/>
      <c r="AH102" s="31"/>
      <c r="AI102" s="31"/>
      <c r="AJ102" s="31"/>
    </row>
    <row r="103" spans="2:36" ht="15" hidden="1" customHeight="1" x14ac:dyDescent="0.2">
      <c r="B103" s="47"/>
      <c r="C103" s="47"/>
      <c r="D103" s="47"/>
      <c r="E103" s="47"/>
      <c r="F103" s="8"/>
      <c r="G103" s="14" t="s">
        <v>10</v>
      </c>
      <c r="H103" s="14"/>
      <c r="I103" s="13"/>
      <c r="J103" s="13"/>
      <c r="K103" s="75">
        <f>IF($K$24=0,IF(K70=$K$19,$K$18,0),IF(K$70=$K$19,$K$18*K$87,IF(OR(AND($K$19=0,K$70=$K$19),AND(K$70&gt;=$K$19+$K$24,INT((K$70-$K$19)/($K$24))=(K$70-$K$19)/($K$24))),$K$23*K$87,0)))</f>
        <v>0</v>
      </c>
      <c r="L103" s="75">
        <f t="shared" ref="L103:AI103" si="7">IF($K$24=0,IF(L70=$K$19,$K$18,0),IF(L$70=$K$19,$K$18*L$87,IF(OR(AND($K$19=0,L$70=$K$19),AND(L$70&gt;=$K$19+$K$24,INT((L$70-$K$19)/($K$24))=(L$70-$K$19)/($K$24))),$K$23*L$87,0)))</f>
        <v>0</v>
      </c>
      <c r="M103" s="75">
        <f t="shared" si="7"/>
        <v>0</v>
      </c>
      <c r="N103" s="75">
        <f t="shared" si="7"/>
        <v>0</v>
      </c>
      <c r="O103" s="75">
        <f t="shared" si="7"/>
        <v>0</v>
      </c>
      <c r="P103" s="75">
        <f t="shared" si="7"/>
        <v>0</v>
      </c>
      <c r="Q103" s="75">
        <f t="shared" si="7"/>
        <v>0</v>
      </c>
      <c r="R103" s="75">
        <f t="shared" si="7"/>
        <v>0</v>
      </c>
      <c r="S103" s="75">
        <f t="shared" si="7"/>
        <v>0</v>
      </c>
      <c r="T103" s="75">
        <f t="shared" si="7"/>
        <v>0</v>
      </c>
      <c r="U103" s="75">
        <f t="shared" si="7"/>
        <v>0</v>
      </c>
      <c r="V103" s="75">
        <f t="shared" si="7"/>
        <v>0</v>
      </c>
      <c r="W103" s="75">
        <f t="shared" si="7"/>
        <v>0</v>
      </c>
      <c r="X103" s="75">
        <f t="shared" si="7"/>
        <v>0</v>
      </c>
      <c r="Y103" s="75">
        <f t="shared" si="7"/>
        <v>0</v>
      </c>
      <c r="Z103" s="75">
        <f t="shared" si="7"/>
        <v>0</v>
      </c>
      <c r="AA103" s="75">
        <f t="shared" si="7"/>
        <v>0</v>
      </c>
      <c r="AB103" s="75">
        <f t="shared" si="7"/>
        <v>0</v>
      </c>
      <c r="AC103" s="75">
        <f t="shared" si="7"/>
        <v>0</v>
      </c>
      <c r="AD103" s="75">
        <f t="shared" si="7"/>
        <v>0</v>
      </c>
      <c r="AE103" s="75">
        <f t="shared" si="7"/>
        <v>0</v>
      </c>
      <c r="AF103" s="75">
        <f t="shared" si="7"/>
        <v>0</v>
      </c>
      <c r="AG103" s="75">
        <f t="shared" si="7"/>
        <v>0</v>
      </c>
      <c r="AH103" s="75">
        <f t="shared" si="7"/>
        <v>0</v>
      </c>
      <c r="AI103" s="75">
        <f t="shared" si="7"/>
        <v>0</v>
      </c>
      <c r="AJ103" s="75">
        <f>IF($K$24=0,IF(AJ70=$K$19,$K$18,0),IF(AJ$70=$K$19,$K$18*AJ$87,IF(OR(AND($K$19=0,AJ$70=$K$19),AND(AJ$70&gt;=$K$19+$K$24,INT((AJ$70-$K$19)/($K$24))=(AJ$70-$K$19)/($K$24))),$K$23*AJ$87,0)))</f>
        <v>0</v>
      </c>
    </row>
    <row r="104" spans="2:36" ht="15" hidden="1" customHeight="1" x14ac:dyDescent="0.2">
      <c r="B104" s="47"/>
      <c r="C104" s="47"/>
      <c r="D104" s="47"/>
      <c r="E104" s="47"/>
      <c r="F104" s="8"/>
      <c r="G104" s="14" t="s">
        <v>458</v>
      </c>
      <c r="H104" s="14"/>
      <c r="I104" s="13"/>
      <c r="J104" s="13"/>
      <c r="K104" s="31">
        <f>($K$21*K$87)-($K$22*K$87)</f>
        <v>0</v>
      </c>
      <c r="L104" s="31">
        <f>($K$21*L$87)-($K$22*L$87)</f>
        <v>0</v>
      </c>
      <c r="M104" s="31">
        <f t="shared" ref="M104:AI104" si="8">($K$21*M$87)-($K$22*M$87)</f>
        <v>0</v>
      </c>
      <c r="N104" s="31">
        <f t="shared" si="8"/>
        <v>0</v>
      </c>
      <c r="O104" s="31">
        <f t="shared" si="8"/>
        <v>0</v>
      </c>
      <c r="P104" s="31">
        <f t="shared" si="8"/>
        <v>0</v>
      </c>
      <c r="Q104" s="31">
        <f t="shared" si="8"/>
        <v>0</v>
      </c>
      <c r="R104" s="31">
        <f t="shared" si="8"/>
        <v>0</v>
      </c>
      <c r="S104" s="31">
        <f t="shared" si="8"/>
        <v>0</v>
      </c>
      <c r="T104" s="31">
        <f t="shared" si="8"/>
        <v>0</v>
      </c>
      <c r="U104" s="31">
        <f t="shared" si="8"/>
        <v>0</v>
      </c>
      <c r="V104" s="31">
        <f t="shared" si="8"/>
        <v>0</v>
      </c>
      <c r="W104" s="31">
        <f t="shared" si="8"/>
        <v>0</v>
      </c>
      <c r="X104" s="31">
        <f t="shared" si="8"/>
        <v>0</v>
      </c>
      <c r="Y104" s="31">
        <f t="shared" si="8"/>
        <v>0</v>
      </c>
      <c r="Z104" s="31">
        <f t="shared" si="8"/>
        <v>0</v>
      </c>
      <c r="AA104" s="31">
        <f t="shared" si="8"/>
        <v>0</v>
      </c>
      <c r="AB104" s="31">
        <f t="shared" si="8"/>
        <v>0</v>
      </c>
      <c r="AC104" s="31">
        <f t="shared" si="8"/>
        <v>0</v>
      </c>
      <c r="AD104" s="31">
        <f t="shared" si="8"/>
        <v>0</v>
      </c>
      <c r="AE104" s="31">
        <f t="shared" si="8"/>
        <v>0</v>
      </c>
      <c r="AF104" s="31">
        <f t="shared" si="8"/>
        <v>0</v>
      </c>
      <c r="AG104" s="31">
        <f t="shared" si="8"/>
        <v>0</v>
      </c>
      <c r="AH104" s="31">
        <f t="shared" si="8"/>
        <v>0</v>
      </c>
      <c r="AI104" s="31">
        <f t="shared" si="8"/>
        <v>0</v>
      </c>
      <c r="AJ104" s="31">
        <f>($K$21*AJ$87)-($K$22*AJ$87)</f>
        <v>0</v>
      </c>
    </row>
    <row r="105" spans="2:36" ht="15" hidden="1" customHeight="1" x14ac:dyDescent="0.2">
      <c r="B105" s="47"/>
      <c r="C105" s="47"/>
      <c r="D105" s="47"/>
      <c r="E105" s="47"/>
      <c r="F105" s="8"/>
      <c r="G105" s="14" t="s">
        <v>12</v>
      </c>
      <c r="H105" s="14"/>
      <c r="I105" s="13"/>
      <c r="J105" s="13"/>
      <c r="K105" s="31">
        <f t="shared" ref="K105:AI105" si="9">K$93*K97</f>
        <v>0</v>
      </c>
      <c r="L105" s="31">
        <f t="shared" si="9"/>
        <v>0</v>
      </c>
      <c r="M105" s="31">
        <f t="shared" si="9"/>
        <v>0</v>
      </c>
      <c r="N105" s="31">
        <f t="shared" si="9"/>
        <v>0</v>
      </c>
      <c r="O105" s="31">
        <f t="shared" si="9"/>
        <v>0</v>
      </c>
      <c r="P105" s="31">
        <f t="shared" si="9"/>
        <v>0</v>
      </c>
      <c r="Q105" s="31">
        <f t="shared" si="9"/>
        <v>0</v>
      </c>
      <c r="R105" s="31">
        <f t="shared" si="9"/>
        <v>0</v>
      </c>
      <c r="S105" s="31">
        <f t="shared" si="9"/>
        <v>0</v>
      </c>
      <c r="T105" s="31">
        <f t="shared" si="9"/>
        <v>0</v>
      </c>
      <c r="U105" s="31">
        <f t="shared" si="9"/>
        <v>0</v>
      </c>
      <c r="V105" s="31">
        <f t="shared" si="9"/>
        <v>0</v>
      </c>
      <c r="W105" s="31">
        <f t="shared" si="9"/>
        <v>0</v>
      </c>
      <c r="X105" s="31">
        <f t="shared" si="9"/>
        <v>0</v>
      </c>
      <c r="Y105" s="31">
        <f t="shared" si="9"/>
        <v>0</v>
      </c>
      <c r="Z105" s="31">
        <f t="shared" si="9"/>
        <v>0</v>
      </c>
      <c r="AA105" s="31">
        <f t="shared" si="9"/>
        <v>0</v>
      </c>
      <c r="AB105" s="31">
        <f t="shared" si="9"/>
        <v>0</v>
      </c>
      <c r="AC105" s="31">
        <f t="shared" si="9"/>
        <v>0</v>
      </c>
      <c r="AD105" s="31">
        <f t="shared" si="9"/>
        <v>0</v>
      </c>
      <c r="AE105" s="31">
        <f t="shared" si="9"/>
        <v>0</v>
      </c>
      <c r="AF105" s="31">
        <f t="shared" si="9"/>
        <v>0</v>
      </c>
      <c r="AG105" s="31">
        <f t="shared" si="9"/>
        <v>0</v>
      </c>
      <c r="AH105" s="31">
        <f t="shared" si="9"/>
        <v>0</v>
      </c>
      <c r="AI105" s="31">
        <f t="shared" si="9"/>
        <v>0</v>
      </c>
      <c r="AJ105" s="31">
        <f>AJ$93*AJ97</f>
        <v>0</v>
      </c>
    </row>
    <row r="106" spans="2:36" ht="15" hidden="1" customHeight="1" x14ac:dyDescent="0.2">
      <c r="B106" s="47"/>
      <c r="C106" s="47"/>
      <c r="D106" s="47"/>
      <c r="E106" s="47"/>
      <c r="F106" s="8"/>
      <c r="G106" s="14" t="s">
        <v>13</v>
      </c>
      <c r="H106" s="14"/>
      <c r="I106" s="13"/>
      <c r="J106" s="13"/>
      <c r="K106" s="31">
        <f>K$88*K101</f>
        <v>0</v>
      </c>
      <c r="L106" s="31">
        <f t="shared" ref="L106:AI106" si="10">L$88*L101</f>
        <v>0</v>
      </c>
      <c r="M106" s="31">
        <f t="shared" si="10"/>
        <v>0</v>
      </c>
      <c r="N106" s="31">
        <f t="shared" si="10"/>
        <v>0</v>
      </c>
      <c r="O106" s="31">
        <f t="shared" si="10"/>
        <v>0</v>
      </c>
      <c r="P106" s="31">
        <f t="shared" si="10"/>
        <v>0</v>
      </c>
      <c r="Q106" s="31">
        <f t="shared" si="10"/>
        <v>0</v>
      </c>
      <c r="R106" s="31">
        <f t="shared" si="10"/>
        <v>0</v>
      </c>
      <c r="S106" s="31">
        <f t="shared" si="10"/>
        <v>0</v>
      </c>
      <c r="T106" s="31">
        <f t="shared" si="10"/>
        <v>0</v>
      </c>
      <c r="U106" s="31">
        <f t="shared" si="10"/>
        <v>0</v>
      </c>
      <c r="V106" s="31">
        <f t="shared" si="10"/>
        <v>0</v>
      </c>
      <c r="W106" s="31">
        <f t="shared" si="10"/>
        <v>0</v>
      </c>
      <c r="X106" s="31">
        <f t="shared" si="10"/>
        <v>0</v>
      </c>
      <c r="Y106" s="31">
        <f t="shared" si="10"/>
        <v>0</v>
      </c>
      <c r="Z106" s="31">
        <f t="shared" si="10"/>
        <v>0</v>
      </c>
      <c r="AA106" s="31">
        <f t="shared" si="10"/>
        <v>0</v>
      </c>
      <c r="AB106" s="31">
        <f t="shared" si="10"/>
        <v>0</v>
      </c>
      <c r="AC106" s="31">
        <f t="shared" si="10"/>
        <v>0</v>
      </c>
      <c r="AD106" s="31">
        <f t="shared" si="10"/>
        <v>0</v>
      </c>
      <c r="AE106" s="31">
        <f t="shared" si="10"/>
        <v>0</v>
      </c>
      <c r="AF106" s="31">
        <f t="shared" si="10"/>
        <v>0</v>
      </c>
      <c r="AG106" s="31">
        <f t="shared" si="10"/>
        <v>0</v>
      </c>
      <c r="AH106" s="31">
        <f t="shared" si="10"/>
        <v>0</v>
      </c>
      <c r="AI106" s="31">
        <f t="shared" si="10"/>
        <v>0</v>
      </c>
      <c r="AJ106" s="31">
        <f>AJ$88*AJ101</f>
        <v>0</v>
      </c>
    </row>
    <row r="107" spans="2:36" ht="15" hidden="1" customHeight="1" x14ac:dyDescent="0.2">
      <c r="B107" s="47"/>
      <c r="C107" s="47"/>
      <c r="D107" s="47"/>
      <c r="E107" s="47"/>
      <c r="F107" s="8"/>
      <c r="G107" s="14"/>
      <c r="H107" s="14"/>
      <c r="I107" s="13"/>
      <c r="J107" s="13"/>
      <c r="K107" s="31"/>
      <c r="L107" s="31"/>
      <c r="M107" s="31"/>
      <c r="N107" s="31"/>
      <c r="O107" s="31"/>
      <c r="P107" s="31"/>
      <c r="Q107" s="31"/>
      <c r="R107" s="31"/>
      <c r="S107" s="31"/>
      <c r="T107" s="31"/>
      <c r="U107" s="31"/>
      <c r="V107" s="31"/>
      <c r="W107" s="31"/>
      <c r="X107" s="31"/>
      <c r="Y107" s="31"/>
      <c r="Z107" s="31"/>
      <c r="AA107" s="31"/>
      <c r="AB107" s="75"/>
      <c r="AC107" s="31"/>
      <c r="AD107" s="31"/>
      <c r="AE107" s="31"/>
      <c r="AF107" s="31"/>
      <c r="AG107" s="31"/>
      <c r="AH107" s="31"/>
      <c r="AI107" s="31"/>
      <c r="AJ107" s="31"/>
    </row>
    <row r="108" spans="2:36" ht="15" hidden="1" customHeight="1" x14ac:dyDescent="0.2">
      <c r="B108" s="47"/>
      <c r="C108" s="47"/>
      <c r="D108" s="47"/>
      <c r="E108" s="47"/>
      <c r="F108" s="8"/>
      <c r="G108" s="14" t="s">
        <v>14</v>
      </c>
      <c r="H108" s="14"/>
      <c r="I108" s="13"/>
      <c r="J108" s="13"/>
      <c r="K108" s="31">
        <f>SUM(K103:K106)</f>
        <v>0</v>
      </c>
      <c r="L108" s="31">
        <f t="shared" ref="L108:AH108" si="11">SUM(L103:L106)</f>
        <v>0</v>
      </c>
      <c r="M108" s="31">
        <f t="shared" si="11"/>
        <v>0</v>
      </c>
      <c r="N108" s="31">
        <f t="shared" si="11"/>
        <v>0</v>
      </c>
      <c r="O108" s="31">
        <f t="shared" si="11"/>
        <v>0</v>
      </c>
      <c r="P108" s="31">
        <f t="shared" si="11"/>
        <v>0</v>
      </c>
      <c r="Q108" s="31">
        <f t="shared" si="11"/>
        <v>0</v>
      </c>
      <c r="R108" s="31">
        <f t="shared" si="11"/>
        <v>0</v>
      </c>
      <c r="S108" s="31">
        <f t="shared" si="11"/>
        <v>0</v>
      </c>
      <c r="T108" s="31">
        <f t="shared" si="11"/>
        <v>0</v>
      </c>
      <c r="U108" s="31">
        <f t="shared" si="11"/>
        <v>0</v>
      </c>
      <c r="V108" s="31">
        <f t="shared" si="11"/>
        <v>0</v>
      </c>
      <c r="W108" s="31">
        <f t="shared" si="11"/>
        <v>0</v>
      </c>
      <c r="X108" s="31">
        <f t="shared" si="11"/>
        <v>0</v>
      </c>
      <c r="Y108" s="31">
        <f t="shared" si="11"/>
        <v>0</v>
      </c>
      <c r="Z108" s="31">
        <f t="shared" si="11"/>
        <v>0</v>
      </c>
      <c r="AA108" s="31">
        <f t="shared" si="11"/>
        <v>0</v>
      </c>
      <c r="AB108" s="75">
        <f t="shared" si="11"/>
        <v>0</v>
      </c>
      <c r="AC108" s="31">
        <f t="shared" si="11"/>
        <v>0</v>
      </c>
      <c r="AD108" s="31">
        <f t="shared" si="11"/>
        <v>0</v>
      </c>
      <c r="AE108" s="31">
        <f t="shared" si="11"/>
        <v>0</v>
      </c>
      <c r="AF108" s="31">
        <f t="shared" si="11"/>
        <v>0</v>
      </c>
      <c r="AG108" s="31">
        <f t="shared" si="11"/>
        <v>0</v>
      </c>
      <c r="AH108" s="31">
        <f t="shared" si="11"/>
        <v>0</v>
      </c>
      <c r="AI108" s="31">
        <f>SUM(AI103:AI106)</f>
        <v>0</v>
      </c>
      <c r="AJ108" s="31">
        <f>SUM(AJ103:AJ106)</f>
        <v>0</v>
      </c>
    </row>
    <row r="109" spans="2:36" ht="15" hidden="1" customHeight="1" x14ac:dyDescent="0.2">
      <c r="B109" s="47"/>
      <c r="C109" s="47"/>
      <c r="D109" s="47"/>
      <c r="E109" s="47"/>
      <c r="F109" s="8"/>
      <c r="G109" s="14" t="s">
        <v>256</v>
      </c>
      <c r="H109" s="14"/>
      <c r="I109" s="13"/>
      <c r="J109" s="13"/>
      <c r="K109" s="31">
        <f>K108</f>
        <v>0</v>
      </c>
      <c r="L109" s="31">
        <f t="shared" ref="L109:AI109" si="12">K109+L108</f>
        <v>0</v>
      </c>
      <c r="M109" s="31">
        <f t="shared" si="12"/>
        <v>0</v>
      </c>
      <c r="N109" s="31">
        <f t="shared" si="12"/>
        <v>0</v>
      </c>
      <c r="O109" s="31">
        <f t="shared" si="12"/>
        <v>0</v>
      </c>
      <c r="P109" s="31">
        <f t="shared" si="12"/>
        <v>0</v>
      </c>
      <c r="Q109" s="31">
        <f t="shared" si="12"/>
        <v>0</v>
      </c>
      <c r="R109" s="31">
        <f t="shared" si="12"/>
        <v>0</v>
      </c>
      <c r="S109" s="31">
        <f t="shared" si="12"/>
        <v>0</v>
      </c>
      <c r="T109" s="31">
        <f t="shared" si="12"/>
        <v>0</v>
      </c>
      <c r="U109" s="31">
        <f t="shared" si="12"/>
        <v>0</v>
      </c>
      <c r="V109" s="31">
        <f t="shared" si="12"/>
        <v>0</v>
      </c>
      <c r="W109" s="31">
        <f t="shared" si="12"/>
        <v>0</v>
      </c>
      <c r="X109" s="31">
        <f t="shared" si="12"/>
        <v>0</v>
      </c>
      <c r="Y109" s="31">
        <f t="shared" si="12"/>
        <v>0</v>
      </c>
      <c r="Z109" s="31">
        <f t="shared" si="12"/>
        <v>0</v>
      </c>
      <c r="AA109" s="31">
        <f t="shared" si="12"/>
        <v>0</v>
      </c>
      <c r="AB109" s="75">
        <f t="shared" si="12"/>
        <v>0</v>
      </c>
      <c r="AC109" s="31">
        <f t="shared" si="12"/>
        <v>0</v>
      </c>
      <c r="AD109" s="31">
        <f t="shared" si="12"/>
        <v>0</v>
      </c>
      <c r="AE109" s="31">
        <f t="shared" si="12"/>
        <v>0</v>
      </c>
      <c r="AF109" s="31">
        <f t="shared" si="12"/>
        <v>0</v>
      </c>
      <c r="AG109" s="31">
        <f t="shared" si="12"/>
        <v>0</v>
      </c>
      <c r="AH109" s="31">
        <f t="shared" si="12"/>
        <v>0</v>
      </c>
      <c r="AI109" s="31">
        <f t="shared" si="12"/>
        <v>0</v>
      </c>
      <c r="AJ109" s="31">
        <f>AI109+AJ108</f>
        <v>0</v>
      </c>
    </row>
    <row r="110" spans="2:36" ht="15" hidden="1" customHeight="1" x14ac:dyDescent="0.2">
      <c r="B110" s="47"/>
      <c r="C110" s="47"/>
      <c r="D110" s="47"/>
      <c r="E110" s="47"/>
      <c r="F110" s="8"/>
      <c r="G110" s="13"/>
      <c r="H110" s="13"/>
      <c r="I110" s="13"/>
      <c r="J110" s="13"/>
      <c r="K110" s="32"/>
      <c r="L110" s="32"/>
      <c r="M110" s="32"/>
      <c r="N110" s="32"/>
      <c r="O110" s="32"/>
      <c r="P110" s="32"/>
      <c r="Q110" s="32"/>
      <c r="R110" s="32"/>
      <c r="S110" s="32"/>
      <c r="T110" s="32"/>
      <c r="U110" s="32"/>
      <c r="V110" s="32"/>
      <c r="W110" s="32"/>
      <c r="X110" s="32"/>
      <c r="Y110" s="32"/>
      <c r="Z110" s="32"/>
      <c r="AA110" s="32"/>
      <c r="AB110" s="77"/>
      <c r="AC110" s="32"/>
      <c r="AD110" s="32"/>
      <c r="AE110" s="32"/>
      <c r="AF110" s="32"/>
      <c r="AG110" s="32"/>
      <c r="AH110" s="32"/>
      <c r="AI110" s="32"/>
      <c r="AJ110" s="32"/>
    </row>
    <row r="111" spans="2:36" ht="15" hidden="1" customHeight="1" x14ac:dyDescent="0.2">
      <c r="B111" s="47"/>
      <c r="C111" s="47"/>
      <c r="D111" s="47"/>
      <c r="E111" s="47"/>
      <c r="F111" s="8"/>
      <c r="G111" s="14" t="s">
        <v>258</v>
      </c>
      <c r="H111" s="13"/>
      <c r="I111" s="13"/>
      <c r="J111" s="13"/>
      <c r="K111" s="31">
        <f>K108/(((Data!$P$186/100)+1)^K$70)</f>
        <v>0</v>
      </c>
      <c r="L111" s="31">
        <f>L108/(((Data!$P$186/100)+1)^L$70)</f>
        <v>0</v>
      </c>
      <c r="M111" s="31">
        <f>M108/(((Data!$P$186/100)+1)^M$70)</f>
        <v>0</v>
      </c>
      <c r="N111" s="31">
        <f>N108/(((Data!$P$186/100)+1)^N$70)</f>
        <v>0</v>
      </c>
      <c r="O111" s="31">
        <f>O108/(((Data!$P$186/100)+1)^O$70)</f>
        <v>0</v>
      </c>
      <c r="P111" s="31">
        <f>P108/(((Data!$P$186/100)+1)^P$70)</f>
        <v>0</v>
      </c>
      <c r="Q111" s="31">
        <f>Q108/(((Data!$P$186/100)+1)^Q$70)</f>
        <v>0</v>
      </c>
      <c r="R111" s="31">
        <f>R108/(((Data!$P$186/100)+1)^R$70)</f>
        <v>0</v>
      </c>
      <c r="S111" s="31">
        <f>S108/(((Data!$P$186/100)+1)^S$70)</f>
        <v>0</v>
      </c>
      <c r="T111" s="31">
        <f>T108/(((Data!$P$186/100)+1)^T$70)</f>
        <v>0</v>
      </c>
      <c r="U111" s="31">
        <f>U108/(((Data!$P$186/100)+1)^U$70)</f>
        <v>0</v>
      </c>
      <c r="V111" s="31">
        <f>V108/(((Data!$P$186/100)+1)^V$70)</f>
        <v>0</v>
      </c>
      <c r="W111" s="31">
        <f>W108/(((Data!$P$186/100)+1)^W$70)</f>
        <v>0</v>
      </c>
      <c r="X111" s="31">
        <f>X108/(((Data!$P$186/100)+1)^X$70)</f>
        <v>0</v>
      </c>
      <c r="Y111" s="31">
        <f>Y108/(((Data!$P$186/100)+1)^Y$70)</f>
        <v>0</v>
      </c>
      <c r="Z111" s="31">
        <f>Z108/(((Data!$P$186/100)+1)^Z$70)</f>
        <v>0</v>
      </c>
      <c r="AA111" s="31">
        <f>AA108/(((Data!$P$186/100)+1)^AA$70)</f>
        <v>0</v>
      </c>
      <c r="AB111" s="75">
        <f>AB108/(((Data!$P$186/100)+1)^AB$70)</f>
        <v>0</v>
      </c>
      <c r="AC111" s="31">
        <f>AC108/(((Data!$P$186/100)+1)^AC$70)</f>
        <v>0</v>
      </c>
      <c r="AD111" s="31">
        <f>AD108/(((Data!$P$186/100)+1)^AD$70)</f>
        <v>0</v>
      </c>
      <c r="AE111" s="31">
        <f>AE108/(((Data!$P$186/100)+1)^AE$70)</f>
        <v>0</v>
      </c>
      <c r="AF111" s="31">
        <f>AF108/(((Data!$P$186/100)+1)^AF$70)</f>
        <v>0</v>
      </c>
      <c r="AG111" s="31">
        <f>AG108/(((Data!$P$186/100)+1)^AG$70)</f>
        <v>0</v>
      </c>
      <c r="AH111" s="31">
        <f>AH108/(((Data!$P$186/100)+1)^AH$70)</f>
        <v>0</v>
      </c>
      <c r="AI111" s="31">
        <f>AI108/(((Data!$P$186/100)+1)^AI$70)</f>
        <v>0</v>
      </c>
      <c r="AJ111" s="31">
        <f>AJ108/(((Data!$P$186/100)+1)^AJ$70)</f>
        <v>0</v>
      </c>
    </row>
    <row r="112" spans="2:36" ht="15" hidden="1" customHeight="1" x14ac:dyDescent="0.2">
      <c r="B112" s="47"/>
      <c r="C112" s="47"/>
      <c r="D112" s="47"/>
      <c r="E112" s="47"/>
      <c r="F112" s="8"/>
      <c r="G112" s="30" t="s">
        <v>257</v>
      </c>
      <c r="H112" s="33"/>
      <c r="I112" s="13"/>
      <c r="J112" s="13"/>
      <c r="K112" s="34">
        <f>K111</f>
        <v>0</v>
      </c>
      <c r="L112" s="34">
        <f t="shared" ref="L112:AI112" si="13">K112+L111</f>
        <v>0</v>
      </c>
      <c r="M112" s="34">
        <f t="shared" si="13"/>
        <v>0</v>
      </c>
      <c r="N112" s="34">
        <f t="shared" si="13"/>
        <v>0</v>
      </c>
      <c r="O112" s="34">
        <f t="shared" si="13"/>
        <v>0</v>
      </c>
      <c r="P112" s="34">
        <f t="shared" si="13"/>
        <v>0</v>
      </c>
      <c r="Q112" s="34">
        <f t="shared" si="13"/>
        <v>0</v>
      </c>
      <c r="R112" s="34">
        <f t="shared" si="13"/>
        <v>0</v>
      </c>
      <c r="S112" s="34">
        <f t="shared" si="13"/>
        <v>0</v>
      </c>
      <c r="T112" s="34">
        <f t="shared" si="13"/>
        <v>0</v>
      </c>
      <c r="U112" s="34">
        <f t="shared" si="13"/>
        <v>0</v>
      </c>
      <c r="V112" s="34">
        <f t="shared" si="13"/>
        <v>0</v>
      </c>
      <c r="W112" s="34">
        <f t="shared" si="13"/>
        <v>0</v>
      </c>
      <c r="X112" s="34">
        <f t="shared" si="13"/>
        <v>0</v>
      </c>
      <c r="Y112" s="34">
        <f t="shared" si="13"/>
        <v>0</v>
      </c>
      <c r="Z112" s="34">
        <f t="shared" si="13"/>
        <v>0</v>
      </c>
      <c r="AA112" s="34">
        <f t="shared" si="13"/>
        <v>0</v>
      </c>
      <c r="AB112" s="78">
        <f t="shared" si="13"/>
        <v>0</v>
      </c>
      <c r="AC112" s="34">
        <f t="shared" si="13"/>
        <v>0</v>
      </c>
      <c r="AD112" s="34">
        <f t="shared" si="13"/>
        <v>0</v>
      </c>
      <c r="AE112" s="34">
        <f t="shared" si="13"/>
        <v>0</v>
      </c>
      <c r="AF112" s="34">
        <f t="shared" si="13"/>
        <v>0</v>
      </c>
      <c r="AG112" s="34">
        <f t="shared" si="13"/>
        <v>0</v>
      </c>
      <c r="AH112" s="34">
        <f t="shared" si="13"/>
        <v>0</v>
      </c>
      <c r="AI112" s="34">
        <f t="shared" si="13"/>
        <v>0</v>
      </c>
      <c r="AJ112" s="34">
        <f>AI112+AJ111</f>
        <v>0</v>
      </c>
    </row>
    <row r="113" spans="2:38" ht="15" hidden="1" customHeight="1" x14ac:dyDescent="0.2">
      <c r="B113" s="47"/>
      <c r="C113" s="47"/>
      <c r="D113" s="47"/>
      <c r="E113" s="47"/>
      <c r="F113" s="8"/>
      <c r="G113" s="8"/>
      <c r="H113" s="8"/>
      <c r="I113" s="8"/>
      <c r="J113" s="8"/>
      <c r="K113" s="12"/>
      <c r="L113" s="12"/>
      <c r="M113" s="12"/>
      <c r="N113" s="12"/>
      <c r="O113" s="12"/>
      <c r="P113" s="12"/>
      <c r="Q113" s="12"/>
      <c r="R113" s="12"/>
      <c r="S113" s="12"/>
      <c r="T113" s="12"/>
      <c r="U113" s="12"/>
      <c r="V113" s="12"/>
      <c r="W113" s="12"/>
      <c r="X113" s="12"/>
      <c r="Y113" s="12"/>
      <c r="Z113" s="12"/>
      <c r="AA113" s="12"/>
      <c r="AB113" s="79"/>
      <c r="AC113" s="12"/>
      <c r="AD113" s="12"/>
      <c r="AE113" s="12"/>
      <c r="AF113" s="12"/>
      <c r="AG113" s="12"/>
      <c r="AH113" s="12"/>
      <c r="AI113" s="12"/>
      <c r="AJ113" s="12"/>
      <c r="AK113" s="112"/>
    </row>
    <row r="114" spans="2:38" ht="15" hidden="1" customHeight="1" x14ac:dyDescent="0.2">
      <c r="B114" s="47"/>
      <c r="C114" s="47"/>
      <c r="D114" s="47"/>
      <c r="E114" s="47"/>
      <c r="F114" s="8"/>
      <c r="G114" s="532" t="s">
        <v>525</v>
      </c>
      <c r="H114" s="17"/>
      <c r="I114" s="13"/>
      <c r="J114" s="13"/>
      <c r="K114" s="35"/>
      <c r="L114" s="35"/>
      <c r="M114" s="35"/>
      <c r="N114" s="35"/>
      <c r="O114" s="35"/>
      <c r="P114" s="35"/>
      <c r="Q114" s="35"/>
      <c r="R114" s="35"/>
      <c r="S114" s="35"/>
      <c r="T114" s="35"/>
      <c r="U114" s="35"/>
      <c r="V114" s="35"/>
      <c r="W114" s="35"/>
      <c r="X114" s="35"/>
      <c r="Y114" s="35"/>
      <c r="Z114" s="35"/>
      <c r="AA114" s="35"/>
      <c r="AB114" s="80"/>
      <c r="AC114" s="35"/>
      <c r="AD114" s="35"/>
      <c r="AE114" s="35"/>
      <c r="AF114" s="35"/>
      <c r="AG114" s="35"/>
      <c r="AH114" s="35"/>
      <c r="AI114" s="35"/>
      <c r="AJ114" s="35"/>
    </row>
    <row r="115" spans="2:38" ht="15" hidden="1" customHeight="1" x14ac:dyDescent="0.2">
      <c r="B115" s="47"/>
      <c r="C115" s="47"/>
      <c r="D115" s="47"/>
      <c r="E115" s="47"/>
      <c r="F115" s="8"/>
      <c r="G115" s="14"/>
      <c r="H115" s="14"/>
      <c r="I115" s="13"/>
      <c r="J115" s="13"/>
      <c r="K115" s="31"/>
      <c r="L115" s="31"/>
      <c r="M115" s="31"/>
      <c r="N115" s="31"/>
      <c r="O115" s="31"/>
      <c r="P115" s="31"/>
      <c r="Q115" s="31"/>
      <c r="R115" s="31"/>
      <c r="S115" s="31"/>
      <c r="T115" s="31"/>
      <c r="U115" s="31"/>
      <c r="V115" s="31"/>
      <c r="W115" s="31"/>
      <c r="X115" s="31"/>
      <c r="Y115" s="31"/>
      <c r="Z115" s="31"/>
      <c r="AA115" s="31"/>
      <c r="AB115" s="75"/>
      <c r="AC115" s="31"/>
      <c r="AD115" s="31"/>
      <c r="AE115" s="31"/>
      <c r="AF115" s="31"/>
      <c r="AG115" s="31"/>
      <c r="AH115" s="31"/>
      <c r="AI115" s="31"/>
      <c r="AJ115" s="31"/>
    </row>
    <row r="116" spans="2:38" ht="15" hidden="1" customHeight="1" x14ac:dyDescent="0.2">
      <c r="B116" s="47"/>
      <c r="C116" s="47"/>
      <c r="D116" s="47"/>
      <c r="E116" s="47"/>
      <c r="F116" s="8"/>
      <c r="G116" s="17" t="s">
        <v>478</v>
      </c>
      <c r="H116" s="60"/>
      <c r="I116" s="60"/>
      <c r="J116" s="60"/>
      <c r="K116" s="104">
        <f t="shared" ref="K116:AJ116" si="14">IF(K$70&lt;$Q$19,VLOOKUP($I$15,$G$75:$AJ$79,K$70+5,FALSE),VLOOKUP($O$15,$G$75:$AJ$79,K$70+5,FALSE))</f>
        <v>0.184</v>
      </c>
      <c r="L116" s="104">
        <f t="shared" si="14"/>
        <v>0.184</v>
      </c>
      <c r="M116" s="104">
        <f t="shared" si="14"/>
        <v>0.184</v>
      </c>
      <c r="N116" s="104">
        <f t="shared" si="14"/>
        <v>0.184</v>
      </c>
      <c r="O116" s="104">
        <f t="shared" si="14"/>
        <v>0.184</v>
      </c>
      <c r="P116" s="104">
        <f t="shared" si="14"/>
        <v>0.184</v>
      </c>
      <c r="Q116" s="104">
        <f t="shared" si="14"/>
        <v>0.184</v>
      </c>
      <c r="R116" s="104">
        <f t="shared" si="14"/>
        <v>0.184</v>
      </c>
      <c r="S116" s="104">
        <f t="shared" si="14"/>
        <v>0.184</v>
      </c>
      <c r="T116" s="104">
        <f t="shared" si="14"/>
        <v>0.184</v>
      </c>
      <c r="U116" s="104">
        <f t="shared" si="14"/>
        <v>0.184</v>
      </c>
      <c r="V116" s="104">
        <f t="shared" si="14"/>
        <v>0.184</v>
      </c>
      <c r="W116" s="104">
        <f t="shared" si="14"/>
        <v>0.184</v>
      </c>
      <c r="X116" s="104">
        <f t="shared" si="14"/>
        <v>0.184</v>
      </c>
      <c r="Y116" s="104">
        <f t="shared" si="14"/>
        <v>0.184</v>
      </c>
      <c r="Z116" s="104">
        <f t="shared" si="14"/>
        <v>0.184</v>
      </c>
      <c r="AA116" s="104">
        <f t="shared" si="14"/>
        <v>0.184</v>
      </c>
      <c r="AB116" s="104">
        <f t="shared" si="14"/>
        <v>0.184</v>
      </c>
      <c r="AC116" s="104">
        <f t="shared" si="14"/>
        <v>0.184</v>
      </c>
      <c r="AD116" s="104">
        <f t="shared" si="14"/>
        <v>0.184</v>
      </c>
      <c r="AE116" s="104">
        <f t="shared" si="14"/>
        <v>0.184</v>
      </c>
      <c r="AF116" s="104">
        <f t="shared" si="14"/>
        <v>0.184</v>
      </c>
      <c r="AG116" s="104">
        <f t="shared" si="14"/>
        <v>0.184</v>
      </c>
      <c r="AH116" s="104">
        <f t="shared" si="14"/>
        <v>0.184</v>
      </c>
      <c r="AI116" s="104">
        <f t="shared" si="14"/>
        <v>0.184</v>
      </c>
      <c r="AJ116" s="104">
        <f t="shared" si="14"/>
        <v>0.184</v>
      </c>
    </row>
    <row r="117" spans="2:38" ht="15" hidden="1" customHeight="1" x14ac:dyDescent="0.2">
      <c r="B117" s="47"/>
      <c r="C117" s="47"/>
      <c r="D117" s="47"/>
      <c r="E117" s="47"/>
      <c r="F117" s="8"/>
      <c r="G117" s="17" t="s">
        <v>479</v>
      </c>
      <c r="H117" s="60"/>
      <c r="I117" s="60"/>
      <c r="J117" s="60"/>
      <c r="K117" s="104">
        <f t="shared" ref="K117:AI117" si="15">IF(K$70&lt;$Q$19,VLOOKUP($I$15,$G$81:$AJ$85,K$70+5,FALSE),VLOOKUP($O$15,$G$81:$AJ$85,K$70+5,FALSE))</f>
        <v>0.09</v>
      </c>
      <c r="L117" s="104">
        <f t="shared" si="15"/>
        <v>9.5399999999999999E-2</v>
      </c>
      <c r="M117" s="104">
        <f t="shared" si="15"/>
        <v>0.10112400000000001</v>
      </c>
      <c r="N117" s="104">
        <f t="shared" si="15"/>
        <v>0.10719144000000001</v>
      </c>
      <c r="O117" s="104">
        <f t="shared" si="15"/>
        <v>0.11362292640000002</v>
      </c>
      <c r="P117" s="104">
        <f t="shared" si="15"/>
        <v>0.12044030198400002</v>
      </c>
      <c r="Q117" s="104">
        <f t="shared" si="15"/>
        <v>0.12766672010304003</v>
      </c>
      <c r="R117" s="104">
        <f t="shared" si="15"/>
        <v>0.13532672330922244</v>
      </c>
      <c r="S117" s="104">
        <f t="shared" si="15"/>
        <v>0.1434463267077758</v>
      </c>
      <c r="T117" s="104">
        <f t="shared" si="15"/>
        <v>0.15205310631024235</v>
      </c>
      <c r="U117" s="104">
        <f t="shared" si="15"/>
        <v>0.16117629268885691</v>
      </c>
      <c r="V117" s="104">
        <f t="shared" si="15"/>
        <v>0.17084687025018833</v>
      </c>
      <c r="W117" s="104">
        <f t="shared" si="15"/>
        <v>0.18109768246519964</v>
      </c>
      <c r="X117" s="104">
        <f t="shared" si="15"/>
        <v>0.19196354341311161</v>
      </c>
      <c r="Y117" s="104">
        <f t="shared" si="15"/>
        <v>0.20348135601789832</v>
      </c>
      <c r="Z117" s="104">
        <f t="shared" si="15"/>
        <v>0.21569023737897222</v>
      </c>
      <c r="AA117" s="104">
        <f t="shared" si="15"/>
        <v>0.22863165162171056</v>
      </c>
      <c r="AB117" s="104">
        <f t="shared" si="15"/>
        <v>0.24234955071901321</v>
      </c>
      <c r="AC117" s="104">
        <f t="shared" si="15"/>
        <v>0.25689052376215399</v>
      </c>
      <c r="AD117" s="104">
        <f t="shared" si="15"/>
        <v>0.27230395518788325</v>
      </c>
      <c r="AE117" s="104">
        <f t="shared" si="15"/>
        <v>0.28864219249915624</v>
      </c>
      <c r="AF117" s="104">
        <f t="shared" si="15"/>
        <v>0.30596072404910563</v>
      </c>
      <c r="AG117" s="104">
        <f t="shared" si="15"/>
        <v>0.32431836749205201</v>
      </c>
      <c r="AH117" s="104">
        <f t="shared" si="15"/>
        <v>0.34377746954157512</v>
      </c>
      <c r="AI117" s="104">
        <f t="shared" si="15"/>
        <v>0.36440411771406966</v>
      </c>
      <c r="AJ117" s="104">
        <f>IF(AJ$70&lt;$Q$19,VLOOKUP($I$15,$G$81:$AJ$85,AJ$70+5,FALSE),VLOOKUP($O$15,$G$81:$AJ$85,AJ$70+5,FALSE))</f>
        <v>0.38626836477691384</v>
      </c>
    </row>
    <row r="118" spans="2:38" ht="15" hidden="1" customHeight="1" x14ac:dyDescent="0.2">
      <c r="B118" s="47"/>
      <c r="C118" s="47"/>
      <c r="D118" s="47"/>
      <c r="E118" s="47"/>
      <c r="F118" s="8"/>
      <c r="G118" s="17"/>
      <c r="H118" s="17"/>
      <c r="I118" s="13"/>
      <c r="J118" s="13"/>
      <c r="K118" s="35"/>
      <c r="L118" s="35"/>
      <c r="M118" s="35"/>
      <c r="N118" s="35"/>
      <c r="O118" s="35"/>
      <c r="P118" s="35"/>
      <c r="Q118" s="35"/>
      <c r="R118" s="35"/>
      <c r="S118" s="35"/>
      <c r="T118" s="35"/>
      <c r="U118" s="35"/>
      <c r="V118" s="35"/>
      <c r="W118" s="35"/>
      <c r="X118" s="35"/>
      <c r="Y118" s="35"/>
      <c r="Z118" s="35"/>
      <c r="AA118" s="35"/>
      <c r="AB118" s="80"/>
      <c r="AC118" s="35"/>
      <c r="AD118" s="35"/>
      <c r="AE118" s="35"/>
      <c r="AF118" s="35"/>
      <c r="AG118" s="35"/>
      <c r="AH118" s="35"/>
      <c r="AI118" s="35"/>
      <c r="AJ118" s="35"/>
    </row>
    <row r="119" spans="2:38" ht="15" hidden="1" customHeight="1" x14ac:dyDescent="0.2">
      <c r="B119" s="47"/>
      <c r="C119" s="47"/>
      <c r="D119" s="47"/>
      <c r="E119" s="47"/>
      <c r="F119" s="8"/>
      <c r="G119" s="17" t="s">
        <v>4</v>
      </c>
      <c r="H119" s="17"/>
      <c r="I119" s="13"/>
      <c r="J119" s="13"/>
      <c r="K119" s="43"/>
      <c r="L119" s="43"/>
      <c r="M119" s="43"/>
      <c r="N119" s="43"/>
      <c r="O119" s="43"/>
      <c r="P119" s="43"/>
      <c r="Q119" s="43"/>
      <c r="R119" s="43"/>
      <c r="S119" s="43"/>
      <c r="T119" s="43"/>
      <c r="U119" s="43"/>
      <c r="V119" s="43"/>
      <c r="W119" s="43"/>
      <c r="X119" s="43"/>
      <c r="Y119" s="43"/>
      <c r="Z119" s="43"/>
      <c r="AA119" s="43"/>
      <c r="AB119" s="81"/>
      <c r="AC119" s="43"/>
      <c r="AD119" s="43"/>
      <c r="AE119" s="43"/>
      <c r="AF119" s="43"/>
      <c r="AG119" s="43"/>
      <c r="AH119" s="43"/>
      <c r="AI119" s="43"/>
      <c r="AJ119" s="43"/>
    </row>
    <row r="120" spans="2:38" ht="15" hidden="1" customHeight="1" x14ac:dyDescent="0.2">
      <c r="B120" s="47"/>
      <c r="C120" s="47"/>
      <c r="D120" s="47"/>
      <c r="E120" s="47"/>
      <c r="F120" s="8"/>
      <c r="G120" s="17" t="s">
        <v>5</v>
      </c>
      <c r="H120" s="17"/>
      <c r="I120" s="13"/>
      <c r="J120" s="13"/>
      <c r="K120" s="43"/>
      <c r="L120" s="43"/>
      <c r="M120" s="43"/>
      <c r="N120" s="43"/>
      <c r="O120" s="43"/>
      <c r="P120" s="43"/>
      <c r="Q120" s="43"/>
      <c r="R120" s="43"/>
      <c r="S120" s="43"/>
      <c r="T120" s="43"/>
      <c r="U120" s="43"/>
      <c r="V120" s="43"/>
      <c r="W120" s="43"/>
      <c r="X120" s="43"/>
      <c r="Y120" s="43"/>
      <c r="Z120" s="43"/>
      <c r="AA120" s="43"/>
      <c r="AB120" s="81"/>
      <c r="AC120" s="43"/>
      <c r="AD120" s="43"/>
      <c r="AE120" s="43"/>
      <c r="AF120" s="43"/>
      <c r="AG120" s="43"/>
      <c r="AH120" s="43"/>
      <c r="AI120" s="43"/>
      <c r="AJ120" s="43"/>
    </row>
    <row r="121" spans="2:38" ht="15" hidden="1" customHeight="1" x14ac:dyDescent="0.2">
      <c r="B121" s="47"/>
      <c r="C121" s="47"/>
      <c r="D121" s="47"/>
      <c r="E121" s="47"/>
      <c r="F121" s="8"/>
      <c r="G121" s="17" t="s">
        <v>6</v>
      </c>
      <c r="H121" s="17"/>
      <c r="I121" s="13"/>
      <c r="J121" s="13"/>
      <c r="K121" s="35">
        <f t="shared" ref="K121:AI121" si="16">IF(K$70&lt;$Q$19,$K$11,$Q$11)</f>
        <v>0</v>
      </c>
      <c r="L121" s="35">
        <f t="shared" si="16"/>
        <v>0</v>
      </c>
      <c r="M121" s="35">
        <f t="shared" si="16"/>
        <v>0</v>
      </c>
      <c r="N121" s="35">
        <f t="shared" si="16"/>
        <v>0</v>
      </c>
      <c r="O121" s="35">
        <f t="shared" si="16"/>
        <v>0</v>
      </c>
      <c r="P121" s="35">
        <f t="shared" si="16"/>
        <v>0</v>
      </c>
      <c r="Q121" s="35">
        <f t="shared" si="16"/>
        <v>0</v>
      </c>
      <c r="R121" s="35">
        <f t="shared" si="16"/>
        <v>0</v>
      </c>
      <c r="S121" s="35">
        <f t="shared" si="16"/>
        <v>0</v>
      </c>
      <c r="T121" s="35">
        <f t="shared" si="16"/>
        <v>0</v>
      </c>
      <c r="U121" s="35">
        <f t="shared" si="16"/>
        <v>0</v>
      </c>
      <c r="V121" s="35">
        <f t="shared" si="16"/>
        <v>0</v>
      </c>
      <c r="W121" s="35">
        <f t="shared" si="16"/>
        <v>0</v>
      </c>
      <c r="X121" s="35">
        <f t="shared" si="16"/>
        <v>0</v>
      </c>
      <c r="Y121" s="35">
        <f t="shared" si="16"/>
        <v>0</v>
      </c>
      <c r="Z121" s="35">
        <f t="shared" si="16"/>
        <v>0</v>
      </c>
      <c r="AA121" s="35">
        <f t="shared" si="16"/>
        <v>0</v>
      </c>
      <c r="AB121" s="35">
        <f t="shared" si="16"/>
        <v>0</v>
      </c>
      <c r="AC121" s="35">
        <f t="shared" si="16"/>
        <v>0</v>
      </c>
      <c r="AD121" s="35">
        <f t="shared" si="16"/>
        <v>0</v>
      </c>
      <c r="AE121" s="35">
        <f t="shared" si="16"/>
        <v>0</v>
      </c>
      <c r="AF121" s="35">
        <f t="shared" si="16"/>
        <v>0</v>
      </c>
      <c r="AG121" s="35">
        <f t="shared" si="16"/>
        <v>0</v>
      </c>
      <c r="AH121" s="35">
        <f t="shared" si="16"/>
        <v>0</v>
      </c>
      <c r="AI121" s="35">
        <f t="shared" si="16"/>
        <v>0</v>
      </c>
      <c r="AJ121" s="35">
        <f>IF(AJ$70&lt;$Q$19,$K$11,$Q$11)</f>
        <v>0</v>
      </c>
    </row>
    <row r="122" spans="2:38" ht="15" hidden="1" customHeight="1" x14ac:dyDescent="0.2">
      <c r="B122" s="47"/>
      <c r="C122" s="47"/>
      <c r="D122" s="47"/>
      <c r="E122" s="47"/>
      <c r="F122" s="8"/>
      <c r="G122" s="17"/>
      <c r="H122" s="17"/>
      <c r="I122" s="13"/>
      <c r="J122" s="13"/>
      <c r="K122" s="35"/>
      <c r="L122" s="35"/>
      <c r="M122" s="35"/>
      <c r="N122" s="35"/>
      <c r="O122" s="35"/>
      <c r="P122" s="35"/>
      <c r="Q122" s="35"/>
      <c r="R122" s="35"/>
      <c r="S122" s="35"/>
      <c r="T122" s="35"/>
      <c r="U122" s="35"/>
      <c r="V122" s="35"/>
      <c r="W122" s="35"/>
      <c r="X122" s="35"/>
      <c r="Y122" s="35"/>
      <c r="Z122" s="35"/>
      <c r="AA122" s="35"/>
      <c r="AB122" s="80"/>
      <c r="AC122" s="35"/>
      <c r="AD122" s="35"/>
      <c r="AE122" s="35"/>
      <c r="AF122" s="35"/>
      <c r="AG122" s="35"/>
      <c r="AH122" s="35"/>
      <c r="AI122" s="35"/>
      <c r="AJ122" s="35"/>
    </row>
    <row r="123" spans="2:38" ht="15" hidden="1" customHeight="1" x14ac:dyDescent="0.2">
      <c r="B123" s="47"/>
      <c r="C123" s="47"/>
      <c r="D123" s="47"/>
      <c r="E123" s="47"/>
      <c r="F123" s="8"/>
      <c r="G123" s="17" t="s">
        <v>7</v>
      </c>
      <c r="H123" s="17"/>
      <c r="I123" s="13"/>
      <c r="J123" s="13"/>
      <c r="K123" s="43"/>
      <c r="L123" s="43"/>
      <c r="M123" s="43"/>
      <c r="N123" s="43"/>
      <c r="O123" s="43"/>
      <c r="P123" s="43"/>
      <c r="Q123" s="43"/>
      <c r="R123" s="43"/>
      <c r="S123" s="43"/>
      <c r="T123" s="43"/>
      <c r="U123" s="43"/>
      <c r="V123" s="43"/>
      <c r="W123" s="43"/>
      <c r="X123" s="43"/>
      <c r="Y123" s="43"/>
      <c r="Z123" s="43"/>
      <c r="AA123" s="43"/>
      <c r="AB123" s="81"/>
      <c r="AC123" s="43"/>
      <c r="AD123" s="43"/>
      <c r="AE123" s="43"/>
      <c r="AF123" s="43"/>
      <c r="AG123" s="43"/>
      <c r="AH123" s="43"/>
      <c r="AI123" s="43"/>
      <c r="AJ123" s="43"/>
    </row>
    <row r="124" spans="2:38" ht="15" hidden="1" customHeight="1" x14ac:dyDescent="0.2">
      <c r="B124" s="47"/>
      <c r="C124" s="47"/>
      <c r="D124" s="47"/>
      <c r="E124" s="47"/>
      <c r="F124" s="8"/>
      <c r="G124" s="17" t="s">
        <v>8</v>
      </c>
      <c r="H124" s="17"/>
      <c r="I124" s="13"/>
      <c r="J124" s="13"/>
      <c r="K124" s="43"/>
      <c r="L124" s="43"/>
      <c r="M124" s="43"/>
      <c r="N124" s="43"/>
      <c r="O124" s="43"/>
      <c r="P124" s="43"/>
      <c r="Q124" s="43"/>
      <c r="R124" s="43"/>
      <c r="S124" s="43"/>
      <c r="T124" s="43"/>
      <c r="U124" s="43"/>
      <c r="V124" s="43"/>
      <c r="W124" s="43"/>
      <c r="X124" s="43"/>
      <c r="Y124" s="43"/>
      <c r="Z124" s="43"/>
      <c r="AA124" s="43"/>
      <c r="AB124" s="81"/>
      <c r="AC124" s="43"/>
      <c r="AD124" s="43"/>
      <c r="AE124" s="43"/>
      <c r="AF124" s="43"/>
      <c r="AG124" s="43"/>
      <c r="AH124" s="43"/>
      <c r="AI124" s="43"/>
      <c r="AJ124" s="43"/>
    </row>
    <row r="125" spans="2:38" ht="15" hidden="1" customHeight="1" x14ac:dyDescent="0.2">
      <c r="B125" s="47"/>
      <c r="C125" s="47"/>
      <c r="D125" s="47"/>
      <c r="E125" s="47"/>
      <c r="F125" s="8"/>
      <c r="G125" s="17" t="s">
        <v>9</v>
      </c>
      <c r="H125" s="17"/>
      <c r="I125" s="13"/>
      <c r="J125" s="13"/>
      <c r="K125" s="35">
        <f t="shared" ref="K125:AI125" si="17">K$116*K121</f>
        <v>0</v>
      </c>
      <c r="L125" s="35">
        <f t="shared" si="17"/>
        <v>0</v>
      </c>
      <c r="M125" s="35">
        <f t="shared" si="17"/>
        <v>0</v>
      </c>
      <c r="N125" s="35">
        <f t="shared" si="17"/>
        <v>0</v>
      </c>
      <c r="O125" s="35">
        <f t="shared" si="17"/>
        <v>0</v>
      </c>
      <c r="P125" s="35">
        <f t="shared" si="17"/>
        <v>0</v>
      </c>
      <c r="Q125" s="35">
        <f t="shared" si="17"/>
        <v>0</v>
      </c>
      <c r="R125" s="35">
        <f t="shared" si="17"/>
        <v>0</v>
      </c>
      <c r="S125" s="35">
        <f t="shared" si="17"/>
        <v>0</v>
      </c>
      <c r="T125" s="35">
        <f t="shared" si="17"/>
        <v>0</v>
      </c>
      <c r="U125" s="35">
        <f t="shared" si="17"/>
        <v>0</v>
      </c>
      <c r="V125" s="35">
        <f t="shared" si="17"/>
        <v>0</v>
      </c>
      <c r="W125" s="35">
        <f t="shared" si="17"/>
        <v>0</v>
      </c>
      <c r="X125" s="35">
        <f t="shared" si="17"/>
        <v>0</v>
      </c>
      <c r="Y125" s="35">
        <f t="shared" si="17"/>
        <v>0</v>
      </c>
      <c r="Z125" s="35">
        <f t="shared" si="17"/>
        <v>0</v>
      </c>
      <c r="AA125" s="35">
        <f t="shared" si="17"/>
        <v>0</v>
      </c>
      <c r="AB125" s="80">
        <f t="shared" si="17"/>
        <v>0</v>
      </c>
      <c r="AC125" s="35">
        <f t="shared" si="17"/>
        <v>0</v>
      </c>
      <c r="AD125" s="35">
        <f t="shared" si="17"/>
        <v>0</v>
      </c>
      <c r="AE125" s="35">
        <f t="shared" si="17"/>
        <v>0</v>
      </c>
      <c r="AF125" s="35">
        <f t="shared" si="17"/>
        <v>0</v>
      </c>
      <c r="AG125" s="35">
        <f t="shared" si="17"/>
        <v>0</v>
      </c>
      <c r="AH125" s="35">
        <f t="shared" si="17"/>
        <v>0</v>
      </c>
      <c r="AI125" s="35">
        <f t="shared" si="17"/>
        <v>0</v>
      </c>
      <c r="AJ125" s="35">
        <f>AJ$116*AJ121</f>
        <v>0</v>
      </c>
    </row>
    <row r="126" spans="2:38" ht="15" hidden="1" customHeight="1" x14ac:dyDescent="0.2">
      <c r="B126" s="47"/>
      <c r="C126" s="47"/>
      <c r="D126" s="47"/>
      <c r="E126" s="47"/>
      <c r="F126" s="8"/>
      <c r="G126" s="17"/>
      <c r="H126" s="17"/>
      <c r="I126" s="13"/>
      <c r="J126" s="13"/>
      <c r="K126" s="35"/>
      <c r="L126" s="35"/>
      <c r="M126" s="35"/>
      <c r="N126" s="35"/>
      <c r="O126" s="35"/>
      <c r="P126" s="35"/>
      <c r="Q126" s="35"/>
      <c r="R126" s="35"/>
      <c r="S126" s="35"/>
      <c r="T126" s="35"/>
      <c r="U126" s="35"/>
      <c r="V126" s="35"/>
      <c r="W126" s="35"/>
      <c r="X126" s="35"/>
      <c r="Y126" s="35"/>
      <c r="Z126" s="35"/>
      <c r="AA126" s="35"/>
      <c r="AB126" s="80"/>
      <c r="AC126" s="35"/>
      <c r="AD126" s="35"/>
      <c r="AE126" s="35"/>
      <c r="AF126" s="35"/>
      <c r="AG126" s="35"/>
      <c r="AH126" s="35"/>
      <c r="AI126" s="35"/>
      <c r="AJ126" s="35"/>
    </row>
    <row r="127" spans="2:38" ht="15" hidden="1" customHeight="1" x14ac:dyDescent="0.2">
      <c r="B127" s="47"/>
      <c r="C127" s="47"/>
      <c r="D127" s="47"/>
      <c r="E127" s="47"/>
      <c r="F127" s="8"/>
      <c r="G127" s="17" t="s">
        <v>10</v>
      </c>
      <c r="H127" s="17"/>
      <c r="I127" s="13"/>
      <c r="J127" s="13"/>
      <c r="K127" s="80">
        <f>IF($Q$24=0,IF(K70=$Q$19,$Q$18,0),IF(K$70=$Q$19,$Q$18*K$87,IF(OR(AND($Q$19=0,K$70=$Q$19),AND(K$70&gt;=$Q$19+$Q$24,INT((K$70-$Q$19)/($Q$24))=(K$70-$Q$19)/($Q$24))),$Q$23*K$87,0)))</f>
        <v>0</v>
      </c>
      <c r="L127" s="80">
        <f t="shared" ref="L127:AI127" si="18">IF($Q$24=0,IF(L70=$Q$19,$Q$18,0),IF(L$70=$Q$19,$Q$18*L$87,IF(OR(AND($Q$19=0,L$70=$Q$19),AND(L$70&gt;=$Q$19+$Q$24,INT((L$70-$Q$19)/($Q$24))=(L$70-$Q$19)/($Q$24))),$Q$23*L$87,0)))</f>
        <v>0</v>
      </c>
      <c r="M127" s="80">
        <f t="shared" si="18"/>
        <v>0</v>
      </c>
      <c r="N127" s="80">
        <f t="shared" si="18"/>
        <v>0</v>
      </c>
      <c r="O127" s="80">
        <f t="shared" si="18"/>
        <v>0</v>
      </c>
      <c r="P127" s="80">
        <f t="shared" si="18"/>
        <v>0</v>
      </c>
      <c r="Q127" s="80">
        <f t="shared" si="18"/>
        <v>0</v>
      </c>
      <c r="R127" s="80">
        <f t="shared" si="18"/>
        <v>0</v>
      </c>
      <c r="S127" s="80">
        <f t="shared" si="18"/>
        <v>0</v>
      </c>
      <c r="T127" s="80">
        <f t="shared" si="18"/>
        <v>0</v>
      </c>
      <c r="U127" s="80">
        <f t="shared" si="18"/>
        <v>0</v>
      </c>
      <c r="V127" s="80">
        <f t="shared" si="18"/>
        <v>0</v>
      </c>
      <c r="W127" s="80">
        <f t="shared" si="18"/>
        <v>0</v>
      </c>
      <c r="X127" s="80">
        <f t="shared" si="18"/>
        <v>0</v>
      </c>
      <c r="Y127" s="80">
        <f t="shared" si="18"/>
        <v>0</v>
      </c>
      <c r="Z127" s="80">
        <f t="shared" si="18"/>
        <v>0</v>
      </c>
      <c r="AA127" s="80">
        <f t="shared" si="18"/>
        <v>0</v>
      </c>
      <c r="AB127" s="80">
        <f t="shared" si="18"/>
        <v>0</v>
      </c>
      <c r="AC127" s="80">
        <f t="shared" si="18"/>
        <v>0</v>
      </c>
      <c r="AD127" s="80">
        <f t="shared" si="18"/>
        <v>0</v>
      </c>
      <c r="AE127" s="80">
        <f t="shared" si="18"/>
        <v>0</v>
      </c>
      <c r="AF127" s="80">
        <f t="shared" si="18"/>
        <v>0</v>
      </c>
      <c r="AG127" s="80">
        <f t="shared" si="18"/>
        <v>0</v>
      </c>
      <c r="AH127" s="80">
        <f t="shared" si="18"/>
        <v>0</v>
      </c>
      <c r="AI127" s="80">
        <f t="shared" si="18"/>
        <v>0</v>
      </c>
      <c r="AJ127" s="80">
        <f>IF($Q$24=0,IF(AJ70=$Q$19,$Q$18,0),IF(AJ$70=$Q$19,$Q$18*AJ$87,IF(OR(AND($Q$19=0,AJ$70=$Q$19),AND(AJ$70&gt;=$Q$19+$Q$24,INT((AJ$70-$Q$19)/($Q$24))=(AJ$70-$Q$19)/($Q$24))),$Q$23*AJ$87,0)))</f>
        <v>0</v>
      </c>
    </row>
    <row r="128" spans="2:38" ht="15" hidden="1" customHeight="1" x14ac:dyDescent="0.2">
      <c r="B128" s="47"/>
      <c r="C128" s="47"/>
      <c r="D128" s="47"/>
      <c r="E128" s="47"/>
      <c r="F128" s="8"/>
      <c r="G128" s="17" t="s">
        <v>458</v>
      </c>
      <c r="H128" s="17"/>
      <c r="I128" s="13"/>
      <c r="J128" s="13"/>
      <c r="K128" s="35">
        <f>IF(K$70&lt;$Q$19,($K$21*K$87)-($K$22*K$87),($Q$21*K$87)-($Q$22*K$87))</f>
        <v>0</v>
      </c>
      <c r="L128" s="35">
        <f t="shared" ref="L128:AJ128" si="19">IF(L$70&lt;$Q$19,($K$21*L$87)-($K$22*L$87),($Q$21*L$87)-($Q$22*L$87))</f>
        <v>0</v>
      </c>
      <c r="M128" s="35">
        <f t="shared" si="19"/>
        <v>0</v>
      </c>
      <c r="N128" s="35">
        <f t="shared" si="19"/>
        <v>0</v>
      </c>
      <c r="O128" s="35">
        <f t="shared" si="19"/>
        <v>0</v>
      </c>
      <c r="P128" s="35">
        <f t="shared" si="19"/>
        <v>0</v>
      </c>
      <c r="Q128" s="35">
        <f t="shared" si="19"/>
        <v>0</v>
      </c>
      <c r="R128" s="35">
        <f t="shared" si="19"/>
        <v>0</v>
      </c>
      <c r="S128" s="35">
        <f t="shared" si="19"/>
        <v>0</v>
      </c>
      <c r="T128" s="35">
        <f t="shared" si="19"/>
        <v>0</v>
      </c>
      <c r="U128" s="35">
        <f t="shared" si="19"/>
        <v>0</v>
      </c>
      <c r="V128" s="35">
        <f t="shared" si="19"/>
        <v>0</v>
      </c>
      <c r="W128" s="35">
        <f t="shared" si="19"/>
        <v>0</v>
      </c>
      <c r="X128" s="35">
        <f t="shared" si="19"/>
        <v>0</v>
      </c>
      <c r="Y128" s="35">
        <f t="shared" si="19"/>
        <v>0</v>
      </c>
      <c r="Z128" s="35">
        <f t="shared" si="19"/>
        <v>0</v>
      </c>
      <c r="AA128" s="35">
        <f t="shared" si="19"/>
        <v>0</v>
      </c>
      <c r="AB128" s="35">
        <f t="shared" si="19"/>
        <v>0</v>
      </c>
      <c r="AC128" s="35">
        <f t="shared" si="19"/>
        <v>0</v>
      </c>
      <c r="AD128" s="35">
        <f t="shared" si="19"/>
        <v>0</v>
      </c>
      <c r="AE128" s="35">
        <f t="shared" si="19"/>
        <v>0</v>
      </c>
      <c r="AF128" s="35">
        <f t="shared" si="19"/>
        <v>0</v>
      </c>
      <c r="AG128" s="35">
        <f t="shared" si="19"/>
        <v>0</v>
      </c>
      <c r="AH128" s="35">
        <f t="shared" si="19"/>
        <v>0</v>
      </c>
      <c r="AI128" s="35">
        <f t="shared" si="19"/>
        <v>0</v>
      </c>
      <c r="AJ128" s="35">
        <f t="shared" si="19"/>
        <v>0</v>
      </c>
      <c r="AL128" s="121"/>
    </row>
    <row r="129" spans="2:36" ht="15" hidden="1" customHeight="1" x14ac:dyDescent="0.2">
      <c r="B129" s="47"/>
      <c r="C129" s="47"/>
      <c r="D129" s="47"/>
      <c r="E129" s="47"/>
      <c r="F129" s="8"/>
      <c r="G129" s="17" t="s">
        <v>12</v>
      </c>
      <c r="H129" s="17"/>
      <c r="I129" s="13"/>
      <c r="J129" s="13"/>
      <c r="K129" s="35">
        <f t="shared" ref="K129:AI129" si="20">K$117*K121</f>
        <v>0</v>
      </c>
      <c r="L129" s="35">
        <f t="shared" si="20"/>
        <v>0</v>
      </c>
      <c r="M129" s="35">
        <f t="shared" si="20"/>
        <v>0</v>
      </c>
      <c r="N129" s="35">
        <f t="shared" si="20"/>
        <v>0</v>
      </c>
      <c r="O129" s="35">
        <f t="shared" si="20"/>
        <v>0</v>
      </c>
      <c r="P129" s="35">
        <f t="shared" si="20"/>
        <v>0</v>
      </c>
      <c r="Q129" s="35">
        <f t="shared" si="20"/>
        <v>0</v>
      </c>
      <c r="R129" s="35">
        <f t="shared" si="20"/>
        <v>0</v>
      </c>
      <c r="S129" s="35">
        <f t="shared" si="20"/>
        <v>0</v>
      </c>
      <c r="T129" s="35">
        <f t="shared" si="20"/>
        <v>0</v>
      </c>
      <c r="U129" s="35">
        <f t="shared" si="20"/>
        <v>0</v>
      </c>
      <c r="V129" s="35">
        <f t="shared" si="20"/>
        <v>0</v>
      </c>
      <c r="W129" s="35">
        <f t="shared" si="20"/>
        <v>0</v>
      </c>
      <c r="X129" s="35">
        <f t="shared" si="20"/>
        <v>0</v>
      </c>
      <c r="Y129" s="35">
        <f t="shared" si="20"/>
        <v>0</v>
      </c>
      <c r="Z129" s="35">
        <f t="shared" si="20"/>
        <v>0</v>
      </c>
      <c r="AA129" s="35">
        <f t="shared" si="20"/>
        <v>0</v>
      </c>
      <c r="AB129" s="80">
        <f t="shared" si="20"/>
        <v>0</v>
      </c>
      <c r="AC129" s="35">
        <f t="shared" si="20"/>
        <v>0</v>
      </c>
      <c r="AD129" s="35">
        <f t="shared" si="20"/>
        <v>0</v>
      </c>
      <c r="AE129" s="35">
        <f t="shared" si="20"/>
        <v>0</v>
      </c>
      <c r="AF129" s="35">
        <f t="shared" si="20"/>
        <v>0</v>
      </c>
      <c r="AG129" s="35">
        <f t="shared" si="20"/>
        <v>0</v>
      </c>
      <c r="AH129" s="35">
        <f t="shared" si="20"/>
        <v>0</v>
      </c>
      <c r="AI129" s="35">
        <f t="shared" si="20"/>
        <v>0</v>
      </c>
      <c r="AJ129" s="35">
        <f>AJ$117*AJ121</f>
        <v>0</v>
      </c>
    </row>
    <row r="130" spans="2:36" ht="15" hidden="1" customHeight="1" x14ac:dyDescent="0.2">
      <c r="B130" s="47"/>
      <c r="C130" s="47"/>
      <c r="D130" s="47"/>
      <c r="E130" s="47"/>
      <c r="F130" s="8"/>
      <c r="G130" s="17" t="s">
        <v>13</v>
      </c>
      <c r="H130" s="17"/>
      <c r="I130" s="13"/>
      <c r="J130" s="13"/>
      <c r="K130" s="35">
        <f>K$88*K125</f>
        <v>0</v>
      </c>
      <c r="L130" s="35">
        <f t="shared" ref="L130:AJ130" si="21">L$88*L125</f>
        <v>0</v>
      </c>
      <c r="M130" s="35">
        <f t="shared" si="21"/>
        <v>0</v>
      </c>
      <c r="N130" s="35">
        <f t="shared" si="21"/>
        <v>0</v>
      </c>
      <c r="O130" s="35">
        <f t="shared" si="21"/>
        <v>0</v>
      </c>
      <c r="P130" s="35">
        <f t="shared" si="21"/>
        <v>0</v>
      </c>
      <c r="Q130" s="35">
        <f t="shared" si="21"/>
        <v>0</v>
      </c>
      <c r="R130" s="35">
        <f t="shared" si="21"/>
        <v>0</v>
      </c>
      <c r="S130" s="35">
        <f t="shared" si="21"/>
        <v>0</v>
      </c>
      <c r="T130" s="35">
        <f t="shared" si="21"/>
        <v>0</v>
      </c>
      <c r="U130" s="35">
        <f t="shared" si="21"/>
        <v>0</v>
      </c>
      <c r="V130" s="35">
        <f t="shared" si="21"/>
        <v>0</v>
      </c>
      <c r="W130" s="35">
        <f t="shared" si="21"/>
        <v>0</v>
      </c>
      <c r="X130" s="35">
        <f t="shared" si="21"/>
        <v>0</v>
      </c>
      <c r="Y130" s="35">
        <f t="shared" si="21"/>
        <v>0</v>
      </c>
      <c r="Z130" s="35">
        <f t="shared" si="21"/>
        <v>0</v>
      </c>
      <c r="AA130" s="35">
        <f t="shared" si="21"/>
        <v>0</v>
      </c>
      <c r="AB130" s="35">
        <f t="shared" si="21"/>
        <v>0</v>
      </c>
      <c r="AC130" s="35">
        <f t="shared" si="21"/>
        <v>0</v>
      </c>
      <c r="AD130" s="35">
        <f t="shared" si="21"/>
        <v>0</v>
      </c>
      <c r="AE130" s="35">
        <f t="shared" si="21"/>
        <v>0</v>
      </c>
      <c r="AF130" s="35">
        <f t="shared" si="21"/>
        <v>0</v>
      </c>
      <c r="AG130" s="35">
        <f t="shared" si="21"/>
        <v>0</v>
      </c>
      <c r="AH130" s="35">
        <f t="shared" si="21"/>
        <v>0</v>
      </c>
      <c r="AI130" s="35">
        <f t="shared" si="21"/>
        <v>0</v>
      </c>
      <c r="AJ130" s="35">
        <f t="shared" si="21"/>
        <v>0</v>
      </c>
    </row>
    <row r="131" spans="2:36" ht="15" hidden="1" customHeight="1" x14ac:dyDescent="0.2">
      <c r="B131" s="47"/>
      <c r="C131" s="47"/>
      <c r="D131" s="47"/>
      <c r="E131" s="47"/>
      <c r="F131" s="8"/>
      <c r="G131" s="17"/>
      <c r="H131" s="17"/>
      <c r="I131" s="13"/>
      <c r="J131" s="13"/>
      <c r="K131" s="35"/>
      <c r="L131" s="35"/>
      <c r="M131" s="35"/>
      <c r="N131" s="35"/>
      <c r="O131" s="35"/>
      <c r="P131" s="35"/>
      <c r="Q131" s="35"/>
      <c r="R131" s="35"/>
      <c r="S131" s="35"/>
      <c r="T131" s="35"/>
      <c r="U131" s="35"/>
      <c r="V131" s="35"/>
      <c r="W131" s="35"/>
      <c r="X131" s="35"/>
      <c r="Y131" s="35"/>
      <c r="Z131" s="35"/>
      <c r="AA131" s="35"/>
      <c r="AB131" s="80"/>
      <c r="AC131" s="35"/>
      <c r="AD131" s="35"/>
      <c r="AE131" s="35"/>
      <c r="AF131" s="35"/>
      <c r="AG131" s="35"/>
      <c r="AH131" s="35"/>
      <c r="AI131" s="35"/>
      <c r="AJ131" s="35"/>
    </row>
    <row r="132" spans="2:36" ht="15" hidden="1" customHeight="1" x14ac:dyDescent="0.2">
      <c r="B132" s="47"/>
      <c r="C132" s="47"/>
      <c r="D132" s="47"/>
      <c r="E132" s="47"/>
      <c r="F132" s="8"/>
      <c r="G132" s="17" t="s">
        <v>14</v>
      </c>
      <c r="H132" s="17"/>
      <c r="I132" s="13"/>
      <c r="J132" s="13"/>
      <c r="K132" s="35">
        <f>SUM(K127:K130)</f>
        <v>0</v>
      </c>
      <c r="L132" s="35">
        <f t="shared" ref="L132:AH132" si="22">SUM(L127:L130)</f>
        <v>0</v>
      </c>
      <c r="M132" s="35">
        <f t="shared" si="22"/>
        <v>0</v>
      </c>
      <c r="N132" s="35">
        <f t="shared" si="22"/>
        <v>0</v>
      </c>
      <c r="O132" s="35">
        <f t="shared" si="22"/>
        <v>0</v>
      </c>
      <c r="P132" s="35">
        <f t="shared" si="22"/>
        <v>0</v>
      </c>
      <c r="Q132" s="35">
        <f t="shared" si="22"/>
        <v>0</v>
      </c>
      <c r="R132" s="35">
        <f t="shared" si="22"/>
        <v>0</v>
      </c>
      <c r="S132" s="35">
        <f t="shared" si="22"/>
        <v>0</v>
      </c>
      <c r="T132" s="35">
        <f t="shared" si="22"/>
        <v>0</v>
      </c>
      <c r="U132" s="35">
        <f t="shared" si="22"/>
        <v>0</v>
      </c>
      <c r="V132" s="35">
        <f t="shared" si="22"/>
        <v>0</v>
      </c>
      <c r="W132" s="35">
        <f t="shared" si="22"/>
        <v>0</v>
      </c>
      <c r="X132" s="35">
        <f t="shared" si="22"/>
        <v>0</v>
      </c>
      <c r="Y132" s="35">
        <f t="shared" si="22"/>
        <v>0</v>
      </c>
      <c r="Z132" s="35">
        <f t="shared" si="22"/>
        <v>0</v>
      </c>
      <c r="AA132" s="35">
        <f t="shared" si="22"/>
        <v>0</v>
      </c>
      <c r="AB132" s="80">
        <f t="shared" si="22"/>
        <v>0</v>
      </c>
      <c r="AC132" s="35">
        <f t="shared" si="22"/>
        <v>0</v>
      </c>
      <c r="AD132" s="35">
        <f t="shared" si="22"/>
        <v>0</v>
      </c>
      <c r="AE132" s="35">
        <f t="shared" si="22"/>
        <v>0</v>
      </c>
      <c r="AF132" s="35">
        <f t="shared" si="22"/>
        <v>0</v>
      </c>
      <c r="AG132" s="35">
        <f t="shared" si="22"/>
        <v>0</v>
      </c>
      <c r="AH132" s="35">
        <f t="shared" si="22"/>
        <v>0</v>
      </c>
      <c r="AI132" s="35">
        <f>SUM(AI127:AI130)</f>
        <v>0</v>
      </c>
      <c r="AJ132" s="35">
        <f>SUM(AJ127:AJ130)</f>
        <v>0</v>
      </c>
    </row>
    <row r="133" spans="2:36" ht="15" hidden="1" customHeight="1" x14ac:dyDescent="0.2">
      <c r="B133" s="47"/>
      <c r="C133" s="47"/>
      <c r="D133" s="47"/>
      <c r="E133" s="47"/>
      <c r="F133" s="8"/>
      <c r="G133" s="17" t="s">
        <v>435</v>
      </c>
      <c r="H133" s="17"/>
      <c r="I133" s="13"/>
      <c r="J133" s="13"/>
      <c r="K133" s="35">
        <f>K132</f>
        <v>0</v>
      </c>
      <c r="L133" s="35">
        <f t="shared" ref="L133:AJ133" si="23">K133+L132</f>
        <v>0</v>
      </c>
      <c r="M133" s="35">
        <f t="shared" si="23"/>
        <v>0</v>
      </c>
      <c r="N133" s="35">
        <f t="shared" si="23"/>
        <v>0</v>
      </c>
      <c r="O133" s="35">
        <f t="shared" si="23"/>
        <v>0</v>
      </c>
      <c r="P133" s="35">
        <f t="shared" si="23"/>
        <v>0</v>
      </c>
      <c r="Q133" s="35">
        <f t="shared" si="23"/>
        <v>0</v>
      </c>
      <c r="R133" s="35">
        <f t="shared" si="23"/>
        <v>0</v>
      </c>
      <c r="S133" s="35">
        <f t="shared" si="23"/>
        <v>0</v>
      </c>
      <c r="T133" s="35">
        <f t="shared" si="23"/>
        <v>0</v>
      </c>
      <c r="U133" s="35">
        <f t="shared" si="23"/>
        <v>0</v>
      </c>
      <c r="V133" s="35">
        <f t="shared" si="23"/>
        <v>0</v>
      </c>
      <c r="W133" s="35">
        <f t="shared" si="23"/>
        <v>0</v>
      </c>
      <c r="X133" s="35">
        <f t="shared" si="23"/>
        <v>0</v>
      </c>
      <c r="Y133" s="35">
        <f t="shared" si="23"/>
        <v>0</v>
      </c>
      <c r="Z133" s="35">
        <f t="shared" si="23"/>
        <v>0</v>
      </c>
      <c r="AA133" s="35">
        <f t="shared" si="23"/>
        <v>0</v>
      </c>
      <c r="AB133" s="80">
        <f t="shared" si="23"/>
        <v>0</v>
      </c>
      <c r="AC133" s="35">
        <f t="shared" si="23"/>
        <v>0</v>
      </c>
      <c r="AD133" s="35">
        <f t="shared" si="23"/>
        <v>0</v>
      </c>
      <c r="AE133" s="35">
        <f t="shared" si="23"/>
        <v>0</v>
      </c>
      <c r="AF133" s="35">
        <f t="shared" si="23"/>
        <v>0</v>
      </c>
      <c r="AG133" s="35">
        <f t="shared" si="23"/>
        <v>0</v>
      </c>
      <c r="AH133" s="35">
        <f t="shared" si="23"/>
        <v>0</v>
      </c>
      <c r="AI133" s="35">
        <f t="shared" si="23"/>
        <v>0</v>
      </c>
      <c r="AJ133" s="35">
        <f t="shared" si="23"/>
        <v>0</v>
      </c>
    </row>
    <row r="134" spans="2:36" ht="15" hidden="1" customHeight="1" x14ac:dyDescent="0.2">
      <c r="B134" s="47"/>
      <c r="C134" s="47"/>
      <c r="D134" s="47"/>
      <c r="E134" s="47"/>
      <c r="F134" s="8"/>
      <c r="G134" s="17"/>
      <c r="H134" s="17"/>
      <c r="I134" s="13"/>
      <c r="J134" s="13"/>
      <c r="K134" s="17"/>
      <c r="L134" s="17"/>
      <c r="M134" s="17"/>
      <c r="N134" s="17"/>
      <c r="O134" s="17"/>
      <c r="P134" s="17"/>
      <c r="Q134" s="17"/>
      <c r="R134" s="17"/>
      <c r="S134" s="17"/>
      <c r="T134" s="17"/>
      <c r="U134" s="17"/>
      <c r="V134" s="17"/>
      <c r="W134" s="17"/>
      <c r="X134" s="17"/>
      <c r="Y134" s="17"/>
      <c r="Z134" s="17"/>
      <c r="AA134" s="17"/>
      <c r="AB134" s="82"/>
      <c r="AC134" s="17"/>
      <c r="AD134" s="17"/>
      <c r="AE134" s="17"/>
      <c r="AF134" s="17"/>
      <c r="AG134" s="17"/>
      <c r="AH134" s="17"/>
      <c r="AI134" s="17"/>
      <c r="AJ134" s="17"/>
    </row>
    <row r="135" spans="2:36" ht="15" hidden="1" customHeight="1" x14ac:dyDescent="0.2">
      <c r="B135" s="47"/>
      <c r="C135" s="47"/>
      <c r="D135" s="47"/>
      <c r="E135" s="47"/>
      <c r="F135" s="8"/>
      <c r="G135" s="17" t="s">
        <v>17</v>
      </c>
      <c r="H135" s="17"/>
      <c r="I135" s="13"/>
      <c r="J135" s="13"/>
      <c r="K135" s="35">
        <f>K132/(((Data!$P$186/100)+1)^K$70)</f>
        <v>0</v>
      </c>
      <c r="L135" s="35">
        <f>L132/(((Data!$P$186/100)+1)^L$70)</f>
        <v>0</v>
      </c>
      <c r="M135" s="35">
        <f>M132/(((Data!$P$186/100)+1)^M$70)</f>
        <v>0</v>
      </c>
      <c r="N135" s="35">
        <f>N132/(((Data!$P$186/100)+1)^N$70)</f>
        <v>0</v>
      </c>
      <c r="O135" s="35">
        <f>O132/(((Data!$P$186/100)+1)^O$70)</f>
        <v>0</v>
      </c>
      <c r="P135" s="35">
        <f>P132/(((Data!$P$186/100)+1)^P$70)</f>
        <v>0</v>
      </c>
      <c r="Q135" s="35">
        <f>Q132/(((Data!$P$186/100)+1)^Q$70)</f>
        <v>0</v>
      </c>
      <c r="R135" s="35">
        <f>R132/(((Data!$P$186/100)+1)^R$70)</f>
        <v>0</v>
      </c>
      <c r="S135" s="35">
        <f>S132/(((Data!$P$186/100)+1)^S$70)</f>
        <v>0</v>
      </c>
      <c r="T135" s="35">
        <f>T132/(((Data!$P$186/100)+1)^T$70)</f>
        <v>0</v>
      </c>
      <c r="U135" s="35">
        <f>U132/(((Data!$P$186/100)+1)^U$70)</f>
        <v>0</v>
      </c>
      <c r="V135" s="35">
        <f>V132/(((Data!$P$186/100)+1)^V$70)</f>
        <v>0</v>
      </c>
      <c r="W135" s="35">
        <f>W132/(((Data!$P$186/100)+1)^W$70)</f>
        <v>0</v>
      </c>
      <c r="X135" s="35">
        <f>X132/(((Data!$P$186/100)+1)^X$70)</f>
        <v>0</v>
      </c>
      <c r="Y135" s="35">
        <f>Y132/(((Data!$P$186/100)+1)^Y$70)</f>
        <v>0</v>
      </c>
      <c r="Z135" s="35">
        <f>Z132/(((Data!$P$186/100)+1)^Z$70)</f>
        <v>0</v>
      </c>
      <c r="AA135" s="35">
        <f>AA132/(((Data!$P$186/100)+1)^AA$70)</f>
        <v>0</v>
      </c>
      <c r="AB135" s="80">
        <f>AB132/(((Data!$P$186/100)+1)^AB$70)</f>
        <v>0</v>
      </c>
      <c r="AC135" s="35">
        <f>AC132/(((Data!$P$186/100)+1)^AC$70)</f>
        <v>0</v>
      </c>
      <c r="AD135" s="35">
        <f>AD132/(((Data!$P$186/100)+1)^AD$70)</f>
        <v>0</v>
      </c>
      <c r="AE135" s="35">
        <f>AE132/(((Data!$P$186/100)+1)^AE$70)</f>
        <v>0</v>
      </c>
      <c r="AF135" s="35">
        <f>AF132/(((Data!$P$186/100)+1)^AF$70)</f>
        <v>0</v>
      </c>
      <c r="AG135" s="35">
        <f>AG132/(((Data!$P$186/100)+1)^AG$70)</f>
        <v>0</v>
      </c>
      <c r="AH135" s="35">
        <f>AH132/(((Data!$P$186/100)+1)^AH$70)</f>
        <v>0</v>
      </c>
      <c r="AI135" s="35">
        <f>AI132/(((Data!$P$186/100)+1)^AI$70)</f>
        <v>0</v>
      </c>
      <c r="AJ135" s="35">
        <f>AJ132/(((Data!$P$186/100)+1)^AJ$70)</f>
        <v>0</v>
      </c>
    </row>
    <row r="136" spans="2:36" ht="15" hidden="1" customHeight="1" x14ac:dyDescent="0.2">
      <c r="B136" s="47"/>
      <c r="C136" s="47"/>
      <c r="D136" s="47"/>
      <c r="E136" s="47"/>
      <c r="F136" s="8"/>
      <c r="G136" s="15" t="s">
        <v>184</v>
      </c>
      <c r="H136" s="15"/>
      <c r="I136" s="13"/>
      <c r="J136" s="13"/>
      <c r="K136" s="36">
        <f>K135</f>
        <v>0</v>
      </c>
      <c r="L136" s="36">
        <f t="shared" ref="L136:AI136" si="24">K136+L135</f>
        <v>0</v>
      </c>
      <c r="M136" s="36">
        <f t="shared" si="24"/>
        <v>0</v>
      </c>
      <c r="N136" s="36">
        <f t="shared" si="24"/>
        <v>0</v>
      </c>
      <c r="O136" s="36">
        <f t="shared" si="24"/>
        <v>0</v>
      </c>
      <c r="P136" s="36">
        <f t="shared" si="24"/>
        <v>0</v>
      </c>
      <c r="Q136" s="36">
        <f t="shared" si="24"/>
        <v>0</v>
      </c>
      <c r="R136" s="36">
        <f t="shared" si="24"/>
        <v>0</v>
      </c>
      <c r="S136" s="36">
        <f t="shared" si="24"/>
        <v>0</v>
      </c>
      <c r="T136" s="36">
        <f t="shared" si="24"/>
        <v>0</v>
      </c>
      <c r="U136" s="36">
        <f t="shared" si="24"/>
        <v>0</v>
      </c>
      <c r="V136" s="36">
        <f t="shared" si="24"/>
        <v>0</v>
      </c>
      <c r="W136" s="36">
        <f t="shared" si="24"/>
        <v>0</v>
      </c>
      <c r="X136" s="36">
        <f t="shared" si="24"/>
        <v>0</v>
      </c>
      <c r="Y136" s="36">
        <f t="shared" si="24"/>
        <v>0</v>
      </c>
      <c r="Z136" s="36">
        <f t="shared" si="24"/>
        <v>0</v>
      </c>
      <c r="AA136" s="36">
        <f t="shared" si="24"/>
        <v>0</v>
      </c>
      <c r="AB136" s="83">
        <f t="shared" si="24"/>
        <v>0</v>
      </c>
      <c r="AC136" s="36">
        <f t="shared" si="24"/>
        <v>0</v>
      </c>
      <c r="AD136" s="36">
        <f t="shared" si="24"/>
        <v>0</v>
      </c>
      <c r="AE136" s="36">
        <f t="shared" si="24"/>
        <v>0</v>
      </c>
      <c r="AF136" s="36">
        <f t="shared" si="24"/>
        <v>0</v>
      </c>
      <c r="AG136" s="36">
        <f t="shared" si="24"/>
        <v>0</v>
      </c>
      <c r="AH136" s="36">
        <f t="shared" si="24"/>
        <v>0</v>
      </c>
      <c r="AI136" s="36">
        <f t="shared" si="24"/>
        <v>0</v>
      </c>
      <c r="AJ136" s="36">
        <f>AI136+AJ135</f>
        <v>0</v>
      </c>
    </row>
    <row r="137" spans="2:36" ht="15" hidden="1" customHeight="1" x14ac:dyDescent="0.2">
      <c r="B137" s="47"/>
      <c r="C137" s="47"/>
      <c r="D137" s="47"/>
      <c r="E137" s="47"/>
      <c r="F137" s="8"/>
      <c r="G137" s="64"/>
      <c r="H137" s="64"/>
      <c r="I137" s="8"/>
      <c r="J137" s="8"/>
      <c r="K137" s="99"/>
      <c r="L137" s="99"/>
      <c r="M137" s="99"/>
      <c r="N137" s="99"/>
      <c r="O137" s="99"/>
      <c r="P137" s="99"/>
      <c r="Q137" s="99"/>
      <c r="R137" s="99"/>
      <c r="S137" s="99"/>
      <c r="T137" s="99"/>
      <c r="U137" s="99"/>
      <c r="V137" s="99"/>
      <c r="W137" s="99"/>
      <c r="X137" s="99"/>
      <c r="Y137" s="99"/>
      <c r="Z137" s="99"/>
      <c r="AA137" s="99"/>
      <c r="AB137" s="100"/>
      <c r="AC137" s="99"/>
      <c r="AD137" s="99"/>
      <c r="AE137" s="99"/>
      <c r="AF137" s="99"/>
      <c r="AG137" s="99"/>
      <c r="AH137" s="99"/>
      <c r="AI137" s="99"/>
      <c r="AJ137" s="99"/>
    </row>
    <row r="138" spans="2:36" ht="15" hidden="1" customHeight="1" x14ac:dyDescent="0.2">
      <c r="B138" s="47"/>
      <c r="C138" s="47"/>
      <c r="D138" s="47"/>
      <c r="E138" s="47"/>
      <c r="F138" s="8"/>
      <c r="G138" s="906" t="s">
        <v>530</v>
      </c>
      <c r="H138" s="839"/>
      <c r="I138" s="839"/>
      <c r="J138" s="839"/>
      <c r="K138" s="917"/>
      <c r="L138" s="917"/>
      <c r="M138" s="917"/>
      <c r="N138" s="917"/>
      <c r="O138" s="917"/>
      <c r="P138" s="917"/>
      <c r="Q138" s="917"/>
      <c r="R138" s="917"/>
      <c r="S138" s="917"/>
      <c r="T138" s="917"/>
      <c r="U138" s="917"/>
      <c r="V138" s="917"/>
      <c r="W138" s="917"/>
      <c r="X138" s="917"/>
      <c r="Y138" s="917"/>
      <c r="Z138" s="917"/>
      <c r="AA138" s="917"/>
      <c r="AB138" s="918"/>
      <c r="AC138" s="917"/>
      <c r="AD138" s="917"/>
      <c r="AE138" s="917"/>
      <c r="AF138" s="917"/>
      <c r="AG138" s="917"/>
      <c r="AH138" s="917"/>
      <c r="AI138" s="917"/>
      <c r="AJ138" s="917"/>
    </row>
    <row r="139" spans="2:36" ht="15" hidden="1" customHeight="1" x14ac:dyDescent="0.2">
      <c r="B139" s="47"/>
      <c r="C139" s="47"/>
      <c r="D139" s="47"/>
      <c r="E139" s="47"/>
      <c r="F139" s="8"/>
      <c r="G139" s="839"/>
      <c r="H139" s="839"/>
      <c r="I139" s="839"/>
      <c r="J139" s="839"/>
      <c r="K139" s="917"/>
      <c r="L139" s="917"/>
      <c r="M139" s="917"/>
      <c r="N139" s="917"/>
      <c r="O139" s="917"/>
      <c r="P139" s="917"/>
      <c r="Q139" s="917"/>
      <c r="R139" s="917"/>
      <c r="S139" s="917"/>
      <c r="T139" s="917"/>
      <c r="U139" s="917"/>
      <c r="V139" s="917"/>
      <c r="W139" s="917"/>
      <c r="X139" s="917"/>
      <c r="Y139" s="917"/>
      <c r="Z139" s="917"/>
      <c r="AA139" s="917"/>
      <c r="AB139" s="918"/>
      <c r="AC139" s="917"/>
      <c r="AD139" s="917"/>
      <c r="AE139" s="917"/>
      <c r="AF139" s="917"/>
      <c r="AG139" s="917"/>
      <c r="AH139" s="917"/>
      <c r="AI139" s="917"/>
      <c r="AJ139" s="917"/>
    </row>
    <row r="140" spans="2:36" ht="15" hidden="1" customHeight="1" x14ac:dyDescent="0.2">
      <c r="B140" s="47"/>
      <c r="C140" s="47"/>
      <c r="D140" s="47"/>
      <c r="E140" s="47"/>
      <c r="F140" s="8"/>
      <c r="G140" s="839" t="s">
        <v>478</v>
      </c>
      <c r="H140" s="864"/>
      <c r="I140" s="864"/>
      <c r="J140" s="864"/>
      <c r="K140" s="919">
        <f>IF(K$70&lt;$Q$37,VLOOKUP($I$15,$G$75:$AJ$79,K$70+5,FALSE),VLOOKUP($O$33,$G$75:$AJ$79,K$70+5,FALSE))</f>
        <v>0.184</v>
      </c>
      <c r="L140" s="919">
        <f t="shared" ref="L140:AJ140" si="25">IF(L$70&lt;$Q$37,VLOOKUP($I$15,$G$75:$AJ$79,L$70+5,FALSE),VLOOKUP($O$33,$G$75:$AJ$79,L$70+5,FALSE))</f>
        <v>0.184</v>
      </c>
      <c r="M140" s="919">
        <f t="shared" si="25"/>
        <v>0.184</v>
      </c>
      <c r="N140" s="919">
        <f t="shared" si="25"/>
        <v>0.184</v>
      </c>
      <c r="O140" s="919">
        <f t="shared" si="25"/>
        <v>0.184</v>
      </c>
      <c r="P140" s="919">
        <f t="shared" si="25"/>
        <v>0.184</v>
      </c>
      <c r="Q140" s="919">
        <f t="shared" si="25"/>
        <v>0.184</v>
      </c>
      <c r="R140" s="919">
        <f t="shared" si="25"/>
        <v>0.184</v>
      </c>
      <c r="S140" s="919">
        <f t="shared" si="25"/>
        <v>0.184</v>
      </c>
      <c r="T140" s="919">
        <f t="shared" si="25"/>
        <v>0.184</v>
      </c>
      <c r="U140" s="919">
        <f t="shared" si="25"/>
        <v>0.184</v>
      </c>
      <c r="V140" s="919">
        <f t="shared" si="25"/>
        <v>0.184</v>
      </c>
      <c r="W140" s="919">
        <f t="shared" si="25"/>
        <v>0.184</v>
      </c>
      <c r="X140" s="919">
        <f t="shared" si="25"/>
        <v>0.184</v>
      </c>
      <c r="Y140" s="919">
        <f t="shared" si="25"/>
        <v>0.184</v>
      </c>
      <c r="Z140" s="919">
        <f t="shared" si="25"/>
        <v>0.184</v>
      </c>
      <c r="AA140" s="919">
        <f t="shared" si="25"/>
        <v>0.184</v>
      </c>
      <c r="AB140" s="919">
        <f t="shared" si="25"/>
        <v>0.184</v>
      </c>
      <c r="AC140" s="919">
        <f t="shared" si="25"/>
        <v>0.184</v>
      </c>
      <c r="AD140" s="919">
        <f t="shared" si="25"/>
        <v>0.184</v>
      </c>
      <c r="AE140" s="919">
        <f t="shared" si="25"/>
        <v>0.184</v>
      </c>
      <c r="AF140" s="919">
        <f t="shared" si="25"/>
        <v>0.184</v>
      </c>
      <c r="AG140" s="919">
        <f t="shared" si="25"/>
        <v>0.184</v>
      </c>
      <c r="AH140" s="919">
        <f t="shared" si="25"/>
        <v>0.184</v>
      </c>
      <c r="AI140" s="919">
        <f t="shared" si="25"/>
        <v>0.184</v>
      </c>
      <c r="AJ140" s="919">
        <f t="shared" si="25"/>
        <v>0.184</v>
      </c>
    </row>
    <row r="141" spans="2:36" ht="15" hidden="1" customHeight="1" x14ac:dyDescent="0.2">
      <c r="B141" s="47"/>
      <c r="C141" s="47"/>
      <c r="D141" s="47"/>
      <c r="E141" s="47"/>
      <c r="F141" s="8"/>
      <c r="G141" s="839" t="s">
        <v>479</v>
      </c>
      <c r="H141" s="864"/>
      <c r="I141" s="864"/>
      <c r="J141" s="864"/>
      <c r="K141" s="919">
        <f>IF(K$70&lt;$Q$37,VLOOKUP($I$15,$G$81:$AJ$85,K$70+5,FALSE),VLOOKUP($O$33,$G$81:$AJ$85,K$70+5,FALSE))</f>
        <v>0.09</v>
      </c>
      <c r="L141" s="919">
        <f t="shared" ref="L141:AJ141" si="26">IF(L$70&lt;$Q$37,VLOOKUP($I$15,$G$81:$AJ$85,L$70+5,FALSE),VLOOKUP($O$33,$G$81:$AJ$85,L$70+5,FALSE))</f>
        <v>9.5399999999999999E-2</v>
      </c>
      <c r="M141" s="919">
        <f t="shared" si="26"/>
        <v>0.10112400000000001</v>
      </c>
      <c r="N141" s="919">
        <f t="shared" si="26"/>
        <v>0.10719144000000001</v>
      </c>
      <c r="O141" s="919">
        <f t="shared" si="26"/>
        <v>0.11362292640000002</v>
      </c>
      <c r="P141" s="919">
        <f t="shared" si="26"/>
        <v>0.12044030198400002</v>
      </c>
      <c r="Q141" s="919">
        <f t="shared" si="26"/>
        <v>0.12766672010304003</v>
      </c>
      <c r="R141" s="919">
        <f t="shared" si="26"/>
        <v>0.13532672330922244</v>
      </c>
      <c r="S141" s="919">
        <f t="shared" si="26"/>
        <v>0.1434463267077758</v>
      </c>
      <c r="T141" s="919">
        <f t="shared" si="26"/>
        <v>0.15205310631024235</v>
      </c>
      <c r="U141" s="919">
        <f t="shared" si="26"/>
        <v>0.16117629268885691</v>
      </c>
      <c r="V141" s="919">
        <f t="shared" si="26"/>
        <v>0.17084687025018833</v>
      </c>
      <c r="W141" s="919">
        <f t="shared" si="26"/>
        <v>0.18109768246519964</v>
      </c>
      <c r="X141" s="919">
        <f t="shared" si="26"/>
        <v>0.19196354341311161</v>
      </c>
      <c r="Y141" s="919">
        <f t="shared" si="26"/>
        <v>0.20348135601789832</v>
      </c>
      <c r="Z141" s="919">
        <f t="shared" si="26"/>
        <v>0.21569023737897222</v>
      </c>
      <c r="AA141" s="919">
        <f t="shared" si="26"/>
        <v>0.22863165162171056</v>
      </c>
      <c r="AB141" s="919">
        <f t="shared" si="26"/>
        <v>0.24234955071901321</v>
      </c>
      <c r="AC141" s="919">
        <f t="shared" si="26"/>
        <v>0.25689052376215399</v>
      </c>
      <c r="AD141" s="919">
        <f t="shared" si="26"/>
        <v>0.27230395518788325</v>
      </c>
      <c r="AE141" s="919">
        <f t="shared" si="26"/>
        <v>0.28864219249915624</v>
      </c>
      <c r="AF141" s="919">
        <f t="shared" si="26"/>
        <v>0.30596072404910563</v>
      </c>
      <c r="AG141" s="919">
        <f t="shared" si="26"/>
        <v>0.32431836749205201</v>
      </c>
      <c r="AH141" s="919">
        <f t="shared" si="26"/>
        <v>0.34377746954157512</v>
      </c>
      <c r="AI141" s="919">
        <f t="shared" si="26"/>
        <v>0.36440411771406966</v>
      </c>
      <c r="AJ141" s="919">
        <f t="shared" si="26"/>
        <v>0.38626836477691384</v>
      </c>
    </row>
    <row r="142" spans="2:36" ht="15" hidden="1" customHeight="1" x14ac:dyDescent="0.2">
      <c r="F142" s="8"/>
      <c r="G142" s="839"/>
      <c r="H142" s="839"/>
      <c r="I142" s="839"/>
      <c r="J142" s="839"/>
      <c r="K142" s="917"/>
      <c r="L142" s="917"/>
      <c r="M142" s="917"/>
      <c r="N142" s="917"/>
      <c r="O142" s="917"/>
      <c r="P142" s="917"/>
      <c r="Q142" s="917"/>
      <c r="R142" s="917"/>
      <c r="S142" s="917"/>
      <c r="T142" s="917"/>
      <c r="U142" s="917"/>
      <c r="V142" s="917"/>
      <c r="W142" s="917"/>
      <c r="X142" s="917"/>
      <c r="Y142" s="917"/>
      <c r="Z142" s="917"/>
      <c r="AA142" s="917"/>
      <c r="AB142" s="918"/>
      <c r="AC142" s="917"/>
      <c r="AD142" s="917"/>
      <c r="AE142" s="917"/>
      <c r="AF142" s="917"/>
      <c r="AG142" s="917"/>
      <c r="AH142" s="917"/>
      <c r="AI142" s="917"/>
      <c r="AJ142" s="917"/>
    </row>
    <row r="143" spans="2:36" ht="15" hidden="1" customHeight="1" x14ac:dyDescent="0.2">
      <c r="F143" s="8"/>
      <c r="G143" s="839" t="s">
        <v>4</v>
      </c>
      <c r="H143" s="839"/>
      <c r="I143" s="839"/>
      <c r="J143" s="839"/>
      <c r="K143" s="920"/>
      <c r="L143" s="920"/>
      <c r="M143" s="920"/>
      <c r="N143" s="920"/>
      <c r="O143" s="920"/>
      <c r="P143" s="920"/>
      <c r="Q143" s="920"/>
      <c r="R143" s="920"/>
      <c r="S143" s="920"/>
      <c r="T143" s="920"/>
      <c r="U143" s="920"/>
      <c r="V143" s="920"/>
      <c r="W143" s="920"/>
      <c r="X143" s="920"/>
      <c r="Y143" s="920"/>
      <c r="Z143" s="920"/>
      <c r="AA143" s="920"/>
      <c r="AB143" s="921"/>
      <c r="AC143" s="920"/>
      <c r="AD143" s="920"/>
      <c r="AE143" s="920"/>
      <c r="AF143" s="920"/>
      <c r="AG143" s="920"/>
      <c r="AH143" s="920"/>
      <c r="AI143" s="920"/>
      <c r="AJ143" s="920"/>
    </row>
    <row r="144" spans="2:36" ht="15" hidden="1" customHeight="1" x14ac:dyDescent="0.2">
      <c r="F144" s="8"/>
      <c r="G144" s="839" t="s">
        <v>5</v>
      </c>
      <c r="H144" s="839"/>
      <c r="I144" s="839"/>
      <c r="J144" s="839"/>
      <c r="K144" s="920"/>
      <c r="L144" s="920"/>
      <c r="M144" s="920"/>
      <c r="N144" s="920"/>
      <c r="O144" s="920"/>
      <c r="P144" s="920"/>
      <c r="Q144" s="920"/>
      <c r="R144" s="920"/>
      <c r="S144" s="920"/>
      <c r="T144" s="920"/>
      <c r="U144" s="920"/>
      <c r="V144" s="920"/>
      <c r="W144" s="920"/>
      <c r="X144" s="920"/>
      <c r="Y144" s="920"/>
      <c r="Z144" s="920"/>
      <c r="AA144" s="920"/>
      <c r="AB144" s="921"/>
      <c r="AC144" s="920"/>
      <c r="AD144" s="920"/>
      <c r="AE144" s="920"/>
      <c r="AF144" s="920"/>
      <c r="AG144" s="920"/>
      <c r="AH144" s="920"/>
      <c r="AI144" s="920"/>
      <c r="AJ144" s="920"/>
    </row>
    <row r="145" spans="6:36" ht="15" hidden="1" customHeight="1" x14ac:dyDescent="0.2">
      <c r="F145" s="8"/>
      <c r="G145" s="839" t="s">
        <v>6</v>
      </c>
      <c r="H145" s="839"/>
      <c r="I145" s="839"/>
      <c r="J145" s="839"/>
      <c r="K145" s="917">
        <f>IF(K$70&lt;$Q$37,$K$11,$Q$30)</f>
        <v>0</v>
      </c>
      <c r="L145" s="917">
        <f t="shared" ref="L145:AI145" si="27">IF(L$70&lt;$Q$37,$K$11,$Q$30)</f>
        <v>0</v>
      </c>
      <c r="M145" s="917">
        <f t="shared" si="27"/>
        <v>0</v>
      </c>
      <c r="N145" s="917">
        <f t="shared" si="27"/>
        <v>0</v>
      </c>
      <c r="O145" s="917">
        <f t="shared" si="27"/>
        <v>0</v>
      </c>
      <c r="P145" s="917">
        <f t="shared" si="27"/>
        <v>0</v>
      </c>
      <c r="Q145" s="917">
        <f t="shared" si="27"/>
        <v>0</v>
      </c>
      <c r="R145" s="917">
        <f t="shared" si="27"/>
        <v>0</v>
      </c>
      <c r="S145" s="917">
        <f t="shared" si="27"/>
        <v>0</v>
      </c>
      <c r="T145" s="917">
        <f t="shared" si="27"/>
        <v>0</v>
      </c>
      <c r="U145" s="917">
        <f t="shared" si="27"/>
        <v>0</v>
      </c>
      <c r="V145" s="917">
        <f t="shared" si="27"/>
        <v>0</v>
      </c>
      <c r="W145" s="917">
        <f t="shared" si="27"/>
        <v>0</v>
      </c>
      <c r="X145" s="917">
        <f t="shared" si="27"/>
        <v>0</v>
      </c>
      <c r="Y145" s="917">
        <f t="shared" si="27"/>
        <v>0</v>
      </c>
      <c r="Z145" s="917">
        <f t="shared" si="27"/>
        <v>0</v>
      </c>
      <c r="AA145" s="917">
        <f t="shared" si="27"/>
        <v>0</v>
      </c>
      <c r="AB145" s="917">
        <f t="shared" si="27"/>
        <v>0</v>
      </c>
      <c r="AC145" s="917">
        <f t="shared" si="27"/>
        <v>0</v>
      </c>
      <c r="AD145" s="917">
        <f t="shared" si="27"/>
        <v>0</v>
      </c>
      <c r="AE145" s="917">
        <f t="shared" si="27"/>
        <v>0</v>
      </c>
      <c r="AF145" s="917">
        <f t="shared" si="27"/>
        <v>0</v>
      </c>
      <c r="AG145" s="917">
        <f t="shared" si="27"/>
        <v>0</v>
      </c>
      <c r="AH145" s="917">
        <f t="shared" si="27"/>
        <v>0</v>
      </c>
      <c r="AI145" s="917">
        <f t="shared" si="27"/>
        <v>0</v>
      </c>
      <c r="AJ145" s="917">
        <f>IF(AJ$70&lt;$Q$37,$K$11,$Q$30)</f>
        <v>0</v>
      </c>
    </row>
    <row r="146" spans="6:36" ht="15" hidden="1" customHeight="1" x14ac:dyDescent="0.2">
      <c r="F146" s="8"/>
      <c r="G146" s="839"/>
      <c r="H146" s="839"/>
      <c r="I146" s="839"/>
      <c r="J146" s="839"/>
      <c r="K146" s="917"/>
      <c r="L146" s="917"/>
      <c r="M146" s="917"/>
      <c r="N146" s="917"/>
      <c r="O146" s="917"/>
      <c r="P146" s="917"/>
      <c r="Q146" s="917"/>
      <c r="R146" s="917"/>
      <c r="S146" s="917"/>
      <c r="T146" s="917"/>
      <c r="U146" s="917"/>
      <c r="V146" s="917"/>
      <c r="W146" s="917"/>
      <c r="X146" s="917"/>
      <c r="Y146" s="917"/>
      <c r="Z146" s="917"/>
      <c r="AA146" s="917"/>
      <c r="AB146" s="918"/>
      <c r="AC146" s="917"/>
      <c r="AD146" s="917"/>
      <c r="AE146" s="917"/>
      <c r="AF146" s="917"/>
      <c r="AG146" s="917"/>
      <c r="AH146" s="917"/>
      <c r="AI146" s="917"/>
      <c r="AJ146" s="917"/>
    </row>
    <row r="147" spans="6:36" ht="15" hidden="1" customHeight="1" x14ac:dyDescent="0.2">
      <c r="F147" s="8"/>
      <c r="G147" s="839" t="s">
        <v>7</v>
      </c>
      <c r="H147" s="839"/>
      <c r="I147" s="839"/>
      <c r="J147" s="839"/>
      <c r="K147" s="920"/>
      <c r="L147" s="920"/>
      <c r="M147" s="920"/>
      <c r="N147" s="920"/>
      <c r="O147" s="920"/>
      <c r="P147" s="920"/>
      <c r="Q147" s="920"/>
      <c r="R147" s="920"/>
      <c r="S147" s="920"/>
      <c r="T147" s="920"/>
      <c r="U147" s="920"/>
      <c r="V147" s="920"/>
      <c r="W147" s="920"/>
      <c r="X147" s="920"/>
      <c r="Y147" s="920"/>
      <c r="Z147" s="920"/>
      <c r="AA147" s="920"/>
      <c r="AB147" s="921"/>
      <c r="AC147" s="920"/>
      <c r="AD147" s="920"/>
      <c r="AE147" s="920"/>
      <c r="AF147" s="920"/>
      <c r="AG147" s="920"/>
      <c r="AH147" s="920"/>
      <c r="AI147" s="920"/>
      <c r="AJ147" s="920"/>
    </row>
    <row r="148" spans="6:36" ht="15" hidden="1" customHeight="1" x14ac:dyDescent="0.2">
      <c r="F148" s="8"/>
      <c r="G148" s="839" t="s">
        <v>8</v>
      </c>
      <c r="H148" s="839"/>
      <c r="I148" s="839"/>
      <c r="J148" s="839"/>
      <c r="K148" s="920"/>
      <c r="L148" s="920"/>
      <c r="M148" s="920"/>
      <c r="N148" s="920"/>
      <c r="O148" s="920"/>
      <c r="P148" s="920"/>
      <c r="Q148" s="920"/>
      <c r="R148" s="920"/>
      <c r="S148" s="920"/>
      <c r="T148" s="920"/>
      <c r="U148" s="920"/>
      <c r="V148" s="920"/>
      <c r="W148" s="920"/>
      <c r="X148" s="920"/>
      <c r="Y148" s="920"/>
      <c r="Z148" s="920"/>
      <c r="AA148" s="920"/>
      <c r="AB148" s="921"/>
      <c r="AC148" s="920"/>
      <c r="AD148" s="920"/>
      <c r="AE148" s="920"/>
      <c r="AF148" s="920"/>
      <c r="AG148" s="920"/>
      <c r="AH148" s="920"/>
      <c r="AI148" s="920"/>
      <c r="AJ148" s="920"/>
    </row>
    <row r="149" spans="6:36" ht="15" hidden="1" customHeight="1" x14ac:dyDescent="0.2">
      <c r="F149" s="8"/>
      <c r="G149" s="839" t="s">
        <v>9</v>
      </c>
      <c r="H149" s="839"/>
      <c r="I149" s="839"/>
      <c r="J149" s="839"/>
      <c r="K149" s="917">
        <f>K$140*K145</f>
        <v>0</v>
      </c>
      <c r="L149" s="917">
        <f t="shared" ref="L149:AI149" si="28">L$140*L145</f>
        <v>0</v>
      </c>
      <c r="M149" s="917">
        <f t="shared" si="28"/>
        <v>0</v>
      </c>
      <c r="N149" s="917">
        <f t="shared" si="28"/>
        <v>0</v>
      </c>
      <c r="O149" s="917">
        <f t="shared" si="28"/>
        <v>0</v>
      </c>
      <c r="P149" s="917">
        <f t="shared" si="28"/>
        <v>0</v>
      </c>
      <c r="Q149" s="917">
        <f t="shared" si="28"/>
        <v>0</v>
      </c>
      <c r="R149" s="917">
        <f t="shared" si="28"/>
        <v>0</v>
      </c>
      <c r="S149" s="917">
        <f t="shared" si="28"/>
        <v>0</v>
      </c>
      <c r="T149" s="917">
        <f t="shared" si="28"/>
        <v>0</v>
      </c>
      <c r="U149" s="917">
        <f t="shared" si="28"/>
        <v>0</v>
      </c>
      <c r="V149" s="917">
        <f t="shared" si="28"/>
        <v>0</v>
      </c>
      <c r="W149" s="917">
        <f t="shared" si="28"/>
        <v>0</v>
      </c>
      <c r="X149" s="917">
        <f t="shared" si="28"/>
        <v>0</v>
      </c>
      <c r="Y149" s="917">
        <f t="shared" si="28"/>
        <v>0</v>
      </c>
      <c r="Z149" s="917">
        <f t="shared" si="28"/>
        <v>0</v>
      </c>
      <c r="AA149" s="917">
        <f t="shared" si="28"/>
        <v>0</v>
      </c>
      <c r="AB149" s="917">
        <f t="shared" si="28"/>
        <v>0</v>
      </c>
      <c r="AC149" s="917">
        <f t="shared" si="28"/>
        <v>0</v>
      </c>
      <c r="AD149" s="917">
        <f t="shared" si="28"/>
        <v>0</v>
      </c>
      <c r="AE149" s="917">
        <f t="shared" si="28"/>
        <v>0</v>
      </c>
      <c r="AF149" s="917">
        <f t="shared" si="28"/>
        <v>0</v>
      </c>
      <c r="AG149" s="917">
        <f t="shared" si="28"/>
        <v>0</v>
      </c>
      <c r="AH149" s="917">
        <f t="shared" si="28"/>
        <v>0</v>
      </c>
      <c r="AI149" s="917">
        <f t="shared" si="28"/>
        <v>0</v>
      </c>
      <c r="AJ149" s="917">
        <f>AJ$140*AJ145</f>
        <v>0</v>
      </c>
    </row>
    <row r="150" spans="6:36" ht="15" hidden="1" customHeight="1" x14ac:dyDescent="0.2">
      <c r="F150" s="8"/>
      <c r="G150" s="839"/>
      <c r="H150" s="839"/>
      <c r="I150" s="839"/>
      <c r="J150" s="839"/>
      <c r="K150" s="917"/>
      <c r="L150" s="917"/>
      <c r="M150" s="917"/>
      <c r="N150" s="917"/>
      <c r="O150" s="917"/>
      <c r="P150" s="917"/>
      <c r="Q150" s="917"/>
      <c r="R150" s="917"/>
      <c r="S150" s="917"/>
      <c r="T150" s="917"/>
      <c r="U150" s="917"/>
      <c r="V150" s="917"/>
      <c r="W150" s="917"/>
      <c r="X150" s="917"/>
      <c r="Y150" s="917"/>
      <c r="Z150" s="917"/>
      <c r="AA150" s="917"/>
      <c r="AB150" s="918"/>
      <c r="AC150" s="917"/>
      <c r="AD150" s="917"/>
      <c r="AE150" s="917"/>
      <c r="AF150" s="917"/>
      <c r="AG150" s="917"/>
      <c r="AH150" s="917"/>
      <c r="AI150" s="917"/>
      <c r="AJ150" s="917"/>
    </row>
    <row r="151" spans="6:36" ht="15" hidden="1" customHeight="1" x14ac:dyDescent="0.2">
      <c r="F151" s="8"/>
      <c r="G151" s="839" t="s">
        <v>10</v>
      </c>
      <c r="H151" s="839"/>
      <c r="I151" s="839"/>
      <c r="J151" s="839"/>
      <c r="K151" s="918">
        <f>IF($Q$42=0,IF(K70=$Q$37,$Q$36,0),IF(K$70=$Q$37,$Q$36*K$87,IF(OR(AND($Q$37=0,K$70=$Q$37),AND(K$70&gt;=$Q$37+$Q$42,INT((K$70-$Q$37)/($Q$42))=(K$70-$Q$37)/($Q$42))),$Q$41*K$87,0)))</f>
        <v>0</v>
      </c>
      <c r="L151" s="918">
        <f t="shared" ref="L151:AI151" si="29">IF($Q$42=0,IF(L70=$Q$37,$Q$36,0),IF(L$70=$Q$37,$Q$36*L$87,IF(OR(AND($Q$37=0,L$70=$Q$37),AND(L$70&gt;=$Q$37+$Q$42,INT((L$70-$Q$37)/($Q$42))=(L$70-$Q$37)/($Q$42))),$Q$41*L$87,0)))</f>
        <v>0</v>
      </c>
      <c r="M151" s="918">
        <f t="shared" si="29"/>
        <v>0</v>
      </c>
      <c r="N151" s="918">
        <f t="shared" si="29"/>
        <v>0</v>
      </c>
      <c r="O151" s="918">
        <f t="shared" si="29"/>
        <v>0</v>
      </c>
      <c r="P151" s="918">
        <f t="shared" si="29"/>
        <v>0</v>
      </c>
      <c r="Q151" s="918">
        <f t="shared" si="29"/>
        <v>0</v>
      </c>
      <c r="R151" s="918">
        <f t="shared" si="29"/>
        <v>0</v>
      </c>
      <c r="S151" s="918">
        <f t="shared" si="29"/>
        <v>0</v>
      </c>
      <c r="T151" s="918">
        <f t="shared" si="29"/>
        <v>0</v>
      </c>
      <c r="U151" s="918">
        <f t="shared" si="29"/>
        <v>0</v>
      </c>
      <c r="V151" s="918">
        <f t="shared" si="29"/>
        <v>0</v>
      </c>
      <c r="W151" s="918">
        <f t="shared" si="29"/>
        <v>0</v>
      </c>
      <c r="X151" s="918">
        <f t="shared" si="29"/>
        <v>0</v>
      </c>
      <c r="Y151" s="918">
        <f t="shared" si="29"/>
        <v>0</v>
      </c>
      <c r="Z151" s="918">
        <f t="shared" si="29"/>
        <v>0</v>
      </c>
      <c r="AA151" s="918">
        <f t="shared" si="29"/>
        <v>0</v>
      </c>
      <c r="AB151" s="918">
        <f t="shared" si="29"/>
        <v>0</v>
      </c>
      <c r="AC151" s="918">
        <f t="shared" si="29"/>
        <v>0</v>
      </c>
      <c r="AD151" s="918">
        <f t="shared" si="29"/>
        <v>0</v>
      </c>
      <c r="AE151" s="918">
        <f t="shared" si="29"/>
        <v>0</v>
      </c>
      <c r="AF151" s="918">
        <f t="shared" si="29"/>
        <v>0</v>
      </c>
      <c r="AG151" s="918">
        <f t="shared" si="29"/>
        <v>0</v>
      </c>
      <c r="AH151" s="918">
        <f t="shared" si="29"/>
        <v>0</v>
      </c>
      <c r="AI151" s="918">
        <f t="shared" si="29"/>
        <v>0</v>
      </c>
      <c r="AJ151" s="918">
        <f>IF($Q$42=0,IF(AJ70=$Q$37,$Q$36,0),IF(AJ$70=$Q$37,$Q$36*AJ$87,IF(OR(AND($Q$37=0,AJ$70=$Q$37),AND(AJ$70&gt;=$Q$37+$Q$42,INT((AJ$70-$Q$37)/($Q$42))=(AJ$70-$Q$37)/($Q$42))),$Q$41*AJ$87,0)))</f>
        <v>0</v>
      </c>
    </row>
    <row r="152" spans="6:36" ht="15" hidden="1" customHeight="1" x14ac:dyDescent="0.2">
      <c r="F152" s="8"/>
      <c r="G152" s="839" t="s">
        <v>458</v>
      </c>
      <c r="H152" s="839"/>
      <c r="I152" s="839"/>
      <c r="J152" s="839"/>
      <c r="K152" s="917">
        <f>IF(K$70&lt;$Q$37,($K$21*K$87)-($K$22*K$87),($Q$39*K$87)-($Q$40*K$87))</f>
        <v>0</v>
      </c>
      <c r="L152" s="917">
        <f>IF(L$70&lt;$Q$37,($K$21*L$87)-($K$22*L$87),($Q$39*L$87)-($Q$40*L$87))</f>
        <v>0</v>
      </c>
      <c r="M152" s="917">
        <f t="shared" ref="M152:AJ152" si="30">IF(M$70&lt;$Q$37,($K$21*M$87)-($K$22*M$87),($Q$39*M$87)-($Q$40*M$87))</f>
        <v>0</v>
      </c>
      <c r="N152" s="917">
        <f t="shared" si="30"/>
        <v>0</v>
      </c>
      <c r="O152" s="917">
        <f t="shared" si="30"/>
        <v>0</v>
      </c>
      <c r="P152" s="917">
        <f t="shared" si="30"/>
        <v>0</v>
      </c>
      <c r="Q152" s="917">
        <f t="shared" si="30"/>
        <v>0</v>
      </c>
      <c r="R152" s="917">
        <f t="shared" si="30"/>
        <v>0</v>
      </c>
      <c r="S152" s="917">
        <f t="shared" si="30"/>
        <v>0</v>
      </c>
      <c r="T152" s="917">
        <f t="shared" si="30"/>
        <v>0</v>
      </c>
      <c r="U152" s="917">
        <f t="shared" si="30"/>
        <v>0</v>
      </c>
      <c r="V152" s="917">
        <f t="shared" si="30"/>
        <v>0</v>
      </c>
      <c r="W152" s="917">
        <f t="shared" si="30"/>
        <v>0</v>
      </c>
      <c r="X152" s="917">
        <f t="shared" si="30"/>
        <v>0</v>
      </c>
      <c r="Y152" s="917">
        <f t="shared" si="30"/>
        <v>0</v>
      </c>
      <c r="Z152" s="917">
        <f t="shared" si="30"/>
        <v>0</v>
      </c>
      <c r="AA152" s="917">
        <f t="shared" si="30"/>
        <v>0</v>
      </c>
      <c r="AB152" s="917">
        <f t="shared" si="30"/>
        <v>0</v>
      </c>
      <c r="AC152" s="917">
        <f t="shared" si="30"/>
        <v>0</v>
      </c>
      <c r="AD152" s="917">
        <f t="shared" si="30"/>
        <v>0</v>
      </c>
      <c r="AE152" s="917">
        <f t="shared" si="30"/>
        <v>0</v>
      </c>
      <c r="AF152" s="917">
        <f t="shared" si="30"/>
        <v>0</v>
      </c>
      <c r="AG152" s="917">
        <f t="shared" si="30"/>
        <v>0</v>
      </c>
      <c r="AH152" s="917">
        <f t="shared" si="30"/>
        <v>0</v>
      </c>
      <c r="AI152" s="917">
        <f t="shared" si="30"/>
        <v>0</v>
      </c>
      <c r="AJ152" s="917">
        <f t="shared" si="30"/>
        <v>0</v>
      </c>
    </row>
    <row r="153" spans="6:36" ht="15" hidden="1" customHeight="1" x14ac:dyDescent="0.2">
      <c r="F153" s="8"/>
      <c r="G153" s="839" t="s">
        <v>12</v>
      </c>
      <c r="H153" s="839"/>
      <c r="I153" s="839"/>
      <c r="J153" s="839"/>
      <c r="K153" s="917">
        <f>K$141*K145</f>
        <v>0</v>
      </c>
      <c r="L153" s="917">
        <f t="shared" ref="L153:AI153" si="31">L$141*L145</f>
        <v>0</v>
      </c>
      <c r="M153" s="917">
        <f t="shared" si="31"/>
        <v>0</v>
      </c>
      <c r="N153" s="917">
        <f t="shared" si="31"/>
        <v>0</v>
      </c>
      <c r="O153" s="917">
        <f t="shared" si="31"/>
        <v>0</v>
      </c>
      <c r="P153" s="917">
        <f t="shared" si="31"/>
        <v>0</v>
      </c>
      <c r="Q153" s="917">
        <f t="shared" si="31"/>
        <v>0</v>
      </c>
      <c r="R153" s="917">
        <f t="shared" si="31"/>
        <v>0</v>
      </c>
      <c r="S153" s="917">
        <f t="shared" si="31"/>
        <v>0</v>
      </c>
      <c r="T153" s="917">
        <f t="shared" si="31"/>
        <v>0</v>
      </c>
      <c r="U153" s="917">
        <f t="shared" si="31"/>
        <v>0</v>
      </c>
      <c r="V153" s="917">
        <f t="shared" si="31"/>
        <v>0</v>
      </c>
      <c r="W153" s="917">
        <f t="shared" si="31"/>
        <v>0</v>
      </c>
      <c r="X153" s="917">
        <f t="shared" si="31"/>
        <v>0</v>
      </c>
      <c r="Y153" s="917">
        <f t="shared" si="31"/>
        <v>0</v>
      </c>
      <c r="Z153" s="917">
        <f t="shared" si="31"/>
        <v>0</v>
      </c>
      <c r="AA153" s="917">
        <f t="shared" si="31"/>
        <v>0</v>
      </c>
      <c r="AB153" s="917">
        <f t="shared" si="31"/>
        <v>0</v>
      </c>
      <c r="AC153" s="917">
        <f t="shared" si="31"/>
        <v>0</v>
      </c>
      <c r="AD153" s="917">
        <f t="shared" si="31"/>
        <v>0</v>
      </c>
      <c r="AE153" s="917">
        <f t="shared" si="31"/>
        <v>0</v>
      </c>
      <c r="AF153" s="917">
        <f t="shared" si="31"/>
        <v>0</v>
      </c>
      <c r="AG153" s="917">
        <f t="shared" si="31"/>
        <v>0</v>
      </c>
      <c r="AH153" s="917">
        <f t="shared" si="31"/>
        <v>0</v>
      </c>
      <c r="AI153" s="917">
        <f t="shared" si="31"/>
        <v>0</v>
      </c>
      <c r="AJ153" s="917">
        <f>AJ$141*AJ145</f>
        <v>0</v>
      </c>
    </row>
    <row r="154" spans="6:36" ht="15" hidden="1" customHeight="1" x14ac:dyDescent="0.2">
      <c r="G154" s="839" t="s">
        <v>13</v>
      </c>
      <c r="H154" s="839"/>
      <c r="I154" s="839"/>
      <c r="J154" s="839"/>
      <c r="K154" s="917">
        <f>K$88*K149</f>
        <v>0</v>
      </c>
      <c r="L154" s="917">
        <f t="shared" ref="L154:AJ154" si="32">L$88*L149</f>
        <v>0</v>
      </c>
      <c r="M154" s="917">
        <f t="shared" si="32"/>
        <v>0</v>
      </c>
      <c r="N154" s="917">
        <f t="shared" si="32"/>
        <v>0</v>
      </c>
      <c r="O154" s="917">
        <f t="shared" si="32"/>
        <v>0</v>
      </c>
      <c r="P154" s="917">
        <f t="shared" si="32"/>
        <v>0</v>
      </c>
      <c r="Q154" s="917">
        <f t="shared" si="32"/>
        <v>0</v>
      </c>
      <c r="R154" s="917">
        <f t="shared" si="32"/>
        <v>0</v>
      </c>
      <c r="S154" s="917">
        <f t="shared" si="32"/>
        <v>0</v>
      </c>
      <c r="T154" s="917">
        <f t="shared" si="32"/>
        <v>0</v>
      </c>
      <c r="U154" s="917">
        <f t="shared" si="32"/>
        <v>0</v>
      </c>
      <c r="V154" s="917">
        <f t="shared" si="32"/>
        <v>0</v>
      </c>
      <c r="W154" s="917">
        <f t="shared" si="32"/>
        <v>0</v>
      </c>
      <c r="X154" s="917">
        <f t="shared" si="32"/>
        <v>0</v>
      </c>
      <c r="Y154" s="917">
        <f t="shared" si="32"/>
        <v>0</v>
      </c>
      <c r="Z154" s="917">
        <f t="shared" si="32"/>
        <v>0</v>
      </c>
      <c r="AA154" s="917">
        <f t="shared" si="32"/>
        <v>0</v>
      </c>
      <c r="AB154" s="917">
        <f t="shared" si="32"/>
        <v>0</v>
      </c>
      <c r="AC154" s="917">
        <f t="shared" si="32"/>
        <v>0</v>
      </c>
      <c r="AD154" s="917">
        <f t="shared" si="32"/>
        <v>0</v>
      </c>
      <c r="AE154" s="917">
        <f t="shared" si="32"/>
        <v>0</v>
      </c>
      <c r="AF154" s="917">
        <f t="shared" si="32"/>
        <v>0</v>
      </c>
      <c r="AG154" s="917">
        <f t="shared" si="32"/>
        <v>0</v>
      </c>
      <c r="AH154" s="917">
        <f t="shared" si="32"/>
        <v>0</v>
      </c>
      <c r="AI154" s="917">
        <f t="shared" si="32"/>
        <v>0</v>
      </c>
      <c r="AJ154" s="917">
        <f t="shared" si="32"/>
        <v>0</v>
      </c>
    </row>
    <row r="155" spans="6:36" ht="15" hidden="1" customHeight="1" x14ac:dyDescent="0.2">
      <c r="G155" s="839"/>
      <c r="H155" s="839"/>
      <c r="I155" s="839"/>
      <c r="J155" s="839"/>
      <c r="K155" s="917"/>
      <c r="L155" s="917"/>
      <c r="M155" s="917"/>
      <c r="N155" s="917"/>
      <c r="O155" s="917"/>
      <c r="P155" s="917"/>
      <c r="Q155" s="917"/>
      <c r="R155" s="917"/>
      <c r="S155" s="917"/>
      <c r="T155" s="917"/>
      <c r="U155" s="917"/>
      <c r="V155" s="917"/>
      <c r="W155" s="917"/>
      <c r="X155" s="917"/>
      <c r="Y155" s="917"/>
      <c r="Z155" s="917"/>
      <c r="AA155" s="917"/>
      <c r="AB155" s="918"/>
      <c r="AC155" s="917"/>
      <c r="AD155" s="917"/>
      <c r="AE155" s="917"/>
      <c r="AF155" s="917"/>
      <c r="AG155" s="917"/>
      <c r="AH155" s="917"/>
      <c r="AI155" s="917"/>
      <c r="AJ155" s="917"/>
    </row>
    <row r="156" spans="6:36" ht="15" hidden="1" customHeight="1" x14ac:dyDescent="0.2">
      <c r="G156" s="839" t="s">
        <v>14</v>
      </c>
      <c r="H156" s="839"/>
      <c r="I156" s="839"/>
      <c r="J156" s="839"/>
      <c r="K156" s="917">
        <f>SUM(K151:K154)</f>
        <v>0</v>
      </c>
      <c r="L156" s="917">
        <f t="shared" ref="L156:AH156" si="33">SUM(L151:L154)</f>
        <v>0</v>
      </c>
      <c r="M156" s="917">
        <f t="shared" si="33"/>
        <v>0</v>
      </c>
      <c r="N156" s="917">
        <f t="shared" si="33"/>
        <v>0</v>
      </c>
      <c r="O156" s="917">
        <f t="shared" si="33"/>
        <v>0</v>
      </c>
      <c r="P156" s="917">
        <f t="shared" si="33"/>
        <v>0</v>
      </c>
      <c r="Q156" s="917">
        <f t="shared" si="33"/>
        <v>0</v>
      </c>
      <c r="R156" s="917">
        <f t="shared" si="33"/>
        <v>0</v>
      </c>
      <c r="S156" s="917">
        <f t="shared" si="33"/>
        <v>0</v>
      </c>
      <c r="T156" s="917">
        <f t="shared" si="33"/>
        <v>0</v>
      </c>
      <c r="U156" s="917">
        <f t="shared" si="33"/>
        <v>0</v>
      </c>
      <c r="V156" s="917">
        <f t="shared" si="33"/>
        <v>0</v>
      </c>
      <c r="W156" s="917">
        <f t="shared" si="33"/>
        <v>0</v>
      </c>
      <c r="X156" s="917">
        <f t="shared" si="33"/>
        <v>0</v>
      </c>
      <c r="Y156" s="917">
        <f t="shared" si="33"/>
        <v>0</v>
      </c>
      <c r="Z156" s="917">
        <f t="shared" si="33"/>
        <v>0</v>
      </c>
      <c r="AA156" s="917">
        <f t="shared" si="33"/>
        <v>0</v>
      </c>
      <c r="AB156" s="918">
        <f t="shared" si="33"/>
        <v>0</v>
      </c>
      <c r="AC156" s="917">
        <f t="shared" si="33"/>
        <v>0</v>
      </c>
      <c r="AD156" s="917">
        <f t="shared" si="33"/>
        <v>0</v>
      </c>
      <c r="AE156" s="917">
        <f t="shared" si="33"/>
        <v>0</v>
      </c>
      <c r="AF156" s="917">
        <f t="shared" si="33"/>
        <v>0</v>
      </c>
      <c r="AG156" s="917">
        <f t="shared" si="33"/>
        <v>0</v>
      </c>
      <c r="AH156" s="917">
        <f t="shared" si="33"/>
        <v>0</v>
      </c>
      <c r="AI156" s="917">
        <f>SUM(AI151:AI154)</f>
        <v>0</v>
      </c>
      <c r="AJ156" s="917">
        <f>SUM(AJ151:AJ154)</f>
        <v>0</v>
      </c>
    </row>
    <row r="157" spans="6:36" ht="15" hidden="1" customHeight="1" x14ac:dyDescent="0.2">
      <c r="G157" s="839" t="s">
        <v>435</v>
      </c>
      <c r="H157" s="839"/>
      <c r="I157" s="839"/>
      <c r="J157" s="839"/>
      <c r="K157" s="917">
        <f>K156</f>
        <v>0</v>
      </c>
      <c r="L157" s="917">
        <f t="shared" ref="L157:AJ157" si="34">K157+L156</f>
        <v>0</v>
      </c>
      <c r="M157" s="917">
        <f t="shared" si="34"/>
        <v>0</v>
      </c>
      <c r="N157" s="917">
        <f t="shared" si="34"/>
        <v>0</v>
      </c>
      <c r="O157" s="917">
        <f t="shared" si="34"/>
        <v>0</v>
      </c>
      <c r="P157" s="917">
        <f t="shared" si="34"/>
        <v>0</v>
      </c>
      <c r="Q157" s="917">
        <f t="shared" si="34"/>
        <v>0</v>
      </c>
      <c r="R157" s="917">
        <f t="shared" si="34"/>
        <v>0</v>
      </c>
      <c r="S157" s="917">
        <f t="shared" si="34"/>
        <v>0</v>
      </c>
      <c r="T157" s="917">
        <f t="shared" si="34"/>
        <v>0</v>
      </c>
      <c r="U157" s="917">
        <f t="shared" si="34"/>
        <v>0</v>
      </c>
      <c r="V157" s="917">
        <f t="shared" si="34"/>
        <v>0</v>
      </c>
      <c r="W157" s="917">
        <f t="shared" si="34"/>
        <v>0</v>
      </c>
      <c r="X157" s="917">
        <f t="shared" si="34"/>
        <v>0</v>
      </c>
      <c r="Y157" s="917">
        <f t="shared" si="34"/>
        <v>0</v>
      </c>
      <c r="Z157" s="917">
        <f t="shared" si="34"/>
        <v>0</v>
      </c>
      <c r="AA157" s="917">
        <f t="shared" si="34"/>
        <v>0</v>
      </c>
      <c r="AB157" s="918">
        <f t="shared" si="34"/>
        <v>0</v>
      </c>
      <c r="AC157" s="917">
        <f t="shared" si="34"/>
        <v>0</v>
      </c>
      <c r="AD157" s="917">
        <f t="shared" si="34"/>
        <v>0</v>
      </c>
      <c r="AE157" s="917">
        <f t="shared" si="34"/>
        <v>0</v>
      </c>
      <c r="AF157" s="917">
        <f t="shared" si="34"/>
        <v>0</v>
      </c>
      <c r="AG157" s="917">
        <f t="shared" si="34"/>
        <v>0</v>
      </c>
      <c r="AH157" s="917">
        <f t="shared" si="34"/>
        <v>0</v>
      </c>
      <c r="AI157" s="917">
        <f t="shared" si="34"/>
        <v>0</v>
      </c>
      <c r="AJ157" s="917">
        <f t="shared" si="34"/>
        <v>0</v>
      </c>
    </row>
    <row r="158" spans="6:36" ht="15" hidden="1" customHeight="1" x14ac:dyDescent="0.2">
      <c r="G158" s="839"/>
      <c r="H158" s="839"/>
      <c r="I158" s="839"/>
      <c r="J158" s="839"/>
      <c r="K158" s="839"/>
      <c r="L158" s="839"/>
      <c r="M158" s="839"/>
      <c r="N158" s="839"/>
      <c r="O158" s="839"/>
      <c r="P158" s="839"/>
      <c r="Q158" s="839"/>
      <c r="R158" s="839"/>
      <c r="S158" s="839"/>
      <c r="T158" s="839"/>
      <c r="U158" s="839"/>
      <c r="V158" s="839"/>
      <c r="W158" s="839"/>
      <c r="X158" s="839"/>
      <c r="Y158" s="839"/>
      <c r="Z158" s="839"/>
      <c r="AA158" s="839"/>
      <c r="AB158" s="922"/>
      <c r="AC158" s="839"/>
      <c r="AD158" s="839"/>
      <c r="AE158" s="839"/>
      <c r="AF158" s="839"/>
      <c r="AG158" s="839"/>
      <c r="AH158" s="839"/>
      <c r="AI158" s="839"/>
      <c r="AJ158" s="839"/>
    </row>
    <row r="159" spans="6:36" ht="15" hidden="1" customHeight="1" x14ac:dyDescent="0.2">
      <c r="G159" s="839" t="s">
        <v>17</v>
      </c>
      <c r="H159" s="839"/>
      <c r="I159" s="839"/>
      <c r="J159" s="839"/>
      <c r="K159" s="917">
        <f>K156/(((Data!$P$186/100)+1)^K$70)</f>
        <v>0</v>
      </c>
      <c r="L159" s="917">
        <f>L156/(((Data!$P$186/100)+1)^L$70)</f>
        <v>0</v>
      </c>
      <c r="M159" s="917">
        <f>M156/(((Data!$P$186/100)+1)^M$70)</f>
        <v>0</v>
      </c>
      <c r="N159" s="917">
        <f>N156/(((Data!$P$186/100)+1)^N$70)</f>
        <v>0</v>
      </c>
      <c r="O159" s="917">
        <f>O156/(((Data!$P$186/100)+1)^O$70)</f>
        <v>0</v>
      </c>
      <c r="P159" s="917">
        <f>P156/(((Data!$P$186/100)+1)^P$70)</f>
        <v>0</v>
      </c>
      <c r="Q159" s="917">
        <f>Q156/(((Data!$P$186/100)+1)^Q$70)</f>
        <v>0</v>
      </c>
      <c r="R159" s="917">
        <f>R156/(((Data!$P$186/100)+1)^R$70)</f>
        <v>0</v>
      </c>
      <c r="S159" s="917">
        <f>S156/(((Data!$P$186/100)+1)^S$70)</f>
        <v>0</v>
      </c>
      <c r="T159" s="917">
        <f>T156/(((Data!$P$186/100)+1)^T$70)</f>
        <v>0</v>
      </c>
      <c r="U159" s="917">
        <f>U156/(((Data!$P$186/100)+1)^U$70)</f>
        <v>0</v>
      </c>
      <c r="V159" s="917">
        <f>V156/(((Data!$P$186/100)+1)^V$70)</f>
        <v>0</v>
      </c>
      <c r="W159" s="917">
        <f>W156/(((Data!$P$186/100)+1)^W$70)</f>
        <v>0</v>
      </c>
      <c r="X159" s="917">
        <f>X156/(((Data!$P$186/100)+1)^X$70)</f>
        <v>0</v>
      </c>
      <c r="Y159" s="917">
        <f>Y156/(((Data!$P$186/100)+1)^Y$70)</f>
        <v>0</v>
      </c>
      <c r="Z159" s="917">
        <f>Z156/(((Data!$P$186/100)+1)^Z$70)</f>
        <v>0</v>
      </c>
      <c r="AA159" s="917">
        <f>AA156/(((Data!$P$186/100)+1)^AA$70)</f>
        <v>0</v>
      </c>
      <c r="AB159" s="918">
        <f>AB156/(((Data!$P$186/100)+1)^AB$70)</f>
        <v>0</v>
      </c>
      <c r="AC159" s="917">
        <f>AC156/(((Data!$P$186/100)+1)^AC$70)</f>
        <v>0</v>
      </c>
      <c r="AD159" s="917">
        <f>AD156/(((Data!$P$186/100)+1)^AD$70)</f>
        <v>0</v>
      </c>
      <c r="AE159" s="917">
        <f>AE156/(((Data!$P$186/100)+1)^AE$70)</f>
        <v>0</v>
      </c>
      <c r="AF159" s="917">
        <f>AF156/(((Data!$P$186/100)+1)^AF$70)</f>
        <v>0</v>
      </c>
      <c r="AG159" s="917">
        <f>AG156/(((Data!$P$186/100)+1)^AG$70)</f>
        <v>0</v>
      </c>
      <c r="AH159" s="917">
        <f>AH156/(((Data!$P$186/100)+1)^AH$70)</f>
        <v>0</v>
      </c>
      <c r="AI159" s="917">
        <f>AI156/(((Data!$P$186/100)+1)^AI$70)</f>
        <v>0</v>
      </c>
      <c r="AJ159" s="917">
        <f>AJ156/(((Data!$P$186/100)+1)^AJ$70)</f>
        <v>0</v>
      </c>
    </row>
    <row r="160" spans="6:36" ht="15" hidden="1" customHeight="1" x14ac:dyDescent="0.2">
      <c r="G160" s="859" t="s">
        <v>184</v>
      </c>
      <c r="H160" s="859"/>
      <c r="I160" s="839"/>
      <c r="J160" s="839"/>
      <c r="K160" s="923">
        <f>K159</f>
        <v>0</v>
      </c>
      <c r="L160" s="923">
        <f t="shared" ref="L160:AJ160" si="35">K160+L159</f>
        <v>0</v>
      </c>
      <c r="M160" s="923">
        <f t="shared" si="35"/>
        <v>0</v>
      </c>
      <c r="N160" s="923">
        <f t="shared" si="35"/>
        <v>0</v>
      </c>
      <c r="O160" s="923">
        <f t="shared" si="35"/>
        <v>0</v>
      </c>
      <c r="P160" s="923">
        <f t="shared" si="35"/>
        <v>0</v>
      </c>
      <c r="Q160" s="923">
        <f t="shared" si="35"/>
        <v>0</v>
      </c>
      <c r="R160" s="923">
        <f t="shared" si="35"/>
        <v>0</v>
      </c>
      <c r="S160" s="923">
        <f t="shared" si="35"/>
        <v>0</v>
      </c>
      <c r="T160" s="923">
        <f t="shared" si="35"/>
        <v>0</v>
      </c>
      <c r="U160" s="923">
        <f t="shared" si="35"/>
        <v>0</v>
      </c>
      <c r="V160" s="923">
        <f t="shared" si="35"/>
        <v>0</v>
      </c>
      <c r="W160" s="923">
        <f t="shared" si="35"/>
        <v>0</v>
      </c>
      <c r="X160" s="923">
        <f t="shared" si="35"/>
        <v>0</v>
      </c>
      <c r="Y160" s="923">
        <f t="shared" si="35"/>
        <v>0</v>
      </c>
      <c r="Z160" s="923">
        <f t="shared" si="35"/>
        <v>0</v>
      </c>
      <c r="AA160" s="923">
        <f t="shared" si="35"/>
        <v>0</v>
      </c>
      <c r="AB160" s="924">
        <f t="shared" si="35"/>
        <v>0</v>
      </c>
      <c r="AC160" s="923">
        <f t="shared" si="35"/>
        <v>0</v>
      </c>
      <c r="AD160" s="923">
        <f t="shared" si="35"/>
        <v>0</v>
      </c>
      <c r="AE160" s="923">
        <f t="shared" si="35"/>
        <v>0</v>
      </c>
      <c r="AF160" s="923">
        <f t="shared" si="35"/>
        <v>0</v>
      </c>
      <c r="AG160" s="923">
        <f t="shared" si="35"/>
        <v>0</v>
      </c>
      <c r="AH160" s="923">
        <f t="shared" si="35"/>
        <v>0</v>
      </c>
      <c r="AI160" s="923">
        <f t="shared" si="35"/>
        <v>0</v>
      </c>
      <c r="AJ160" s="923">
        <f t="shared" si="35"/>
        <v>0</v>
      </c>
    </row>
  </sheetData>
  <mergeCells count="8">
    <mergeCell ref="S10:W10"/>
    <mergeCell ref="G33:K43"/>
    <mergeCell ref="A1:E3"/>
    <mergeCell ref="G1:H3"/>
    <mergeCell ref="G5:H7"/>
    <mergeCell ref="B7:D7"/>
    <mergeCell ref="H31:K31"/>
    <mergeCell ref="V5:W7"/>
  </mergeCells>
  <conditionalFormatting sqref="G10">
    <cfRule type="expression" dxfId="69" priority="15">
      <formula>#REF!="No"</formula>
    </cfRule>
  </conditionalFormatting>
  <conditionalFormatting sqref="G18">
    <cfRule type="expression" dxfId="68" priority="45">
      <formula>#REF!="No"</formula>
    </cfRule>
  </conditionalFormatting>
  <conditionalFormatting sqref="G21">
    <cfRule type="expression" dxfId="67" priority="46">
      <formula>#REF!="No"</formula>
    </cfRule>
  </conditionalFormatting>
  <conditionalFormatting sqref="G22">
    <cfRule type="expression" dxfId="66" priority="35">
      <formula>#REF!="No"</formula>
    </cfRule>
  </conditionalFormatting>
  <conditionalFormatting sqref="G24">
    <cfRule type="expression" dxfId="65" priority="8">
      <formula>#REF!="No"</formula>
    </cfRule>
  </conditionalFormatting>
  <conditionalFormatting sqref="G29">
    <cfRule type="expression" dxfId="64" priority="12">
      <formula>#REF!="No"</formula>
    </cfRule>
  </conditionalFormatting>
  <conditionalFormatting sqref="G90">
    <cfRule type="expression" dxfId="63" priority="34">
      <formula>#REF!="No"</formula>
    </cfRule>
  </conditionalFormatting>
  <conditionalFormatting sqref="G114">
    <cfRule type="expression" dxfId="62" priority="33">
      <formula>#REF!="No"</formula>
    </cfRule>
  </conditionalFormatting>
  <conditionalFormatting sqref="G138">
    <cfRule type="expression" dxfId="61" priority="22">
      <formula>#REF!="No"</formula>
    </cfRule>
  </conditionalFormatting>
  <conditionalFormatting sqref="M10">
    <cfRule type="expression" dxfId="60" priority="14">
      <formula>#REF!="No"</formula>
    </cfRule>
  </conditionalFormatting>
  <conditionalFormatting sqref="M13">
    <cfRule type="expression" dxfId="59" priority="37">
      <formula>#REF!="No"</formula>
    </cfRule>
  </conditionalFormatting>
  <conditionalFormatting sqref="M18">
    <cfRule type="expression" dxfId="58" priority="42">
      <formula>#REF!="No"</formula>
    </cfRule>
  </conditionalFormatting>
  <conditionalFormatting sqref="M21:M22">
    <cfRule type="expression" dxfId="57" priority="17">
      <formula>#REF!="No"</formula>
    </cfRule>
  </conditionalFormatting>
  <conditionalFormatting sqref="M24">
    <cfRule type="expression" dxfId="56" priority="41">
      <formula>#REF!="No"</formula>
    </cfRule>
  </conditionalFormatting>
  <conditionalFormatting sqref="M29">
    <cfRule type="expression" dxfId="55" priority="9">
      <formula>#REF!="No"</formula>
    </cfRule>
  </conditionalFormatting>
  <conditionalFormatting sqref="M31">
    <cfRule type="expression" dxfId="54" priority="29">
      <formula>#REF!="No"</formula>
    </cfRule>
  </conditionalFormatting>
  <conditionalFormatting sqref="M36">
    <cfRule type="expression" dxfId="53" priority="6">
      <formula>#REF!="No"</formula>
    </cfRule>
  </conditionalFormatting>
  <conditionalFormatting sqref="M39:M40">
    <cfRule type="expression" dxfId="52" priority="10">
      <formula>#REF!="No"</formula>
    </cfRule>
  </conditionalFormatting>
  <conditionalFormatting sqref="M42">
    <cfRule type="expression" dxfId="51" priority="7">
      <formula>#REF!="No"</formula>
    </cfRule>
  </conditionalFormatting>
  <conditionalFormatting sqref="S10">
    <cfRule type="expression" dxfId="50" priority="1">
      <formula>#REF!="No"</formula>
    </cfRule>
  </conditionalFormatting>
  <conditionalFormatting sqref="S11:S13 S15">
    <cfRule type="expression" dxfId="49" priority="44">
      <formula>#REF!="No"</formula>
    </cfRule>
  </conditionalFormatting>
  <conditionalFormatting sqref="S41:S43">
    <cfRule type="expression" dxfId="48" priority="4">
      <formula>#REF!="No"</formula>
    </cfRule>
  </conditionalFormatting>
  <conditionalFormatting sqref="V42:W43">
    <cfRule type="expression" dxfId="47" priority="2">
      <formula>#REF!="No"</formula>
    </cfRule>
  </conditionalFormatting>
  <conditionalFormatting sqref="W40">
    <cfRule type="expression" dxfId="46" priority="20">
      <formula>#REF!="No"</formula>
    </cfRule>
  </conditionalFormatting>
  <conditionalFormatting sqref="AF10">
    <cfRule type="expression" dxfId="45" priority="13">
      <formula>#REF!="No"</formula>
    </cfRule>
  </conditionalFormatting>
  <conditionalFormatting sqref="AF36:AF39">
    <cfRule type="expression" dxfId="44" priority="23">
      <formula>#REF!="No"</formula>
    </cfRule>
  </conditionalFormatting>
  <conditionalFormatting sqref="AF46:AF47 AF49 AF52:AF53">
    <cfRule type="expression" dxfId="43" priority="36">
      <formula>#REF!="No"</formula>
    </cfRule>
  </conditionalFormatting>
  <conditionalFormatting sqref="AF67">
    <cfRule type="expression" dxfId="42" priority="38">
      <formula>#REF!="No"</formula>
    </cfRule>
  </conditionalFormatting>
  <dataValidations count="1">
    <dataValidation type="list" allowBlank="1" showInputMessage="1" showErrorMessage="1" sqref="AH15" xr:uid="{00000000-0002-0000-0E00-000000000000}">
      <formula1>$G$181:$G$184</formula1>
    </dataValidation>
  </dataValidations>
  <hyperlinks>
    <hyperlink ref="B12" location="Step1!A1" display="Step 1" xr:uid="{00000000-0004-0000-0E00-000000000000}"/>
    <hyperlink ref="B10" location="Home!A1" display="HOME" xr:uid="{00000000-0004-0000-0E00-000001000000}"/>
    <hyperlink ref="B18" location="Data!A1" display="DATA" xr:uid="{00000000-0004-0000-0E00-000002000000}"/>
    <hyperlink ref="B16" location="ComplexStep3!A1" display="STEP 3" xr:uid="{00000000-0004-0000-0E00-000003000000}"/>
    <hyperlink ref="G5:H7" location="Step1!A1" display="Done" xr:uid="{00000000-0004-0000-0E00-000004000000}"/>
    <hyperlink ref="V5:W7" location="ComplexOutputs!A1" display="Next" xr:uid="{00000000-0004-0000-0E00-000005000000}"/>
  </hyperlinks>
  <pageMargins left="0.25" right="0.25" top="0.75" bottom="0.75" header="0.3" footer="0.3"/>
  <pageSetup paperSize="9"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E00-000001000000}">
          <x14:formula1>
            <xm:f>Data!$G$171:$G$174</xm:f>
          </x14:formula1>
          <xm:sqref>I15 O15 O33</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pageSetUpPr fitToPage="1"/>
  </sheetPr>
  <dimension ref="A1:X64"/>
  <sheetViews>
    <sheetView showGridLines="0" zoomScale="70" zoomScaleNormal="70" zoomScaleSheetLayoutView="100" workbookViewId="0">
      <selection activeCell="W5" sqref="W5:X7"/>
    </sheetView>
  </sheetViews>
  <sheetFormatPr defaultColWidth="8.7109375" defaultRowHeight="15" customHeight="1" x14ac:dyDescent="0.2"/>
  <cols>
    <col min="1" max="1" width="3.7109375" style="47" customWidth="1"/>
    <col min="2" max="2" width="8.85546875" style="62" customWidth="1"/>
    <col min="3" max="3" width="8.7109375" style="481" customWidth="1"/>
    <col min="4" max="4" width="8.7109375" style="49" customWidth="1"/>
    <col min="5" max="5" width="3.7109375" style="48" customWidth="1"/>
    <col min="6" max="15" width="8.7109375" style="1"/>
    <col min="16" max="16" width="8.7109375" style="478"/>
    <col min="17" max="17" width="8.7109375" style="1"/>
    <col min="18" max="18" width="8.7109375" style="5"/>
    <col min="19" max="16384" width="8.7109375" style="1"/>
  </cols>
  <sheetData>
    <row r="1" spans="1:24" ht="15" customHeight="1" x14ac:dyDescent="0.2">
      <c r="A1" s="1022"/>
      <c r="B1" s="1022"/>
      <c r="C1" s="1022"/>
      <c r="D1" s="1022"/>
      <c r="E1" s="1022"/>
      <c r="G1" s="1085" t="s">
        <v>289</v>
      </c>
      <c r="H1" s="1085"/>
    </row>
    <row r="2" spans="1:24" ht="15" customHeight="1" x14ac:dyDescent="0.2">
      <c r="A2" s="1022"/>
      <c r="B2" s="1022"/>
      <c r="C2" s="1022"/>
      <c r="D2" s="1022"/>
      <c r="E2" s="1022"/>
      <c r="G2" s="1085"/>
      <c r="H2" s="1085"/>
      <c r="I2" s="50"/>
      <c r="J2" s="50"/>
      <c r="K2" s="51"/>
      <c r="L2" s="52"/>
      <c r="M2" s="51"/>
      <c r="N2" s="50"/>
      <c r="O2" s="50"/>
      <c r="Q2" s="4"/>
    </row>
    <row r="3" spans="1:24" ht="15" customHeight="1" x14ac:dyDescent="0.2">
      <c r="A3" s="1022"/>
      <c r="B3" s="1022"/>
      <c r="C3" s="1022"/>
      <c r="D3" s="1022"/>
      <c r="E3" s="1022"/>
      <c r="G3" s="1085"/>
      <c r="H3" s="1085"/>
    </row>
    <row r="4" spans="1:24" ht="15" customHeight="1" x14ac:dyDescent="0.2">
      <c r="A4" s="618"/>
      <c r="B4" s="618"/>
      <c r="C4" s="618"/>
      <c r="D4" s="618"/>
      <c r="E4" s="618"/>
      <c r="G4" s="619"/>
      <c r="H4" s="619"/>
    </row>
    <row r="5" spans="1:24" ht="15" customHeight="1" x14ac:dyDescent="0.2">
      <c r="A5" s="669"/>
      <c r="B5" s="62" t="s">
        <v>251</v>
      </c>
      <c r="C5" s="669"/>
      <c r="D5" s="669"/>
      <c r="E5" s="669"/>
      <c r="G5" s="1020" t="s">
        <v>202</v>
      </c>
      <c r="H5" s="1020"/>
      <c r="W5" s="1020" t="s">
        <v>187</v>
      </c>
      <c r="X5" s="1020"/>
    </row>
    <row r="6" spans="1:24" ht="15" customHeight="1" x14ac:dyDescent="0.2">
      <c r="A6" s="669"/>
      <c r="C6" s="48"/>
      <c r="E6" s="669"/>
      <c r="G6" s="1020"/>
      <c r="H6" s="1020"/>
      <c r="R6" s="63"/>
      <c r="W6" s="1020"/>
      <c r="X6" s="1020"/>
    </row>
    <row r="7" spans="1:24" ht="15" customHeight="1" x14ac:dyDescent="0.2">
      <c r="A7" s="669"/>
      <c r="B7" s="1023" t="str">
        <f>IF(Step1!K12="New building",Step1!Q12,Step1!K15)</f>
        <v>1-19 Torrington Place</v>
      </c>
      <c r="C7" s="1023"/>
      <c r="D7" s="1023"/>
      <c r="E7" s="669"/>
      <c r="G7" s="1020"/>
      <c r="H7" s="1020"/>
      <c r="I7" s="6"/>
      <c r="J7" s="6"/>
      <c r="W7" s="1020"/>
      <c r="X7" s="1020"/>
    </row>
    <row r="8" spans="1:24" ht="15" customHeight="1" x14ac:dyDescent="0.2">
      <c r="B8" s="89"/>
      <c r="C8" s="48"/>
      <c r="G8" s="498"/>
      <c r="H8" s="498"/>
      <c r="I8" s="6"/>
      <c r="J8" s="6"/>
      <c r="S8" s="498"/>
      <c r="T8" s="498"/>
    </row>
    <row r="9" spans="1:24" ht="15" customHeight="1" x14ac:dyDescent="0.2">
      <c r="B9" s="89"/>
      <c r="C9" s="48"/>
      <c r="G9" s="498"/>
      <c r="H9" s="498"/>
      <c r="I9" s="6"/>
      <c r="J9" s="6"/>
      <c r="S9" s="498"/>
      <c r="T9" s="498"/>
    </row>
    <row r="10" spans="1:24" ht="15" customHeight="1" x14ac:dyDescent="0.2">
      <c r="B10" s="1039" t="s">
        <v>329</v>
      </c>
      <c r="C10" s="1039"/>
      <c r="D10" s="1039"/>
      <c r="G10" s="339" t="s">
        <v>519</v>
      </c>
      <c r="H10" s="575"/>
      <c r="I10" s="307"/>
      <c r="J10" s="307"/>
      <c r="K10" s="308"/>
      <c r="L10" s="308"/>
      <c r="M10" s="308"/>
      <c r="N10" s="576"/>
      <c r="O10" s="308"/>
      <c r="P10" s="577"/>
      <c r="Q10" s="576"/>
      <c r="R10" s="576"/>
      <c r="S10" s="576"/>
      <c r="T10" s="576"/>
      <c r="U10" s="576"/>
      <c r="V10" s="576"/>
      <c r="W10" s="309"/>
      <c r="X10" s="575"/>
    </row>
    <row r="11" spans="1:24" ht="15" customHeight="1" x14ac:dyDescent="0.3">
      <c r="B11" s="588"/>
      <c r="C11" s="593"/>
      <c r="D11" s="594"/>
      <c r="G11" s="1087" t="s">
        <v>260</v>
      </c>
      <c r="H11" s="1087"/>
      <c r="I11" s="1087"/>
      <c r="J11" s="1087"/>
      <c r="K11" s="1087"/>
      <c r="L11" s="512"/>
      <c r="M11" s="69" t="s">
        <v>465</v>
      </c>
      <c r="N11" s="60"/>
      <c r="O11" s="60"/>
      <c r="P11" s="69" t="s">
        <v>267</v>
      </c>
      <c r="Q11" s="60"/>
      <c r="R11" s="61"/>
      <c r="S11" s="69" t="s">
        <v>323</v>
      </c>
      <c r="T11" s="60"/>
      <c r="U11" s="60"/>
      <c r="V11" s="60"/>
      <c r="W11" s="60"/>
      <c r="X11" s="60"/>
    </row>
    <row r="12" spans="1:24" ht="15" customHeight="1" x14ac:dyDescent="0.3">
      <c r="B12" s="199" t="s">
        <v>575</v>
      </c>
      <c r="C12" s="595"/>
      <c r="D12" s="594"/>
      <c r="G12" s="1087"/>
      <c r="H12" s="1087"/>
      <c r="I12" s="1087"/>
      <c r="J12" s="1087"/>
      <c r="K12" s="1087"/>
      <c r="L12" s="512"/>
      <c r="M12" s="1086"/>
      <c r="N12" s="1086"/>
      <c r="O12" s="61"/>
      <c r="P12" s="1086" t="s">
        <v>242</v>
      </c>
      <c r="Q12" s="1086"/>
      <c r="R12" s="61"/>
      <c r="S12" s="1095" t="s">
        <v>508</v>
      </c>
      <c r="T12" s="1095"/>
      <c r="U12" s="1095"/>
      <c r="V12" s="1095"/>
      <c r="W12" s="1095"/>
      <c r="X12" s="1095"/>
    </row>
    <row r="13" spans="1:24" ht="15" customHeight="1" x14ac:dyDescent="0.3">
      <c r="B13" s="588"/>
      <c r="C13" s="597"/>
      <c r="D13" s="594"/>
      <c r="G13" s="1087"/>
      <c r="H13" s="1087"/>
      <c r="I13" s="1087"/>
      <c r="J13" s="1087"/>
      <c r="K13" s="1087"/>
      <c r="L13" s="60"/>
      <c r="M13" s="1086"/>
      <c r="N13" s="1086"/>
      <c r="O13" s="61"/>
      <c r="P13" s="1086"/>
      <c r="Q13" s="1086"/>
      <c r="R13" s="513"/>
      <c r="S13" s="1095"/>
      <c r="T13" s="1095"/>
      <c r="U13" s="1095"/>
      <c r="V13" s="1095"/>
      <c r="W13" s="1095"/>
      <c r="X13" s="1095"/>
    </row>
    <row r="14" spans="1:24" ht="15" customHeight="1" x14ac:dyDescent="0.3">
      <c r="A14" s="483" t="s">
        <v>330</v>
      </c>
      <c r="B14" s="201" t="s">
        <v>574</v>
      </c>
      <c r="C14" s="593"/>
      <c r="D14" s="594"/>
      <c r="E14" s="55"/>
      <c r="G14" s="107"/>
      <c r="H14" s="60"/>
      <c r="I14" s="60"/>
      <c r="J14" s="60"/>
      <c r="K14" s="60"/>
      <c r="L14" s="60"/>
      <c r="M14" s="60"/>
      <c r="N14" s="60"/>
      <c r="O14" s="60"/>
      <c r="P14" s="60"/>
      <c r="Q14" s="60"/>
      <c r="R14" s="61"/>
      <c r="S14" s="60"/>
      <c r="T14" s="60"/>
      <c r="U14" s="60"/>
      <c r="V14" s="60"/>
      <c r="W14" s="60"/>
      <c r="X14" s="60"/>
    </row>
    <row r="15" spans="1:24" ht="15" customHeight="1" x14ac:dyDescent="0.3">
      <c r="B15" s="589"/>
      <c r="C15" s="593"/>
      <c r="D15" s="617"/>
      <c r="G15" s="60"/>
      <c r="H15" s="60"/>
      <c r="I15" s="60"/>
      <c r="J15" s="60"/>
      <c r="K15" s="60"/>
      <c r="L15" s="60"/>
      <c r="M15" s="60"/>
      <c r="N15" s="60"/>
      <c r="O15" s="60"/>
      <c r="P15" s="60"/>
      <c r="Q15" s="60"/>
      <c r="R15" s="61"/>
      <c r="S15" s="60"/>
      <c r="T15" s="60"/>
      <c r="U15" s="60"/>
      <c r="V15" s="60"/>
      <c r="W15" s="60"/>
      <c r="X15" s="60"/>
    </row>
    <row r="16" spans="1:24" ht="15" customHeight="1" x14ac:dyDescent="0.3">
      <c r="B16" s="204" t="s">
        <v>576</v>
      </c>
      <c r="C16" s="593"/>
      <c r="D16" s="617"/>
      <c r="G16" s="1091" t="s">
        <v>261</v>
      </c>
      <c r="H16" s="1091"/>
      <c r="I16" s="1091"/>
      <c r="J16" s="1091"/>
      <c r="K16" s="1091"/>
      <c r="L16" s="512"/>
      <c r="M16" s="69" t="s">
        <v>465</v>
      </c>
      <c r="N16" s="60"/>
      <c r="O16" s="60"/>
      <c r="P16" s="69" t="s">
        <v>267</v>
      </c>
      <c r="Q16" s="60"/>
      <c r="R16" s="61"/>
      <c r="S16" s="69" t="s">
        <v>323</v>
      </c>
      <c r="T16" s="60"/>
      <c r="U16" s="60"/>
      <c r="V16" s="60"/>
      <c r="W16" s="60"/>
      <c r="X16" s="60"/>
    </row>
    <row r="17" spans="2:24" ht="15" customHeight="1" x14ac:dyDescent="0.3">
      <c r="B17" s="590"/>
      <c r="C17" s="593"/>
      <c r="D17" s="617"/>
      <c r="G17" s="1091"/>
      <c r="H17" s="1091"/>
      <c r="I17" s="1091"/>
      <c r="J17" s="1091"/>
      <c r="K17" s="1091"/>
      <c r="L17" s="512"/>
      <c r="M17" s="1086"/>
      <c r="N17" s="1086"/>
      <c r="O17" s="61"/>
      <c r="P17" s="1086" t="s">
        <v>242</v>
      </c>
      <c r="Q17" s="1086"/>
      <c r="R17" s="61"/>
      <c r="S17" s="1095" t="s">
        <v>508</v>
      </c>
      <c r="T17" s="1095"/>
      <c r="U17" s="1095"/>
      <c r="V17" s="1095"/>
      <c r="W17" s="1095"/>
      <c r="X17" s="1095"/>
    </row>
    <row r="18" spans="2:24" ht="15" customHeight="1" x14ac:dyDescent="0.3">
      <c r="B18" s="204" t="s">
        <v>331</v>
      </c>
      <c r="C18" s="593"/>
      <c r="D18" s="617"/>
      <c r="G18" s="1091"/>
      <c r="H18" s="1091"/>
      <c r="I18" s="1091"/>
      <c r="J18" s="1091"/>
      <c r="K18" s="1091"/>
      <c r="L18" s="60"/>
      <c r="M18" s="1086"/>
      <c r="N18" s="1086"/>
      <c r="O18" s="61"/>
      <c r="P18" s="1086"/>
      <c r="Q18" s="1086"/>
      <c r="R18" s="513"/>
      <c r="S18" s="1095"/>
      <c r="T18" s="1095"/>
      <c r="U18" s="1095"/>
      <c r="V18" s="1095"/>
      <c r="W18" s="1095"/>
      <c r="X18" s="1095"/>
    </row>
    <row r="19" spans="2:24" ht="15" customHeight="1" x14ac:dyDescent="0.2">
      <c r="B19" s="120"/>
      <c r="C19" s="48"/>
      <c r="G19" s="69"/>
      <c r="H19" s="60"/>
      <c r="I19" s="60"/>
      <c r="J19" s="60"/>
      <c r="K19" s="60"/>
      <c r="L19" s="60"/>
      <c r="M19" s="60"/>
      <c r="N19" s="60"/>
      <c r="O19" s="60"/>
      <c r="P19" s="60"/>
      <c r="Q19" s="60"/>
      <c r="R19" s="61"/>
      <c r="S19" s="60"/>
      <c r="T19" s="60"/>
      <c r="U19" s="60"/>
      <c r="V19" s="60"/>
      <c r="W19" s="60"/>
      <c r="X19" s="60"/>
    </row>
    <row r="20" spans="2:24" ht="15" customHeight="1" x14ac:dyDescent="0.2">
      <c r="B20" s="120"/>
      <c r="C20" s="48"/>
      <c r="G20" s="60"/>
      <c r="H20" s="60"/>
      <c r="I20" s="60"/>
      <c r="J20" s="60"/>
      <c r="K20" s="60"/>
      <c r="L20" s="60"/>
      <c r="M20" s="60"/>
      <c r="N20" s="60"/>
      <c r="O20" s="60"/>
      <c r="P20" s="60"/>
      <c r="Q20" s="60"/>
      <c r="R20" s="61"/>
      <c r="S20" s="60"/>
      <c r="T20" s="60"/>
      <c r="U20" s="60"/>
      <c r="V20" s="60"/>
      <c r="W20" s="60"/>
      <c r="X20" s="60"/>
    </row>
    <row r="21" spans="2:24" ht="15" customHeight="1" x14ac:dyDescent="0.2">
      <c r="B21" s="120"/>
      <c r="C21" s="48"/>
      <c r="G21" s="1092" t="s">
        <v>188</v>
      </c>
      <c r="H21" s="1092"/>
      <c r="I21" s="1092"/>
      <c r="J21" s="1092"/>
      <c r="K21" s="1092"/>
      <c r="L21" s="514"/>
      <c r="M21" s="69" t="s">
        <v>465</v>
      </c>
      <c r="N21" s="60"/>
      <c r="O21" s="60"/>
      <c r="P21" s="69" t="s">
        <v>267</v>
      </c>
      <c r="Q21" s="60"/>
      <c r="R21" s="61"/>
      <c r="S21" s="69" t="s">
        <v>323</v>
      </c>
      <c r="T21" s="60"/>
      <c r="U21" s="60"/>
      <c r="V21" s="60" t="s">
        <v>203</v>
      </c>
      <c r="W21" s="60"/>
      <c r="X21" s="60"/>
    </row>
    <row r="22" spans="2:24" ht="15" customHeight="1" x14ac:dyDescent="0.2">
      <c r="G22" s="1092"/>
      <c r="H22" s="1092"/>
      <c r="I22" s="1092"/>
      <c r="J22" s="1092"/>
      <c r="K22" s="1092"/>
      <c r="L22" s="514"/>
      <c r="M22" s="1086"/>
      <c r="N22" s="1086"/>
      <c r="O22" s="61"/>
      <c r="P22" s="1086" t="s">
        <v>242</v>
      </c>
      <c r="Q22" s="1086"/>
      <c r="R22" s="61"/>
      <c r="S22" s="1095" t="s">
        <v>508</v>
      </c>
      <c r="T22" s="1095"/>
      <c r="U22" s="1095"/>
      <c r="V22" s="1095"/>
      <c r="W22" s="1095"/>
      <c r="X22" s="1095"/>
    </row>
    <row r="23" spans="2:24" ht="15" customHeight="1" x14ac:dyDescent="0.2">
      <c r="G23" s="1092"/>
      <c r="H23" s="1092"/>
      <c r="I23" s="1092"/>
      <c r="J23" s="1092"/>
      <c r="K23" s="1092"/>
      <c r="L23" s="60"/>
      <c r="M23" s="1086"/>
      <c r="N23" s="1086"/>
      <c r="O23" s="61"/>
      <c r="P23" s="1086"/>
      <c r="Q23" s="1086"/>
      <c r="R23" s="513"/>
      <c r="S23" s="1095"/>
      <c r="T23" s="1095"/>
      <c r="U23" s="1095"/>
      <c r="V23" s="1095"/>
      <c r="W23" s="1095"/>
      <c r="X23" s="1095"/>
    </row>
    <row r="24" spans="2:24" ht="15" customHeight="1" x14ac:dyDescent="0.2">
      <c r="C24" s="48"/>
      <c r="G24" s="107"/>
      <c r="H24" s="60"/>
      <c r="I24" s="60"/>
      <c r="J24" s="60"/>
      <c r="K24" s="60"/>
      <c r="L24" s="60"/>
      <c r="M24" s="60"/>
      <c r="N24" s="60"/>
      <c r="O24" s="60"/>
      <c r="P24" s="60"/>
      <c r="Q24" s="60"/>
      <c r="R24" s="61"/>
      <c r="S24" s="60"/>
      <c r="T24" s="60"/>
      <c r="U24" s="60"/>
      <c r="V24" s="60"/>
      <c r="W24" s="60"/>
      <c r="X24" s="60"/>
    </row>
    <row r="25" spans="2:24" ht="15" customHeight="1" x14ac:dyDescent="0.2">
      <c r="B25" s="62" t="s">
        <v>287</v>
      </c>
      <c r="C25" s="55"/>
      <c r="G25" s="60"/>
      <c r="H25" s="60"/>
      <c r="I25" s="60"/>
      <c r="J25" s="60"/>
      <c r="K25" s="60"/>
      <c r="L25" s="60"/>
      <c r="M25" s="60"/>
      <c r="N25" s="60"/>
      <c r="O25" s="60"/>
      <c r="P25" s="60"/>
      <c r="Q25" s="60"/>
      <c r="R25" s="61"/>
      <c r="S25" s="60"/>
      <c r="T25" s="60"/>
      <c r="U25" s="60"/>
      <c r="V25" s="60"/>
      <c r="W25" s="60"/>
      <c r="X25" s="60"/>
    </row>
    <row r="26" spans="2:24" ht="15" customHeight="1" x14ac:dyDescent="0.2">
      <c r="B26" s="1049">
        <f>ComplexStep3!B26</f>
        <v>591762.20222500002</v>
      </c>
      <c r="C26" s="1049"/>
      <c r="D26" s="1049"/>
      <c r="G26" s="1093" t="s">
        <v>20</v>
      </c>
      <c r="H26" s="1093"/>
      <c r="I26" s="1093"/>
      <c r="J26" s="1093"/>
      <c r="K26" s="1093"/>
      <c r="L26" s="515"/>
      <c r="M26" s="69" t="s">
        <v>465</v>
      </c>
      <c r="N26" s="60"/>
      <c r="O26" s="60"/>
      <c r="P26" s="69" t="s">
        <v>267</v>
      </c>
      <c r="Q26" s="60"/>
      <c r="R26" s="61"/>
      <c r="S26" s="69" t="s">
        <v>323</v>
      </c>
      <c r="T26" s="60"/>
      <c r="U26" s="60"/>
      <c r="V26" s="60"/>
      <c r="W26" s="60"/>
      <c r="X26" s="60"/>
    </row>
    <row r="27" spans="2:24" ht="15" customHeight="1" x14ac:dyDescent="0.2">
      <c r="B27" s="1049"/>
      <c r="C27" s="1049"/>
      <c r="D27" s="1049"/>
      <c r="G27" s="1093"/>
      <c r="H27" s="1093"/>
      <c r="I27" s="1093"/>
      <c r="J27" s="1093"/>
      <c r="K27" s="1093"/>
      <c r="L27" s="515"/>
      <c r="M27" s="1086"/>
      <c r="N27" s="1086"/>
      <c r="O27" s="61"/>
      <c r="P27" s="1086" t="s">
        <v>242</v>
      </c>
      <c r="Q27" s="1086"/>
      <c r="R27" s="61"/>
      <c r="S27" s="1095" t="s">
        <v>508</v>
      </c>
      <c r="T27" s="1095"/>
      <c r="U27" s="1095"/>
      <c r="V27" s="1095"/>
      <c r="W27" s="1095"/>
      <c r="X27" s="1095"/>
    </row>
    <row r="28" spans="2:24" ht="15" customHeight="1" x14ac:dyDescent="0.2">
      <c r="B28" s="89"/>
      <c r="C28" s="48"/>
      <c r="D28" s="398" t="s">
        <v>486</v>
      </c>
      <c r="G28" s="1093"/>
      <c r="H28" s="1093"/>
      <c r="I28" s="1093"/>
      <c r="J28" s="1093"/>
      <c r="K28" s="1093"/>
      <c r="L28" s="60"/>
      <c r="M28" s="1086"/>
      <c r="N28" s="1086"/>
      <c r="O28" s="61"/>
      <c r="P28" s="1086"/>
      <c r="Q28" s="1086"/>
      <c r="R28" s="513"/>
      <c r="S28" s="1095"/>
      <c r="T28" s="1095"/>
      <c r="U28" s="1095"/>
      <c r="V28" s="1095"/>
      <c r="W28" s="1095"/>
      <c r="X28" s="1095"/>
    </row>
    <row r="29" spans="2:24" ht="15" customHeight="1" x14ac:dyDescent="0.2">
      <c r="G29" s="107"/>
      <c r="H29" s="109"/>
      <c r="I29" s="60"/>
      <c r="J29" s="60"/>
      <c r="K29" s="60"/>
      <c r="L29" s="60"/>
      <c r="M29" s="60"/>
      <c r="N29" s="60"/>
      <c r="O29" s="60"/>
      <c r="P29" s="60"/>
      <c r="Q29" s="60"/>
      <c r="R29" s="61"/>
      <c r="S29" s="60"/>
      <c r="T29" s="60"/>
      <c r="U29" s="60"/>
      <c r="V29" s="60"/>
      <c r="W29" s="60"/>
      <c r="X29" s="60"/>
    </row>
    <row r="30" spans="2:24" ht="15" customHeight="1" x14ac:dyDescent="0.2">
      <c r="B30" s="62" t="s">
        <v>546</v>
      </c>
      <c r="C30" s="48"/>
      <c r="G30" s="60"/>
      <c r="H30" s="60"/>
      <c r="I30" s="60"/>
      <c r="J30" s="60"/>
      <c r="K30" s="60"/>
      <c r="L30" s="60"/>
      <c r="M30" s="60"/>
      <c r="N30" s="60"/>
      <c r="O30" s="60"/>
      <c r="P30" s="60"/>
      <c r="Q30" s="60"/>
      <c r="R30" s="61"/>
      <c r="S30" s="60"/>
      <c r="T30" s="60"/>
      <c r="U30" s="60"/>
      <c r="V30" s="60"/>
      <c r="W30" s="60"/>
      <c r="X30" s="60"/>
    </row>
    <row r="31" spans="2:24" ht="15" customHeight="1" x14ac:dyDescent="0.2">
      <c r="B31" s="1049">
        <f>ComplexStep3!B31</f>
        <v>629956.23750000005</v>
      </c>
      <c r="C31" s="1049"/>
      <c r="D31" s="1049"/>
      <c r="G31" s="1094" t="s">
        <v>262</v>
      </c>
      <c r="H31" s="1094"/>
      <c r="I31" s="1094"/>
      <c r="J31" s="1094"/>
      <c r="K31" s="1094"/>
      <c r="L31" s="516"/>
      <c r="M31" s="69" t="s">
        <v>465</v>
      </c>
      <c r="N31" s="60"/>
      <c r="O31" s="60"/>
      <c r="P31" s="69" t="s">
        <v>267</v>
      </c>
      <c r="Q31" s="60"/>
      <c r="R31" s="61"/>
      <c r="S31" s="69" t="s">
        <v>323</v>
      </c>
      <c r="T31" s="60"/>
      <c r="U31" s="60"/>
      <c r="V31" s="60"/>
      <c r="W31" s="60"/>
      <c r="X31" s="60"/>
    </row>
    <row r="32" spans="2:24" ht="15" customHeight="1" x14ac:dyDescent="0.2">
      <c r="B32" s="1049"/>
      <c r="C32" s="1049"/>
      <c r="D32" s="1049"/>
      <c r="E32" s="55"/>
      <c r="G32" s="1094"/>
      <c r="H32" s="1094"/>
      <c r="I32" s="1094"/>
      <c r="J32" s="1094"/>
      <c r="K32" s="1094"/>
      <c r="L32" s="516"/>
      <c r="M32" s="1086"/>
      <c r="N32" s="1086"/>
      <c r="O32" s="61"/>
      <c r="P32" s="1086" t="s">
        <v>242</v>
      </c>
      <c r="Q32" s="1086"/>
      <c r="R32" s="61"/>
      <c r="S32" s="1095" t="s">
        <v>508</v>
      </c>
      <c r="T32" s="1095"/>
      <c r="U32" s="1095"/>
      <c r="V32" s="1095"/>
      <c r="W32" s="1095"/>
      <c r="X32" s="1095"/>
    </row>
    <row r="33" spans="2:24" ht="15" customHeight="1" x14ac:dyDescent="0.2">
      <c r="C33" s="48"/>
      <c r="D33" s="398" t="s">
        <v>487</v>
      </c>
      <c r="G33" s="1094"/>
      <c r="H33" s="1094"/>
      <c r="I33" s="1094"/>
      <c r="J33" s="1094"/>
      <c r="K33" s="1094"/>
      <c r="L33" s="60"/>
      <c r="M33" s="1086"/>
      <c r="N33" s="1086"/>
      <c r="O33" s="61"/>
      <c r="P33" s="1086"/>
      <c r="Q33" s="1086"/>
      <c r="R33" s="513"/>
      <c r="S33" s="1095"/>
      <c r="T33" s="1095"/>
      <c r="U33" s="1095"/>
      <c r="V33" s="1095"/>
      <c r="W33" s="1095"/>
      <c r="X33" s="1095"/>
    </row>
    <row r="34" spans="2:24" ht="15" customHeight="1" x14ac:dyDescent="0.2">
      <c r="C34" s="48"/>
      <c r="G34" s="60"/>
      <c r="H34" s="60"/>
      <c r="I34" s="60"/>
      <c r="J34" s="60"/>
      <c r="K34" s="60"/>
      <c r="L34" s="60"/>
      <c r="M34" s="60"/>
      <c r="N34" s="60"/>
      <c r="O34" s="60"/>
      <c r="P34" s="517"/>
      <c r="Q34" s="60"/>
      <c r="R34" s="61"/>
      <c r="S34" s="60"/>
      <c r="T34" s="60"/>
      <c r="U34" s="60"/>
      <c r="V34" s="60"/>
      <c r="W34" s="60"/>
      <c r="X34" s="60"/>
    </row>
    <row r="35" spans="2:24" ht="15" customHeight="1" x14ac:dyDescent="0.2">
      <c r="C35" s="486"/>
      <c r="D35" s="486"/>
      <c r="G35" s="428"/>
      <c r="H35" s="60"/>
      <c r="I35" s="60"/>
      <c r="J35" s="60"/>
      <c r="K35" s="60"/>
      <c r="L35" s="60"/>
      <c r="M35" s="60"/>
      <c r="N35" s="60"/>
      <c r="O35" s="60"/>
      <c r="P35" s="517"/>
      <c r="Q35" s="60"/>
      <c r="R35" s="61"/>
      <c r="S35" s="60"/>
      <c r="T35" s="60"/>
      <c r="U35" s="60"/>
      <c r="V35" s="60"/>
      <c r="W35" s="60"/>
      <c r="X35" s="60"/>
    </row>
    <row r="36" spans="2:24" ht="15" customHeight="1" x14ac:dyDescent="0.2">
      <c r="B36" s="89"/>
      <c r="C36" s="48"/>
      <c r="E36" s="55"/>
      <c r="G36" s="1088" t="s">
        <v>507</v>
      </c>
      <c r="H36" s="1089"/>
      <c r="I36" s="1089"/>
      <c r="J36" s="1089"/>
      <c r="K36" s="1089"/>
      <c r="L36" s="1089"/>
      <c r="M36" s="69" t="s">
        <v>465</v>
      </c>
      <c r="N36" s="60"/>
      <c r="O36" s="60"/>
      <c r="P36" s="69" t="s">
        <v>267</v>
      </c>
      <c r="Q36" s="60"/>
      <c r="R36" s="61"/>
      <c r="S36" s="69" t="s">
        <v>323</v>
      </c>
      <c r="T36" s="60"/>
      <c r="U36" s="60"/>
      <c r="V36" s="60"/>
      <c r="W36" s="60"/>
      <c r="X36" s="60"/>
    </row>
    <row r="37" spans="2:24" ht="15" customHeight="1" x14ac:dyDescent="0.2">
      <c r="B37" s="89"/>
      <c r="C37" s="48"/>
      <c r="G37" s="1089"/>
      <c r="H37" s="1089"/>
      <c r="I37" s="1089"/>
      <c r="J37" s="1089"/>
      <c r="K37" s="1089"/>
      <c r="L37" s="1089"/>
      <c r="M37" s="1086"/>
      <c r="N37" s="1086"/>
      <c r="O37" s="61"/>
      <c r="P37" s="1086" t="s">
        <v>242</v>
      </c>
      <c r="Q37" s="1086"/>
      <c r="R37" s="61"/>
      <c r="S37" s="1095" t="s">
        <v>508</v>
      </c>
      <c r="T37" s="1095"/>
      <c r="U37" s="1095"/>
      <c r="V37" s="1095"/>
      <c r="W37" s="1095"/>
      <c r="X37" s="1095"/>
    </row>
    <row r="38" spans="2:24" ht="15" customHeight="1" x14ac:dyDescent="0.2">
      <c r="G38" s="1089"/>
      <c r="H38" s="1089"/>
      <c r="I38" s="1089"/>
      <c r="J38" s="1089"/>
      <c r="K38" s="1089"/>
      <c r="L38" s="1089"/>
      <c r="M38" s="1086"/>
      <c r="N38" s="1086"/>
      <c r="O38" s="61"/>
      <c r="P38" s="1086"/>
      <c r="Q38" s="1086"/>
      <c r="R38" s="513"/>
      <c r="S38" s="1095"/>
      <c r="T38" s="1095"/>
      <c r="U38" s="1095"/>
      <c r="V38" s="1095"/>
      <c r="W38" s="1095"/>
      <c r="X38" s="1095"/>
    </row>
    <row r="39" spans="2:24" ht="15" customHeight="1" x14ac:dyDescent="0.2">
      <c r="G39" s="60"/>
      <c r="H39" s="60"/>
      <c r="I39" s="60"/>
      <c r="J39" s="60"/>
      <c r="K39" s="60"/>
      <c r="L39" s="60"/>
      <c r="M39" s="60"/>
      <c r="N39" s="60"/>
      <c r="O39" s="60"/>
      <c r="P39" s="517"/>
      <c r="Q39" s="60"/>
      <c r="R39" s="61"/>
      <c r="S39" s="60"/>
      <c r="T39" s="60"/>
      <c r="U39" s="60"/>
      <c r="V39" s="60"/>
      <c r="W39" s="60"/>
      <c r="X39" s="60"/>
    </row>
    <row r="40" spans="2:24" ht="15" customHeight="1" x14ac:dyDescent="0.2">
      <c r="G40" s="60"/>
      <c r="H40" s="60"/>
      <c r="I40" s="60"/>
      <c r="J40" s="60"/>
      <c r="K40" s="60"/>
      <c r="L40" s="60"/>
      <c r="M40" s="60"/>
      <c r="N40" s="60"/>
      <c r="O40" s="60"/>
      <c r="P40" s="517"/>
      <c r="Q40" s="60"/>
      <c r="R40" s="61"/>
      <c r="S40" s="60"/>
      <c r="T40" s="60"/>
      <c r="U40" s="60"/>
      <c r="V40" s="60"/>
      <c r="W40" s="60"/>
      <c r="X40" s="60"/>
    </row>
    <row r="41" spans="2:24" ht="15" customHeight="1" x14ac:dyDescent="0.2">
      <c r="G41" s="1089" t="s">
        <v>266</v>
      </c>
      <c r="H41" s="1089"/>
      <c r="I41" s="1089"/>
      <c r="J41" s="1089"/>
      <c r="K41" s="1089"/>
      <c r="L41" s="518"/>
      <c r="M41" s="69" t="s">
        <v>465</v>
      </c>
      <c r="N41" s="60"/>
      <c r="O41" s="60"/>
      <c r="P41" s="69" t="s">
        <v>267</v>
      </c>
      <c r="Q41" s="60"/>
      <c r="R41" s="61"/>
      <c r="S41" s="69" t="s">
        <v>323</v>
      </c>
      <c r="T41" s="60"/>
      <c r="U41" s="60"/>
      <c r="V41" s="60"/>
      <c r="W41" s="60"/>
      <c r="X41" s="60"/>
    </row>
    <row r="42" spans="2:24" ht="15" customHeight="1" x14ac:dyDescent="0.2">
      <c r="G42" s="1089"/>
      <c r="H42" s="1089"/>
      <c r="I42" s="1089"/>
      <c r="J42" s="1089"/>
      <c r="K42" s="1089"/>
      <c r="L42" s="518"/>
      <c r="M42" s="1086"/>
      <c r="N42" s="1086"/>
      <c r="O42" s="61"/>
      <c r="P42" s="1086" t="s">
        <v>242</v>
      </c>
      <c r="Q42" s="1086"/>
      <c r="R42" s="61"/>
      <c r="S42" s="1095" t="s">
        <v>508</v>
      </c>
      <c r="T42" s="1095"/>
      <c r="U42" s="1095"/>
      <c r="V42" s="1095"/>
      <c r="W42" s="1095"/>
      <c r="X42" s="1095"/>
    </row>
    <row r="43" spans="2:24" ht="15" customHeight="1" x14ac:dyDescent="0.2">
      <c r="G43" s="1089"/>
      <c r="H43" s="1089"/>
      <c r="I43" s="1089"/>
      <c r="J43" s="1089"/>
      <c r="K43" s="1089"/>
      <c r="L43" s="60"/>
      <c r="M43" s="1086"/>
      <c r="N43" s="1086"/>
      <c r="O43" s="61"/>
      <c r="P43" s="1086"/>
      <c r="Q43" s="1086"/>
      <c r="R43" s="513"/>
      <c r="S43" s="1095"/>
      <c r="T43" s="1095"/>
      <c r="U43" s="1095"/>
      <c r="V43" s="1095"/>
      <c r="W43" s="1095"/>
      <c r="X43" s="1095"/>
    </row>
    <row r="44" spans="2:24" ht="15" customHeight="1" x14ac:dyDescent="0.2">
      <c r="B44" s="89"/>
      <c r="C44" s="48"/>
      <c r="G44" s="60"/>
      <c r="H44" s="60"/>
      <c r="I44" s="60"/>
      <c r="J44" s="60"/>
      <c r="K44" s="60"/>
      <c r="L44" s="60"/>
      <c r="M44" s="60"/>
      <c r="N44" s="60"/>
      <c r="O44" s="60"/>
      <c r="P44" s="517"/>
      <c r="Q44" s="60"/>
      <c r="R44" s="61"/>
      <c r="S44" s="60"/>
      <c r="T44" s="60"/>
      <c r="U44" s="60"/>
      <c r="V44" s="60"/>
      <c r="W44" s="60"/>
      <c r="X44" s="60"/>
    </row>
    <row r="45" spans="2:24" ht="15" customHeight="1" x14ac:dyDescent="0.2">
      <c r="B45" s="89"/>
      <c r="C45" s="48"/>
      <c r="G45" s="60"/>
      <c r="H45" s="60"/>
      <c r="I45" s="60"/>
      <c r="J45" s="60"/>
      <c r="K45" s="60"/>
      <c r="L45" s="60"/>
      <c r="M45" s="60"/>
      <c r="N45" s="60"/>
      <c r="O45" s="60"/>
      <c r="P45" s="517"/>
      <c r="Q45" s="60"/>
      <c r="R45" s="61"/>
      <c r="S45" s="60"/>
      <c r="T45" s="60"/>
      <c r="U45" s="60"/>
      <c r="V45" s="60"/>
      <c r="W45" s="60"/>
      <c r="X45" s="60"/>
    </row>
    <row r="46" spans="2:24" ht="15" customHeight="1" x14ac:dyDescent="0.2">
      <c r="B46" s="89"/>
      <c r="C46" s="48"/>
      <c r="G46" s="1088" t="s">
        <v>612</v>
      </c>
      <c r="H46" s="1089"/>
      <c r="I46" s="1089"/>
      <c r="J46" s="1089"/>
      <c r="K46" s="1089"/>
      <c r="L46" s="519"/>
      <c r="M46" s="69" t="s">
        <v>465</v>
      </c>
      <c r="N46" s="60"/>
      <c r="O46" s="60"/>
      <c r="P46" s="69" t="s">
        <v>267</v>
      </c>
      <c r="Q46" s="60"/>
      <c r="R46" s="61"/>
      <c r="S46" s="69" t="s">
        <v>323</v>
      </c>
      <c r="T46" s="60"/>
      <c r="U46" s="60"/>
      <c r="V46" s="60"/>
      <c r="W46" s="60"/>
      <c r="X46" s="60"/>
    </row>
    <row r="47" spans="2:24" ht="15" customHeight="1" x14ac:dyDescent="0.2">
      <c r="G47" s="1089"/>
      <c r="H47" s="1089"/>
      <c r="I47" s="1089"/>
      <c r="J47" s="1089"/>
      <c r="K47" s="1089"/>
      <c r="L47" s="519"/>
      <c r="M47" s="1086"/>
      <c r="N47" s="1086"/>
      <c r="O47" s="61"/>
      <c r="P47" s="1086" t="s">
        <v>242</v>
      </c>
      <c r="Q47" s="1086"/>
      <c r="R47" s="61"/>
      <c r="S47" s="1095" t="s">
        <v>508</v>
      </c>
      <c r="T47" s="1095"/>
      <c r="U47" s="1095"/>
      <c r="V47" s="1095"/>
      <c r="W47" s="1095"/>
      <c r="X47" s="1095"/>
    </row>
    <row r="48" spans="2:24" ht="15" customHeight="1" x14ac:dyDescent="0.2">
      <c r="G48" s="1089"/>
      <c r="H48" s="1089"/>
      <c r="I48" s="1089"/>
      <c r="J48" s="1089"/>
      <c r="K48" s="1089"/>
      <c r="L48" s="60"/>
      <c r="M48" s="1086"/>
      <c r="N48" s="1086"/>
      <c r="O48" s="61"/>
      <c r="P48" s="1086"/>
      <c r="Q48" s="1086"/>
      <c r="R48" s="513"/>
      <c r="S48" s="1095"/>
      <c r="T48" s="1095"/>
      <c r="U48" s="1095"/>
      <c r="V48" s="1095"/>
      <c r="W48" s="1095"/>
      <c r="X48" s="1095"/>
    </row>
    <row r="49" spans="7:24" ht="15" customHeight="1" x14ac:dyDescent="0.2">
      <c r="G49" s="60"/>
      <c r="H49" s="60"/>
      <c r="I49" s="60"/>
      <c r="J49" s="60"/>
      <c r="K49" s="60"/>
      <c r="L49" s="60"/>
      <c r="M49" s="60"/>
      <c r="N49" s="60"/>
      <c r="O49" s="60"/>
      <c r="P49" s="517"/>
      <c r="Q49" s="60"/>
      <c r="R49" s="61"/>
      <c r="S49" s="60"/>
      <c r="T49" s="60"/>
      <c r="U49" s="60"/>
      <c r="V49" s="60"/>
      <c r="W49" s="60"/>
      <c r="X49" s="60"/>
    </row>
    <row r="50" spans="7:24" ht="15" customHeight="1" x14ac:dyDescent="0.2">
      <c r="G50" s="60"/>
      <c r="H50" s="60"/>
      <c r="I50" s="60"/>
      <c r="J50" s="60"/>
      <c r="K50" s="60"/>
      <c r="L50" s="60"/>
      <c r="M50" s="60"/>
      <c r="N50" s="60"/>
      <c r="O50" s="60"/>
      <c r="P50" s="517"/>
      <c r="Q50" s="60"/>
      <c r="R50" s="61"/>
      <c r="S50" s="60"/>
      <c r="T50" s="60"/>
      <c r="U50" s="60"/>
      <c r="V50" s="60"/>
      <c r="W50" s="60"/>
      <c r="X50" s="60"/>
    </row>
    <row r="51" spans="7:24" ht="15" customHeight="1" x14ac:dyDescent="0.2">
      <c r="G51" s="1089" t="s">
        <v>263</v>
      </c>
      <c r="H51" s="1089"/>
      <c r="I51" s="1089"/>
      <c r="J51" s="1089"/>
      <c r="K51" s="1089"/>
      <c r="L51" s="518"/>
      <c r="M51" s="69" t="s">
        <v>465</v>
      </c>
      <c r="N51" s="60"/>
      <c r="O51" s="60"/>
      <c r="P51" s="69" t="s">
        <v>267</v>
      </c>
      <c r="Q51" s="60"/>
      <c r="R51" s="61"/>
      <c r="S51" s="69" t="s">
        <v>323</v>
      </c>
      <c r="T51" s="60"/>
      <c r="U51" s="60"/>
      <c r="V51" s="60"/>
      <c r="W51" s="60"/>
      <c r="X51" s="60"/>
    </row>
    <row r="52" spans="7:24" ht="15" customHeight="1" x14ac:dyDescent="0.2">
      <c r="G52" s="1089"/>
      <c r="H52" s="1089"/>
      <c r="I52" s="1089"/>
      <c r="J52" s="1089"/>
      <c r="K52" s="1089"/>
      <c r="L52" s="518"/>
      <c r="M52" s="1086"/>
      <c r="N52" s="1086"/>
      <c r="O52" s="61"/>
      <c r="P52" s="1086" t="s">
        <v>242</v>
      </c>
      <c r="Q52" s="1086"/>
      <c r="R52" s="61"/>
      <c r="S52" s="1095" t="s">
        <v>508</v>
      </c>
      <c r="T52" s="1095"/>
      <c r="U52" s="1095"/>
      <c r="V52" s="1095"/>
      <c r="W52" s="1095"/>
      <c r="X52" s="1095"/>
    </row>
    <row r="53" spans="7:24" ht="15" customHeight="1" x14ac:dyDescent="0.2">
      <c r="G53" s="1089"/>
      <c r="H53" s="1089"/>
      <c r="I53" s="1089"/>
      <c r="J53" s="1089"/>
      <c r="K53" s="1089"/>
      <c r="L53" s="60"/>
      <c r="M53" s="1086"/>
      <c r="N53" s="1086"/>
      <c r="O53" s="61"/>
      <c r="P53" s="1086"/>
      <c r="Q53" s="1086"/>
      <c r="R53" s="513"/>
      <c r="S53" s="1095"/>
      <c r="T53" s="1095"/>
      <c r="U53" s="1095"/>
      <c r="V53" s="1095"/>
      <c r="W53" s="1095"/>
      <c r="X53" s="1095"/>
    </row>
    <row r="54" spans="7:24" ht="15" customHeight="1" x14ac:dyDescent="0.2">
      <c r="G54" s="520"/>
      <c r="H54" s="60"/>
      <c r="I54" s="60"/>
      <c r="J54" s="60"/>
      <c r="K54" s="60"/>
      <c r="L54" s="60"/>
      <c r="M54" s="60"/>
      <c r="N54" s="60"/>
      <c r="O54" s="60"/>
      <c r="P54" s="517"/>
      <c r="Q54" s="60"/>
      <c r="R54" s="61"/>
      <c r="S54" s="60"/>
      <c r="T54" s="60"/>
      <c r="U54" s="60"/>
      <c r="V54" s="60"/>
      <c r="W54" s="60"/>
      <c r="X54" s="60"/>
    </row>
    <row r="55" spans="7:24" ht="15" customHeight="1" x14ac:dyDescent="0.2">
      <c r="G55" s="60"/>
      <c r="H55" s="60"/>
      <c r="I55" s="60"/>
      <c r="J55" s="60"/>
      <c r="K55" s="60"/>
      <c r="L55" s="60"/>
      <c r="M55" s="60"/>
      <c r="N55" s="60"/>
      <c r="O55" s="60"/>
      <c r="P55" s="517"/>
      <c r="Q55" s="60"/>
      <c r="R55" s="61"/>
      <c r="S55" s="60"/>
      <c r="T55" s="60"/>
      <c r="U55" s="60"/>
      <c r="V55" s="60"/>
      <c r="W55" s="60"/>
      <c r="X55" s="60"/>
    </row>
    <row r="56" spans="7:24" ht="15" customHeight="1" x14ac:dyDescent="0.2">
      <c r="G56" s="1089" t="s">
        <v>264</v>
      </c>
      <c r="H56" s="1089"/>
      <c r="I56" s="1089"/>
      <c r="J56" s="1089"/>
      <c r="K56" s="1089"/>
      <c r="L56" s="518"/>
      <c r="M56" s="69" t="s">
        <v>465</v>
      </c>
      <c r="N56" s="60"/>
      <c r="O56" s="60"/>
      <c r="P56" s="69" t="s">
        <v>267</v>
      </c>
      <c r="Q56" s="60"/>
      <c r="R56" s="61"/>
      <c r="S56" s="69" t="s">
        <v>323</v>
      </c>
      <c r="T56" s="60"/>
      <c r="U56" s="60"/>
      <c r="V56" s="60"/>
      <c r="W56" s="60"/>
      <c r="X56" s="60"/>
    </row>
    <row r="57" spans="7:24" ht="15" customHeight="1" x14ac:dyDescent="0.2">
      <c r="G57" s="1089"/>
      <c r="H57" s="1089"/>
      <c r="I57" s="1089"/>
      <c r="J57" s="1089"/>
      <c r="K57" s="1089"/>
      <c r="L57" s="518"/>
      <c r="M57" s="1086"/>
      <c r="N57" s="1086"/>
      <c r="O57" s="61"/>
      <c r="P57" s="1086" t="s">
        <v>242</v>
      </c>
      <c r="Q57" s="1086"/>
      <c r="R57" s="61"/>
      <c r="S57" s="1095" t="s">
        <v>508</v>
      </c>
      <c r="T57" s="1095"/>
      <c r="U57" s="1095"/>
      <c r="V57" s="1095"/>
      <c r="W57" s="1095"/>
      <c r="X57" s="1095"/>
    </row>
    <row r="58" spans="7:24" ht="15" customHeight="1" x14ac:dyDescent="0.2">
      <c r="G58" s="1089"/>
      <c r="H58" s="1089"/>
      <c r="I58" s="1089"/>
      <c r="J58" s="1089"/>
      <c r="K58" s="1089"/>
      <c r="L58" s="60"/>
      <c r="M58" s="1086"/>
      <c r="N58" s="1086"/>
      <c r="O58" s="61"/>
      <c r="P58" s="1086"/>
      <c r="Q58" s="1086"/>
      <c r="R58" s="513"/>
      <c r="S58" s="1095"/>
      <c r="T58" s="1095"/>
      <c r="U58" s="1095"/>
      <c r="V58" s="1095"/>
      <c r="W58" s="1095"/>
      <c r="X58" s="1095"/>
    </row>
    <row r="59" spans="7:24" ht="15" customHeight="1" x14ac:dyDescent="0.2">
      <c r="G59" s="60"/>
      <c r="H59" s="60"/>
      <c r="I59" s="60"/>
      <c r="J59" s="60"/>
      <c r="K59" s="60"/>
      <c r="L59" s="60"/>
      <c r="M59" s="60"/>
      <c r="N59" s="60"/>
      <c r="O59" s="60"/>
      <c r="P59" s="517"/>
      <c r="Q59" s="60"/>
      <c r="R59" s="61"/>
      <c r="S59" s="60"/>
      <c r="T59" s="60"/>
      <c r="U59" s="60"/>
      <c r="V59" s="60"/>
      <c r="W59" s="60"/>
      <c r="X59" s="60"/>
    </row>
    <row r="60" spans="7:24" ht="15" customHeight="1" x14ac:dyDescent="0.2">
      <c r="G60" s="60"/>
      <c r="H60" s="60"/>
      <c r="I60" s="60"/>
      <c r="J60" s="60"/>
      <c r="K60" s="60"/>
      <c r="L60" s="60"/>
      <c r="M60" s="60"/>
      <c r="N60" s="60"/>
      <c r="O60" s="60"/>
      <c r="P60" s="517"/>
      <c r="Q60" s="60"/>
      <c r="R60" s="61"/>
      <c r="S60" s="60"/>
      <c r="T60" s="60"/>
      <c r="U60" s="60"/>
      <c r="V60" s="60"/>
      <c r="W60" s="60"/>
      <c r="X60" s="60"/>
    </row>
    <row r="61" spans="7:24" ht="15" customHeight="1" x14ac:dyDescent="0.2">
      <c r="G61" s="60"/>
      <c r="H61" s="60"/>
      <c r="I61" s="60"/>
      <c r="J61" s="60"/>
      <c r="K61" s="60"/>
      <c r="L61" s="60"/>
      <c r="M61" s="60"/>
      <c r="N61" s="60"/>
      <c r="O61" s="60"/>
      <c r="P61" s="517"/>
      <c r="Q61" s="60"/>
      <c r="R61" s="61"/>
      <c r="S61" s="60"/>
      <c r="T61" s="60"/>
      <c r="U61" s="60"/>
      <c r="V61" s="60"/>
      <c r="W61" s="60"/>
      <c r="X61" s="60"/>
    </row>
    <row r="62" spans="7:24" ht="15" customHeight="1" x14ac:dyDescent="0.2">
      <c r="G62" s="1090" t="s">
        <v>265</v>
      </c>
      <c r="H62" s="1090"/>
      <c r="I62" s="1090"/>
      <c r="J62" s="1090"/>
      <c r="K62" s="1090"/>
      <c r="L62" s="519"/>
      <c r="M62" s="69" t="s">
        <v>466</v>
      </c>
      <c r="N62" s="60"/>
      <c r="O62" s="60"/>
      <c r="P62" s="69" t="s">
        <v>267</v>
      </c>
      <c r="Q62" s="60"/>
      <c r="R62" s="61"/>
      <c r="S62" s="14" t="s">
        <v>268</v>
      </c>
      <c r="T62" s="60"/>
      <c r="U62" s="60"/>
      <c r="V62" s="60"/>
      <c r="W62" s="60"/>
      <c r="X62" s="60"/>
    </row>
    <row r="63" spans="7:24" ht="15" customHeight="1" x14ac:dyDescent="0.2">
      <c r="G63" s="1090"/>
      <c r="H63" s="1090"/>
      <c r="I63" s="1090"/>
      <c r="J63" s="1090"/>
      <c r="K63" s="1090"/>
      <c r="L63" s="519"/>
      <c r="M63" s="1086"/>
      <c r="N63" s="1086"/>
      <c r="O63" s="61"/>
      <c r="P63" s="1086" t="s">
        <v>242</v>
      </c>
      <c r="Q63" s="1086"/>
      <c r="R63" s="61"/>
      <c r="S63" s="1095" t="s">
        <v>508</v>
      </c>
      <c r="T63" s="1095"/>
      <c r="U63" s="1095"/>
      <c r="V63" s="1095"/>
      <c r="W63" s="1095"/>
      <c r="X63" s="1095"/>
    </row>
    <row r="64" spans="7:24" ht="15" customHeight="1" x14ac:dyDescent="0.2">
      <c r="G64" s="1090"/>
      <c r="H64" s="1090"/>
      <c r="I64" s="1090"/>
      <c r="J64" s="1090"/>
      <c r="K64" s="1090"/>
      <c r="L64" s="60"/>
      <c r="M64" s="1086"/>
      <c r="N64" s="1086"/>
      <c r="O64" s="61"/>
      <c r="P64" s="1086"/>
      <c r="Q64" s="1086"/>
      <c r="R64" s="513"/>
      <c r="S64" s="1095"/>
      <c r="T64" s="1095"/>
      <c r="U64" s="1095"/>
      <c r="V64" s="1095"/>
      <c r="W64" s="1095"/>
      <c r="X64" s="1095"/>
    </row>
  </sheetData>
  <mergeCells count="52">
    <mergeCell ref="S63:X64"/>
    <mergeCell ref="S12:X13"/>
    <mergeCell ref="P12:Q13"/>
    <mergeCell ref="M12:N13"/>
    <mergeCell ref="S17:X18"/>
    <mergeCell ref="S22:X23"/>
    <mergeCell ref="S27:X28"/>
    <mergeCell ref="S32:X33"/>
    <mergeCell ref="S42:X43"/>
    <mergeCell ref="S47:X48"/>
    <mergeCell ref="S52:X53"/>
    <mergeCell ref="S57:X58"/>
    <mergeCell ref="M27:N28"/>
    <mergeCell ref="M57:N58"/>
    <mergeCell ref="P57:Q58"/>
    <mergeCell ref="S37:X38"/>
    <mergeCell ref="B26:D27"/>
    <mergeCell ref="B31:D32"/>
    <mergeCell ref="G16:K18"/>
    <mergeCell ref="G51:K53"/>
    <mergeCell ref="G56:K58"/>
    <mergeCell ref="G21:K23"/>
    <mergeCell ref="G26:K28"/>
    <mergeCell ref="G31:K33"/>
    <mergeCell ref="G46:K48"/>
    <mergeCell ref="M63:N64"/>
    <mergeCell ref="P63:Q64"/>
    <mergeCell ref="G11:K13"/>
    <mergeCell ref="G36:L38"/>
    <mergeCell ref="G41:K43"/>
    <mergeCell ref="G62:K64"/>
    <mergeCell ref="M47:N48"/>
    <mergeCell ref="P47:Q48"/>
    <mergeCell ref="M52:N53"/>
    <mergeCell ref="P52:Q53"/>
    <mergeCell ref="M37:N38"/>
    <mergeCell ref="P37:Q38"/>
    <mergeCell ref="M42:N43"/>
    <mergeCell ref="P42:Q43"/>
    <mergeCell ref="M17:N18"/>
    <mergeCell ref="P17:Q18"/>
    <mergeCell ref="M22:N23"/>
    <mergeCell ref="P22:Q23"/>
    <mergeCell ref="M32:N33"/>
    <mergeCell ref="P32:Q33"/>
    <mergeCell ref="P27:Q28"/>
    <mergeCell ref="B10:D10"/>
    <mergeCell ref="W5:X7"/>
    <mergeCell ref="G1:H3"/>
    <mergeCell ref="G5:H7"/>
    <mergeCell ref="A1:E3"/>
    <mergeCell ref="B7:D7"/>
  </mergeCells>
  <conditionalFormatting sqref="G11">
    <cfRule type="expression" dxfId="41" priority="23">
      <formula>#REF!="No"</formula>
    </cfRule>
    <cfRule type="expression" dxfId="40" priority="48">
      <formula>#REF!="No"</formula>
    </cfRule>
  </conditionalFormatting>
  <conditionalFormatting sqref="G14">
    <cfRule type="expression" dxfId="39" priority="18">
      <formula>#REF!="No"</formula>
    </cfRule>
  </conditionalFormatting>
  <conditionalFormatting sqref="G16">
    <cfRule type="expression" dxfId="38" priority="1">
      <formula>#REF!="No"</formula>
    </cfRule>
  </conditionalFormatting>
  <conditionalFormatting sqref="G21">
    <cfRule type="expression" dxfId="37" priority="21">
      <formula>#REF!="No"</formula>
    </cfRule>
    <cfRule type="expression" dxfId="36" priority="46">
      <formula>#REF!="No"</formula>
    </cfRule>
  </conditionalFormatting>
  <conditionalFormatting sqref="G26">
    <cfRule type="expression" dxfId="35" priority="20">
      <formula>#REF!="No"</formula>
    </cfRule>
  </conditionalFormatting>
  <conditionalFormatting sqref="G31">
    <cfRule type="expression" dxfId="34" priority="17">
      <formula>#REF!="No"</formula>
    </cfRule>
    <cfRule type="expression" dxfId="33" priority="45">
      <formula>#REF!="No"</formula>
    </cfRule>
  </conditionalFormatting>
  <conditionalFormatting sqref="G36">
    <cfRule type="expression" dxfId="32" priority="19">
      <formula>#REF!="No"</formula>
    </cfRule>
  </conditionalFormatting>
  <conditionalFormatting sqref="G41">
    <cfRule type="expression" dxfId="31" priority="16">
      <formula>#REF!="No"</formula>
    </cfRule>
  </conditionalFormatting>
  <conditionalFormatting sqref="G46">
    <cfRule type="expression" dxfId="30" priority="15">
      <formula>#REF!="No"</formula>
    </cfRule>
  </conditionalFormatting>
  <conditionalFormatting sqref="G51">
    <cfRule type="expression" dxfId="29" priority="14">
      <formula>#REF!="No"</formula>
    </cfRule>
  </conditionalFormatting>
  <conditionalFormatting sqref="G56">
    <cfRule type="expression" dxfId="28" priority="13">
      <formula>#REF!="No"</formula>
    </cfRule>
  </conditionalFormatting>
  <conditionalFormatting sqref="G62">
    <cfRule type="expression" dxfId="27" priority="12">
      <formula>#REF!="No"</formula>
    </cfRule>
  </conditionalFormatting>
  <conditionalFormatting sqref="N10">
    <cfRule type="expression" dxfId="26" priority="7">
      <formula>#REF!="No"</formula>
    </cfRule>
  </conditionalFormatting>
  <conditionalFormatting sqref="Q10:V10">
    <cfRule type="expression" dxfId="25" priority="5">
      <formula>#REF!="No"</formula>
    </cfRule>
  </conditionalFormatting>
  <dataValidations disablePrompts="1" count="1">
    <dataValidation type="list" allowBlank="1" showInputMessage="1" showErrorMessage="1" sqref="H29" xr:uid="{00000000-0002-0000-0F00-000000000000}">
      <formula1>"TBC, A, B, C"</formula1>
    </dataValidation>
  </dataValidations>
  <hyperlinks>
    <hyperlink ref="G5:H7" location="Step1!A1" display="Back" xr:uid="{00000000-0004-0000-0F00-000000000000}"/>
    <hyperlink ref="W5:X7" location="ComplexStep3!A1" display="Next" xr:uid="{00000000-0004-0000-0F00-000001000000}"/>
    <hyperlink ref="B12" location="Step1!A1" display="Step 1" xr:uid="{00000000-0004-0000-0F00-000002000000}"/>
    <hyperlink ref="B10" location="Home!A1" display="HOME" xr:uid="{00000000-0004-0000-0F00-000003000000}"/>
    <hyperlink ref="B16" location="ComplexStep3!A1" display="STEP 3" xr:uid="{00000000-0004-0000-0F00-000004000000}"/>
    <hyperlink ref="B18" location="Data!A1" display="DATA" xr:uid="{00000000-0004-0000-0F00-000005000000}"/>
  </hyperlinks>
  <pageMargins left="0.25" right="0.25" top="0.75" bottom="0.75" header="0.3" footer="0.3"/>
  <pageSetup paperSize="8" scale="95" orientation="landscape" r:id="rId1"/>
  <colBreaks count="1" manualBreakCount="1">
    <brk id="21" max="1048575" man="1"/>
  </colBreak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AL301"/>
  <sheetViews>
    <sheetView showGridLines="0" zoomScale="70" zoomScaleNormal="70" zoomScaleSheetLayoutView="100" workbookViewId="0">
      <selection activeCell="B12" sqref="B12"/>
    </sheetView>
  </sheetViews>
  <sheetFormatPr defaultColWidth="8.7109375" defaultRowHeight="15" customHeight="1" x14ac:dyDescent="0.2"/>
  <cols>
    <col min="1" max="1" width="3.7109375" style="47" customWidth="1"/>
    <col min="2" max="2" width="8.85546875" style="62" customWidth="1"/>
    <col min="3" max="3" width="8.7109375" style="481" customWidth="1"/>
    <col min="4" max="4" width="8.7109375" style="49" customWidth="1"/>
    <col min="5" max="5" width="3.7109375" style="48" customWidth="1"/>
    <col min="6" max="9" width="8.7109375" style="1"/>
    <col min="10" max="17" width="8.7109375" style="1" customWidth="1"/>
    <col min="18" max="18" width="8.7109375" style="5" customWidth="1"/>
    <col min="19" max="24" width="8.7109375" style="1" customWidth="1"/>
    <col min="25" max="31" width="9.7109375" style="1" bestFit="1" customWidth="1"/>
    <col min="32" max="32" width="9.42578125" style="1" bestFit="1" customWidth="1"/>
    <col min="33" max="36" width="9.7109375" style="1" bestFit="1" customWidth="1"/>
    <col min="37" max="37" width="8.7109375" style="1"/>
    <col min="38" max="38" width="8.7109375" style="1" customWidth="1"/>
    <col min="39" max="16384" width="8.7109375" style="1"/>
  </cols>
  <sheetData>
    <row r="1" spans="1:24" ht="15" customHeight="1" x14ac:dyDescent="0.2">
      <c r="A1" s="1022"/>
      <c r="B1" s="1022"/>
      <c r="C1" s="1022"/>
      <c r="D1" s="1022"/>
      <c r="E1" s="1022"/>
      <c r="G1" s="1085" t="s">
        <v>288</v>
      </c>
      <c r="H1" s="1085"/>
    </row>
    <row r="2" spans="1:24" ht="15" customHeight="1" x14ac:dyDescent="0.2">
      <c r="A2" s="1022"/>
      <c r="B2" s="1022"/>
      <c r="C2" s="1022"/>
      <c r="D2" s="1022"/>
      <c r="E2" s="1022"/>
      <c r="G2" s="1085"/>
      <c r="H2" s="1085"/>
      <c r="I2" s="50"/>
      <c r="J2" s="50"/>
      <c r="K2" s="51"/>
      <c r="L2" s="52"/>
      <c r="M2" s="51"/>
      <c r="N2" s="50"/>
      <c r="O2" s="50"/>
      <c r="P2" s="50"/>
      <c r="Q2" s="4"/>
    </row>
    <row r="3" spans="1:24" ht="15" customHeight="1" x14ac:dyDescent="0.2">
      <c r="A3" s="1022"/>
      <c r="B3" s="1022"/>
      <c r="C3" s="1022"/>
      <c r="D3" s="1022"/>
      <c r="E3" s="1022"/>
      <c r="G3" s="1085"/>
      <c r="H3" s="1085"/>
    </row>
    <row r="4" spans="1:24" ht="15" customHeight="1" x14ac:dyDescent="0.2">
      <c r="A4" s="618"/>
      <c r="B4" s="618"/>
      <c r="C4" s="618"/>
      <c r="D4" s="618"/>
      <c r="E4" s="618"/>
      <c r="G4" s="619"/>
      <c r="H4" s="619"/>
    </row>
    <row r="5" spans="1:24" ht="15" customHeight="1" x14ac:dyDescent="0.2">
      <c r="A5" s="669"/>
      <c r="B5" s="62" t="s">
        <v>251</v>
      </c>
      <c r="C5" s="669"/>
      <c r="D5" s="669"/>
      <c r="E5" s="669"/>
      <c r="G5" s="1020" t="str">
        <f>IF(AND(Step1!$J$13="Complex",Step1!$K$14=1),"",HYPERLINK(CONCATENATE("#",Step1!$J$13,IF(Step1!$J$13="Simple","",CONCATENATE("at",Step1!$K$14)),"Step2!A1"),"Back"))</f>
        <v>Back</v>
      </c>
      <c r="H5" s="1020"/>
      <c r="W5" s="1020" t="s">
        <v>328</v>
      </c>
      <c r="X5" s="1020"/>
    </row>
    <row r="6" spans="1:24" ht="15" customHeight="1" x14ac:dyDescent="0.2">
      <c r="A6" s="669"/>
      <c r="C6" s="48"/>
      <c r="E6" s="669"/>
      <c r="G6" s="1020"/>
      <c r="H6" s="1020"/>
      <c r="W6" s="1020"/>
      <c r="X6" s="1020"/>
    </row>
    <row r="7" spans="1:24" ht="15" customHeight="1" x14ac:dyDescent="0.2">
      <c r="A7" s="669"/>
      <c r="B7" s="1023" t="str">
        <f>IF(Step1!K12="New building",Step1!Q12,Step1!K15)</f>
        <v>1-19 Torrington Place</v>
      </c>
      <c r="C7" s="1023"/>
      <c r="D7" s="1023"/>
      <c r="E7" s="669"/>
      <c r="G7" s="1020"/>
      <c r="H7" s="1020"/>
      <c r="I7" s="6"/>
      <c r="J7" s="6"/>
      <c r="W7" s="1020"/>
      <c r="X7" s="1020"/>
    </row>
    <row r="8" spans="1:24" ht="15" customHeight="1" x14ac:dyDescent="0.2">
      <c r="B8" s="89"/>
      <c r="C8" s="48"/>
      <c r="G8" s="498"/>
      <c r="H8" s="498"/>
      <c r="I8" s="6"/>
      <c r="J8" s="6"/>
      <c r="R8" s="498"/>
      <c r="S8" s="498"/>
    </row>
    <row r="9" spans="1:24" ht="15" customHeight="1" x14ac:dyDescent="0.2">
      <c r="B9" s="89"/>
      <c r="C9" s="48"/>
      <c r="G9" s="498"/>
      <c r="H9" s="498"/>
      <c r="I9" s="6"/>
      <c r="J9" s="6"/>
      <c r="R9" s="498"/>
      <c r="S9" s="498"/>
    </row>
    <row r="10" spans="1:24" ht="15" customHeight="1" x14ac:dyDescent="0.2">
      <c r="B10" s="1039" t="s">
        <v>329</v>
      </c>
      <c r="C10" s="1039"/>
      <c r="D10" s="1039"/>
      <c r="G10" s="805" t="s">
        <v>565</v>
      </c>
      <c r="H10" s="7"/>
      <c r="I10" s="7"/>
      <c r="J10" s="7"/>
      <c r="K10" s="7"/>
      <c r="L10" s="7"/>
      <c r="N10" s="1054" t="s">
        <v>566</v>
      </c>
      <c r="O10" s="1054"/>
      <c r="P10" s="1054"/>
      <c r="Q10" s="1054"/>
      <c r="R10" s="1054"/>
      <c r="S10" s="1054"/>
      <c r="T10" s="1054"/>
      <c r="V10" s="445"/>
      <c r="W10" s="60"/>
      <c r="X10" s="60"/>
    </row>
    <row r="11" spans="1:24" ht="15" customHeight="1" x14ac:dyDescent="0.3">
      <c r="B11" s="588"/>
      <c r="C11" s="593"/>
      <c r="D11" s="594"/>
      <c r="G11" s="7"/>
      <c r="H11" s="7"/>
      <c r="I11" s="7"/>
      <c r="J11" s="7"/>
      <c r="K11" s="7"/>
      <c r="L11" s="7"/>
      <c r="N11" s="705"/>
      <c r="O11" s="705"/>
      <c r="P11" s="705"/>
      <c r="Q11" s="705"/>
      <c r="R11" s="705"/>
      <c r="S11" s="705"/>
      <c r="T11" s="705"/>
      <c r="V11" s="60"/>
      <c r="W11" s="60"/>
      <c r="X11" s="60"/>
    </row>
    <row r="12" spans="1:24" ht="15" customHeight="1" x14ac:dyDescent="0.3">
      <c r="B12" s="199" t="s">
        <v>575</v>
      </c>
      <c r="C12" s="595"/>
      <c r="D12" s="594"/>
      <c r="N12" s="705"/>
      <c r="O12" s="705"/>
      <c r="P12" s="705"/>
      <c r="Q12" s="705"/>
      <c r="R12" s="705"/>
      <c r="S12" s="705"/>
      <c r="T12" s="705"/>
      <c r="V12" s="69"/>
      <c r="W12" s="60"/>
      <c r="X12" s="60"/>
    </row>
    <row r="13" spans="1:24" ht="15" customHeight="1" x14ac:dyDescent="0.3">
      <c r="B13" s="588"/>
      <c r="C13" s="597"/>
      <c r="D13" s="594"/>
      <c r="V13" s="60"/>
      <c r="W13" s="1026"/>
      <c r="X13" s="1026"/>
    </row>
    <row r="14" spans="1:24" ht="15" customHeight="1" x14ac:dyDescent="0.3">
      <c r="B14" s="199" t="str">
        <f>IF(AND(Step1!$J$13="Complex",Step1!$K$14=1),"",HYPERLINK(CONCATENATE("#",Step1!$J$13,IF(Step1!$J$13="Simple","",CONCATENATE("at",Step1!$K$14)),"Step2!A1"),"STEP 2:CALCULATE"))</f>
        <v>STEP 2:CALCULATE</v>
      </c>
      <c r="C14" s="593"/>
      <c r="D14" s="594"/>
      <c r="V14" s="60"/>
      <c r="W14" s="1026"/>
      <c r="X14" s="1026"/>
    </row>
    <row r="15" spans="1:24" ht="15" customHeight="1" x14ac:dyDescent="0.3">
      <c r="B15" s="589"/>
      <c r="C15" s="593"/>
      <c r="D15" s="617"/>
      <c r="V15" s="60"/>
      <c r="W15" s="60"/>
      <c r="X15" s="60"/>
    </row>
    <row r="16" spans="1:24" ht="15" customHeight="1" x14ac:dyDescent="0.3">
      <c r="A16" s="483" t="s">
        <v>330</v>
      </c>
      <c r="B16" s="203" t="s">
        <v>576</v>
      </c>
      <c r="C16" s="593"/>
      <c r="D16" s="617"/>
      <c r="E16" s="55"/>
      <c r="G16" s="499"/>
      <c r="J16" s="6"/>
      <c r="K16" s="6"/>
      <c r="M16" s="6"/>
      <c r="N16" s="6"/>
      <c r="P16" s="2"/>
      <c r="V16" s="60"/>
      <c r="W16" s="60"/>
      <c r="X16" s="60"/>
    </row>
    <row r="17" spans="2:38" ht="15" customHeight="1" x14ac:dyDescent="0.3">
      <c r="B17" s="590"/>
      <c r="C17" s="593"/>
      <c r="D17" s="617"/>
      <c r="G17" s="500"/>
      <c r="J17" s="6"/>
      <c r="K17" s="6"/>
      <c r="M17" s="6"/>
      <c r="N17" s="6"/>
      <c r="P17" s="19"/>
      <c r="V17" s="69"/>
      <c r="W17" s="60"/>
      <c r="X17" s="60"/>
    </row>
    <row r="18" spans="2:38" ht="15" customHeight="1" x14ac:dyDescent="0.3">
      <c r="B18" s="204" t="s">
        <v>331</v>
      </c>
      <c r="C18" s="593"/>
      <c r="D18" s="617"/>
      <c r="H18" s="54"/>
      <c r="P18" s="19"/>
      <c r="V18" s="60"/>
      <c r="W18" s="1026"/>
      <c r="X18" s="1026"/>
    </row>
    <row r="19" spans="2:38" ht="15" customHeight="1" x14ac:dyDescent="0.2">
      <c r="B19" s="120"/>
      <c r="C19" s="48"/>
      <c r="G19" s="424"/>
      <c r="J19" s="501"/>
      <c r="M19" s="501"/>
      <c r="P19" s="2"/>
      <c r="V19" s="60"/>
      <c r="W19" s="1026"/>
      <c r="X19" s="1026"/>
    </row>
    <row r="20" spans="2:38" ht="15" customHeight="1" x14ac:dyDescent="0.2">
      <c r="B20" s="120"/>
      <c r="C20" s="48"/>
      <c r="G20" s="500"/>
      <c r="J20" s="3"/>
      <c r="M20" s="3"/>
      <c r="P20" s="19"/>
      <c r="V20" s="60"/>
      <c r="W20" s="60"/>
      <c r="X20" s="60"/>
    </row>
    <row r="21" spans="2:38" ht="15" customHeight="1" x14ac:dyDescent="0.2">
      <c r="B21" s="120"/>
      <c r="C21" s="48"/>
      <c r="H21" s="54"/>
      <c r="P21" s="19"/>
      <c r="V21" s="60"/>
      <c r="W21" s="60"/>
      <c r="X21" s="60"/>
    </row>
    <row r="22" spans="2:38" ht="15" customHeight="1" x14ac:dyDescent="0.2">
      <c r="V22" s="69"/>
      <c r="W22" s="60"/>
      <c r="X22" s="60"/>
    </row>
    <row r="23" spans="2:38" ht="15" customHeight="1" x14ac:dyDescent="0.2">
      <c r="V23" s="60"/>
      <c r="W23" s="1026"/>
      <c r="X23" s="1026"/>
    </row>
    <row r="24" spans="2:38" ht="15" customHeight="1" x14ac:dyDescent="0.2">
      <c r="C24" s="48"/>
      <c r="H24" s="54"/>
      <c r="N24" s="705"/>
      <c r="O24" s="705"/>
      <c r="P24" s="705"/>
      <c r="Q24" s="705"/>
      <c r="R24" s="705"/>
      <c r="S24" s="705"/>
      <c r="T24" s="705"/>
      <c r="V24" s="60"/>
      <c r="W24" s="1026"/>
      <c r="X24" s="1026"/>
    </row>
    <row r="25" spans="2:38" ht="15" customHeight="1" x14ac:dyDescent="0.2">
      <c r="B25" s="62" t="s">
        <v>287</v>
      </c>
      <c r="C25" s="55"/>
      <c r="G25" s="424"/>
      <c r="J25" s="501"/>
      <c r="M25" s="501"/>
      <c r="N25" s="705"/>
      <c r="O25" s="705"/>
      <c r="P25" s="705"/>
      <c r="Q25" s="705"/>
      <c r="R25" s="705"/>
      <c r="S25" s="705"/>
      <c r="T25" s="705"/>
      <c r="V25" s="759"/>
      <c r="W25" s="60"/>
      <c r="X25" s="60"/>
    </row>
    <row r="26" spans="2:38" ht="15" customHeight="1" x14ac:dyDescent="0.2">
      <c r="B26" s="1049">
        <f>K123</f>
        <v>591762.20222500002</v>
      </c>
      <c r="C26" s="1049"/>
      <c r="D26" s="1049"/>
      <c r="G26" s="500"/>
      <c r="J26" s="3"/>
      <c r="M26" s="3"/>
      <c r="N26" s="1054" t="s">
        <v>567</v>
      </c>
      <c r="O26" s="1054"/>
      <c r="P26" s="1054"/>
      <c r="Q26" s="1054"/>
      <c r="R26" s="1054"/>
      <c r="S26" s="1054"/>
      <c r="T26" s="1054"/>
      <c r="V26" s="60"/>
      <c r="W26" s="60"/>
      <c r="X26" s="60"/>
    </row>
    <row r="27" spans="2:38" ht="15" customHeight="1" x14ac:dyDescent="0.2">
      <c r="B27" s="1049"/>
      <c r="C27" s="1049"/>
      <c r="D27" s="1049"/>
      <c r="H27" s="54"/>
      <c r="V27" s="69"/>
      <c r="W27" s="60"/>
      <c r="X27" s="60"/>
      <c r="AJ27" s="502"/>
      <c r="AK27" s="502"/>
      <c r="AL27" s="502"/>
    </row>
    <row r="28" spans="2:38" ht="15" customHeight="1" x14ac:dyDescent="0.2">
      <c r="B28" s="89"/>
      <c r="C28" s="48"/>
      <c r="D28" s="398" t="s">
        <v>486</v>
      </c>
      <c r="G28" s="424"/>
      <c r="J28" s="501"/>
      <c r="M28" s="501"/>
      <c r="P28" s="2"/>
      <c r="V28" s="60"/>
      <c r="W28" s="1026"/>
      <c r="X28" s="1026"/>
      <c r="AJ28" s="502"/>
      <c r="AK28" s="502"/>
      <c r="AL28" s="502"/>
    </row>
    <row r="29" spans="2:38" ht="15" customHeight="1" x14ac:dyDescent="0.2">
      <c r="V29" s="60"/>
      <c r="W29" s="1026"/>
      <c r="X29" s="1026"/>
      <c r="AJ29" s="502"/>
      <c r="AK29" s="502"/>
      <c r="AL29" s="502"/>
    </row>
    <row r="30" spans="2:38" ht="15" customHeight="1" x14ac:dyDescent="0.2">
      <c r="B30" s="62" t="s">
        <v>546</v>
      </c>
      <c r="C30" s="48"/>
      <c r="V30" s="60"/>
      <c r="W30" s="60"/>
      <c r="X30" s="60"/>
      <c r="AJ30" s="502"/>
      <c r="AK30" s="502"/>
      <c r="AL30" s="502"/>
    </row>
    <row r="31" spans="2:38" ht="15" customHeight="1" x14ac:dyDescent="0.2">
      <c r="B31" s="1049">
        <f>K124</f>
        <v>629956.23750000005</v>
      </c>
      <c r="C31" s="1049"/>
      <c r="D31" s="1049"/>
      <c r="V31" s="60"/>
      <c r="W31" s="60"/>
      <c r="X31" s="60"/>
      <c r="AJ31" s="502"/>
      <c r="AK31" s="502"/>
      <c r="AL31" s="502"/>
    </row>
    <row r="32" spans="2:38" ht="15" customHeight="1" x14ac:dyDescent="0.2">
      <c r="B32" s="1049"/>
      <c r="C32" s="1049"/>
      <c r="D32" s="1049"/>
      <c r="E32" s="55"/>
      <c r="G32" s="59"/>
      <c r="H32" s="502"/>
      <c r="I32" s="502"/>
      <c r="J32" s="502"/>
      <c r="K32" s="502"/>
      <c r="L32" s="502"/>
      <c r="M32" s="502"/>
      <c r="N32" s="502"/>
      <c r="O32" s="502"/>
      <c r="P32" s="502"/>
      <c r="Q32" s="502"/>
      <c r="R32" s="502"/>
      <c r="S32" s="502"/>
      <c r="T32" s="502"/>
      <c r="U32" s="502"/>
      <c r="V32" s="69"/>
      <c r="W32" s="60"/>
      <c r="X32" s="60"/>
      <c r="AJ32" s="502"/>
      <c r="AK32" s="502"/>
      <c r="AL32" s="502"/>
    </row>
    <row r="33" spans="2:38" ht="15" customHeight="1" x14ac:dyDescent="0.2">
      <c r="C33" s="48"/>
      <c r="D33" s="398" t="s">
        <v>487</v>
      </c>
      <c r="U33" s="502"/>
      <c r="V33" s="60"/>
      <c r="W33" s="1026"/>
      <c r="X33" s="1026"/>
      <c r="AJ33" s="502"/>
      <c r="AK33" s="502"/>
      <c r="AL33" s="502"/>
    </row>
    <row r="34" spans="2:38" ht="15" customHeight="1" x14ac:dyDescent="0.2">
      <c r="C34" s="48"/>
      <c r="U34" s="502"/>
      <c r="V34" s="60"/>
      <c r="W34" s="1026"/>
      <c r="X34" s="1026"/>
      <c r="AJ34" s="502"/>
      <c r="AK34" s="502"/>
      <c r="AL34" s="502"/>
    </row>
    <row r="35" spans="2:38" ht="15" customHeight="1" x14ac:dyDescent="0.2">
      <c r="C35" s="486"/>
      <c r="D35" s="486"/>
      <c r="U35" s="502"/>
      <c r="V35" s="60"/>
      <c r="W35" s="60"/>
      <c r="X35" s="60"/>
      <c r="AJ35" s="502"/>
      <c r="AK35" s="502"/>
      <c r="AL35" s="502"/>
    </row>
    <row r="36" spans="2:38" ht="15" customHeight="1" x14ac:dyDescent="0.3">
      <c r="B36" s="89"/>
      <c r="C36" s="48"/>
      <c r="E36" s="55"/>
      <c r="G36" s="503"/>
      <c r="H36" s="503"/>
      <c r="I36" s="503"/>
      <c r="J36" s="503"/>
      <c r="K36" s="503"/>
      <c r="L36" s="503"/>
      <c r="M36" s="502"/>
      <c r="N36" s="502"/>
      <c r="P36" s="503"/>
      <c r="Q36" s="503"/>
      <c r="R36" s="503"/>
      <c r="S36" s="503"/>
      <c r="T36" s="503"/>
      <c r="U36" s="502"/>
      <c r="V36" s="60"/>
      <c r="W36" s="60"/>
      <c r="X36" s="60"/>
      <c r="AJ36" s="502"/>
      <c r="AK36" s="502"/>
      <c r="AL36" s="504"/>
    </row>
    <row r="37" spans="2:38" ht="15" customHeight="1" x14ac:dyDescent="0.2">
      <c r="B37" s="89"/>
      <c r="C37" s="48"/>
      <c r="G37" s="503"/>
      <c r="H37" s="503"/>
      <c r="I37" s="503"/>
      <c r="J37" s="503"/>
      <c r="K37" s="503"/>
      <c r="L37" s="503"/>
      <c r="M37" s="502"/>
      <c r="N37" s="505"/>
      <c r="O37" s="503"/>
      <c r="P37" s="503"/>
      <c r="Q37" s="503"/>
      <c r="R37" s="503"/>
      <c r="S37" s="503"/>
      <c r="T37" s="503"/>
      <c r="U37" s="502"/>
      <c r="V37" s="69"/>
      <c r="W37" s="60"/>
      <c r="X37" s="60"/>
      <c r="AJ37" s="502"/>
      <c r="AK37" s="502"/>
      <c r="AL37" s="502"/>
    </row>
    <row r="38" spans="2:38" ht="15" customHeight="1" x14ac:dyDescent="0.2">
      <c r="G38" s="503"/>
      <c r="H38" s="503"/>
      <c r="I38" s="503"/>
      <c r="J38" s="503"/>
      <c r="K38" s="503"/>
      <c r="L38" s="503"/>
      <c r="M38" s="502"/>
      <c r="N38" s="502"/>
      <c r="O38" s="503"/>
      <c r="P38" s="503"/>
      <c r="Q38" s="503"/>
      <c r="R38" s="503"/>
      <c r="S38" s="503"/>
      <c r="T38" s="503"/>
      <c r="U38" s="502"/>
      <c r="V38" s="60"/>
      <c r="W38" s="1026"/>
      <c r="X38" s="1026"/>
    </row>
    <row r="39" spans="2:38" ht="15" customHeight="1" x14ac:dyDescent="0.2">
      <c r="G39" s="503"/>
      <c r="H39" s="503"/>
      <c r="I39" s="503"/>
      <c r="J39" s="503"/>
      <c r="K39" s="503"/>
      <c r="L39" s="506"/>
      <c r="M39" s="502"/>
      <c r="N39" s="502"/>
      <c r="O39" s="503"/>
      <c r="P39" s="503"/>
      <c r="Q39" s="503"/>
      <c r="R39" s="503"/>
      <c r="S39" s="503"/>
      <c r="T39" s="503"/>
      <c r="U39" s="502"/>
      <c r="V39" s="60"/>
      <c r="W39" s="1026"/>
      <c r="X39" s="1026"/>
    </row>
    <row r="40" spans="2:38" ht="15" customHeight="1" x14ac:dyDescent="0.2">
      <c r="N40" s="794"/>
      <c r="O40" s="794"/>
      <c r="P40" s="794"/>
      <c r="Q40" s="794"/>
      <c r="R40" s="794"/>
      <c r="S40" s="794"/>
      <c r="T40" s="794"/>
      <c r="V40" s="60"/>
      <c r="W40" s="60"/>
      <c r="X40" s="60"/>
    </row>
    <row r="41" spans="2:38" ht="15" customHeight="1" x14ac:dyDescent="0.2">
      <c r="N41" s="794"/>
      <c r="O41" s="794"/>
      <c r="P41" s="794"/>
      <c r="Q41" s="794"/>
      <c r="R41" s="794"/>
      <c r="S41" s="794"/>
      <c r="T41" s="794"/>
      <c r="V41" s="60"/>
      <c r="W41" s="60"/>
      <c r="X41" s="60"/>
    </row>
    <row r="42" spans="2:38" ht="15" customHeight="1" x14ac:dyDescent="0.2">
      <c r="N42" s="794"/>
      <c r="O42" s="794"/>
      <c r="P42" s="794"/>
      <c r="Q42" s="794"/>
      <c r="R42" s="794"/>
      <c r="S42" s="794"/>
      <c r="T42" s="794"/>
      <c r="V42" s="60"/>
      <c r="W42" s="60"/>
      <c r="X42" s="60"/>
    </row>
    <row r="43" spans="2:38" ht="15" customHeight="1" x14ac:dyDescent="0.2">
      <c r="N43" s="794"/>
      <c r="O43" s="794"/>
      <c r="P43" s="794"/>
      <c r="Q43" s="794"/>
      <c r="R43" s="794"/>
      <c r="S43" s="794"/>
      <c r="T43" s="794"/>
      <c r="V43" s="60"/>
      <c r="W43" s="60"/>
      <c r="X43" s="60"/>
    </row>
    <row r="44" spans="2:38" ht="15" customHeight="1" x14ac:dyDescent="0.2">
      <c r="N44" s="794"/>
      <c r="O44" s="794"/>
      <c r="P44" s="794"/>
      <c r="Q44" s="794"/>
      <c r="R44" s="794"/>
      <c r="S44" s="794"/>
      <c r="T44" s="794"/>
      <c r="V44" s="60"/>
      <c r="W44" s="60"/>
      <c r="X44" s="60"/>
    </row>
    <row r="45" spans="2:38" ht="15" customHeight="1" x14ac:dyDescent="0.2">
      <c r="V45" s="60"/>
      <c r="W45" s="1026"/>
      <c r="X45" s="1026"/>
    </row>
    <row r="46" spans="2:38" ht="15" customHeight="1" x14ac:dyDescent="0.2">
      <c r="O46" s="1076" t="s">
        <v>615</v>
      </c>
      <c r="P46" s="1076"/>
      <c r="Q46" s="1076"/>
      <c r="R46" s="1076"/>
      <c r="S46" s="1076"/>
      <c r="T46" s="1076"/>
      <c r="V46" s="60"/>
      <c r="W46" s="1026"/>
      <c r="X46" s="1026"/>
    </row>
    <row r="47" spans="2:38" ht="15" customHeight="1" x14ac:dyDescent="0.2">
      <c r="O47" s="1076"/>
      <c r="P47" s="1076"/>
      <c r="Q47" s="1076"/>
      <c r="R47" s="1076"/>
      <c r="S47" s="1076"/>
      <c r="T47" s="1076"/>
      <c r="V47" s="60"/>
      <c r="W47" s="60"/>
      <c r="X47" s="60"/>
    </row>
    <row r="48" spans="2:38" ht="15" customHeight="1" x14ac:dyDescent="0.2">
      <c r="B48" s="89"/>
      <c r="C48" s="48"/>
      <c r="O48" s="1076"/>
      <c r="P48" s="1076"/>
      <c r="Q48" s="1076"/>
      <c r="R48" s="1076"/>
      <c r="S48" s="1076"/>
      <c r="T48" s="1076"/>
      <c r="V48" s="60"/>
      <c r="W48" s="60"/>
      <c r="X48" s="60"/>
    </row>
    <row r="49" spans="2:24" ht="15" customHeight="1" x14ac:dyDescent="0.2">
      <c r="B49" s="89"/>
      <c r="C49" s="48"/>
      <c r="O49" s="1076"/>
      <c r="P49" s="1076"/>
      <c r="Q49" s="1076"/>
      <c r="R49" s="1076"/>
      <c r="S49" s="1076"/>
      <c r="T49" s="1076"/>
      <c r="V49" s="60"/>
      <c r="W49" s="60"/>
      <c r="X49" s="60"/>
    </row>
    <row r="50" spans="2:24" ht="15" customHeight="1" x14ac:dyDescent="0.2">
      <c r="B50" s="89"/>
      <c r="C50" s="48"/>
      <c r="O50" s="1076"/>
      <c r="P50" s="1076"/>
      <c r="Q50" s="1076"/>
      <c r="R50" s="1076"/>
      <c r="S50" s="1076"/>
      <c r="T50" s="1076"/>
      <c r="V50" s="60"/>
      <c r="W50" s="60"/>
      <c r="X50" s="60"/>
    </row>
    <row r="67" spans="7:24" ht="15" hidden="1" customHeight="1" x14ac:dyDescent="0.2">
      <c r="G67" s="338" t="s">
        <v>522</v>
      </c>
      <c r="H67" s="507"/>
      <c r="I67" s="507"/>
      <c r="J67" s="507"/>
      <c r="K67" s="507"/>
      <c r="L67" s="507"/>
      <c r="M67" s="507"/>
      <c r="N67" s="507"/>
      <c r="O67" s="507"/>
      <c r="P67" s="634" t="s">
        <v>685</v>
      </c>
      <c r="Q67" s="635"/>
      <c r="R67" s="507"/>
      <c r="S67" s="507"/>
      <c r="T67" s="634" t="s">
        <v>686</v>
      </c>
      <c r="U67" s="635"/>
      <c r="V67" s="507"/>
      <c r="W67" s="634" t="s">
        <v>561</v>
      </c>
      <c r="X67" s="507"/>
    </row>
    <row r="68" spans="7:24" ht="15" hidden="1" customHeight="1" thickBot="1" x14ac:dyDescent="0.25">
      <c r="G68" s="508"/>
      <c r="H68" s="508"/>
      <c r="I68" s="508"/>
      <c r="J68" s="508"/>
      <c r="K68" s="508"/>
      <c r="L68" s="508"/>
      <c r="M68" s="508"/>
      <c r="N68" s="508"/>
      <c r="O68" s="508"/>
      <c r="P68" s="509"/>
      <c r="Q68" s="508"/>
      <c r="R68" s="61"/>
      <c r="S68" s="61"/>
      <c r="T68" s="509"/>
      <c r="U68" s="508"/>
      <c r="V68" s="60"/>
      <c r="W68" s="509"/>
      <c r="X68" s="60"/>
    </row>
    <row r="69" spans="7:24" ht="15" hidden="1" customHeight="1" thickBot="1" x14ac:dyDescent="0.25">
      <c r="G69" s="196" t="s">
        <v>494</v>
      </c>
      <c r="H69" s="508"/>
      <c r="I69" s="508"/>
      <c r="J69" s="508"/>
      <c r="K69" s="508"/>
      <c r="L69" s="508"/>
      <c r="M69" s="508"/>
      <c r="N69" s="508"/>
      <c r="O69" s="508"/>
      <c r="P69" s="674">
        <f>SUM(P70:P71)</f>
        <v>1554790.0000000002</v>
      </c>
      <c r="Q69" s="675"/>
      <c r="R69" s="61"/>
      <c r="S69" s="61"/>
      <c r="T69" s="676">
        <f>SUM(T70:T71)</f>
        <v>0</v>
      </c>
      <c r="U69" s="675"/>
      <c r="V69" s="60"/>
      <c r="W69" s="677">
        <f>SUM(W70:W71)</f>
        <v>0</v>
      </c>
      <c r="X69" s="60"/>
    </row>
    <row r="70" spans="7:24" ht="15" hidden="1" customHeight="1" thickBot="1" x14ac:dyDescent="0.25">
      <c r="G70" s="60"/>
      <c r="H70" s="14" t="s">
        <v>359</v>
      </c>
      <c r="I70" s="508"/>
      <c r="J70" s="508"/>
      <c r="K70" s="508"/>
      <c r="L70" s="60"/>
      <c r="M70" s="60"/>
      <c r="N70" s="60"/>
      <c r="O70" s="60"/>
      <c r="P70" s="678">
        <f>Step1!$O$24*(Step1!O35+Step1!O37+Step1!O39)</f>
        <v>1243832.0000000002</v>
      </c>
      <c r="Q70" s="417"/>
      <c r="R70" s="61"/>
      <c r="S70" s="61"/>
      <c r="T70" s="679">
        <f>Step1!$O$24*ComplexAt3Step2!M12</f>
        <v>0</v>
      </c>
      <c r="U70" s="417"/>
      <c r="V70" s="60"/>
      <c r="W70" s="680"/>
      <c r="X70" s="60"/>
    </row>
    <row r="71" spans="7:24" ht="15" hidden="1" customHeight="1" thickBot="1" x14ac:dyDescent="0.25">
      <c r="G71" s="60"/>
      <c r="H71" s="14" t="s">
        <v>360</v>
      </c>
      <c r="I71" s="508"/>
      <c r="J71" s="508"/>
      <c r="K71" s="508"/>
      <c r="L71" s="60"/>
      <c r="M71" s="60"/>
      <c r="N71" s="60"/>
      <c r="O71" s="60"/>
      <c r="P71" s="678">
        <f>Step1!$O$24*(Step1!O36+Step1!O38+Step1!O40)</f>
        <v>310958.00000000006</v>
      </c>
      <c r="Q71" s="417"/>
      <c r="R71" s="61"/>
      <c r="S71" s="61"/>
      <c r="T71" s="679">
        <f>Step1!$O$24*ComplexAt3Step2!M17</f>
        <v>0</v>
      </c>
      <c r="U71" s="417"/>
      <c r="V71" s="69"/>
      <c r="W71" s="680"/>
      <c r="X71" s="60"/>
    </row>
    <row r="72" spans="7:24" ht="15" hidden="1" customHeight="1" thickBot="1" x14ac:dyDescent="0.25">
      <c r="G72" s="196"/>
      <c r="H72" s="508"/>
      <c r="I72" s="508"/>
      <c r="J72" s="508"/>
      <c r="K72" s="508"/>
      <c r="L72" s="60"/>
      <c r="M72" s="60"/>
      <c r="N72" s="60"/>
      <c r="O72" s="60"/>
      <c r="P72" s="681"/>
      <c r="Q72" s="417"/>
      <c r="R72" s="61"/>
      <c r="S72" s="61"/>
      <c r="T72" s="682"/>
      <c r="U72" s="417"/>
      <c r="V72" s="69"/>
      <c r="W72" s="683"/>
      <c r="X72" s="60"/>
    </row>
    <row r="73" spans="7:24" ht="15" hidden="1" customHeight="1" thickBot="1" x14ac:dyDescent="0.25">
      <c r="G73" s="196" t="s">
        <v>343</v>
      </c>
      <c r="H73" s="508"/>
      <c r="I73" s="508"/>
      <c r="J73" s="508"/>
      <c r="K73" s="508"/>
      <c r="L73" s="60"/>
      <c r="M73" s="60"/>
      <c r="N73" s="60"/>
      <c r="O73" s="60"/>
      <c r="P73" s="674">
        <f>SUM(P74:P77)</f>
        <v>1580726.25</v>
      </c>
      <c r="Q73" s="684"/>
      <c r="R73" s="61"/>
      <c r="S73" s="61"/>
      <c r="T73" s="676">
        <f>SUM(T74:T77)</f>
        <v>0</v>
      </c>
      <c r="U73" s="684"/>
      <c r="V73" s="69"/>
      <c r="W73" s="677">
        <f>SUM(W74:W77)</f>
        <v>0</v>
      </c>
      <c r="X73" s="60"/>
    </row>
    <row r="74" spans="7:24" ht="15" hidden="1" customHeight="1" thickBot="1" x14ac:dyDescent="0.25">
      <c r="G74" s="60"/>
      <c r="H74" s="552" t="s">
        <v>490</v>
      </c>
      <c r="I74" s="508"/>
      <c r="J74" s="508"/>
      <c r="K74" s="508"/>
      <c r="L74" s="60"/>
      <c r="M74" s="60"/>
      <c r="N74" s="60"/>
      <c r="O74" s="60"/>
      <c r="P74" s="678">
        <f>Step1!$O$24*Step1!O41</f>
        <v>316145.25</v>
      </c>
      <c r="Q74" s="417"/>
      <c r="R74" s="61"/>
      <c r="S74" s="61"/>
      <c r="T74" s="679">
        <f>Step1!$O$24*ComplexAt3Step2!M22</f>
        <v>0</v>
      </c>
      <c r="U74" s="417"/>
      <c r="V74" s="60"/>
      <c r="W74" s="680"/>
      <c r="X74" s="795"/>
    </row>
    <row r="75" spans="7:24" ht="15" hidden="1" customHeight="1" thickBot="1" x14ac:dyDescent="0.25">
      <c r="G75" s="60"/>
      <c r="H75" s="552" t="s">
        <v>20</v>
      </c>
      <c r="I75" s="508"/>
      <c r="J75" s="508"/>
      <c r="K75" s="508"/>
      <c r="L75" s="60"/>
      <c r="M75" s="60"/>
      <c r="N75" s="60"/>
      <c r="O75" s="60"/>
      <c r="P75" s="678">
        <f>Step1!$O$24*Step1!O42</f>
        <v>316145.25</v>
      </c>
      <c r="Q75" s="417"/>
      <c r="R75" s="61"/>
      <c r="S75" s="61"/>
      <c r="T75" s="679">
        <f>Step1!$O$24*ComplexAt3Step2!M27</f>
        <v>0</v>
      </c>
      <c r="U75" s="417"/>
      <c r="V75" s="60"/>
      <c r="W75" s="680"/>
      <c r="X75" s="795"/>
    </row>
    <row r="76" spans="7:24" ht="15" hidden="1" customHeight="1" thickBot="1" x14ac:dyDescent="0.25">
      <c r="G76" s="60"/>
      <c r="H76" s="552" t="s">
        <v>262</v>
      </c>
      <c r="I76" s="60"/>
      <c r="J76" s="60"/>
      <c r="K76" s="60"/>
      <c r="L76" s="60"/>
      <c r="M76" s="60"/>
      <c r="N76" s="60"/>
      <c r="O76" s="60"/>
      <c r="P76" s="678">
        <f>Step1!$O$24*Step1!O43</f>
        <v>316145.25</v>
      </c>
      <c r="Q76" s="417"/>
      <c r="R76" s="61"/>
      <c r="S76" s="61"/>
      <c r="T76" s="679">
        <f>Step1!$O$24*ComplexAt3Step2!M27</f>
        <v>0</v>
      </c>
      <c r="U76" s="417"/>
      <c r="V76" s="760"/>
      <c r="W76" s="680"/>
      <c r="X76" s="760"/>
    </row>
    <row r="77" spans="7:24" ht="15" hidden="1" customHeight="1" thickBot="1" x14ac:dyDescent="0.25">
      <c r="G77" s="60"/>
      <c r="H77" s="552" t="s">
        <v>493</v>
      </c>
      <c r="I77" s="60"/>
      <c r="J77" s="60"/>
      <c r="K77" s="60"/>
      <c r="L77" s="60"/>
      <c r="M77" s="60"/>
      <c r="N77" s="60"/>
      <c r="O77" s="60"/>
      <c r="P77" s="678">
        <f>Step1!$O$24*(Step1!O43+Step1!O44)</f>
        <v>632290.5</v>
      </c>
      <c r="Q77" s="417"/>
      <c r="R77" s="61"/>
      <c r="S77" s="61"/>
      <c r="T77" s="679">
        <f>SUM(T79:T83)</f>
        <v>0</v>
      </c>
      <c r="U77" s="417"/>
      <c r="V77" s="60"/>
      <c r="W77" s="680"/>
      <c r="X77" s="795"/>
    </row>
    <row r="78" spans="7:24" ht="15" hidden="1" customHeight="1" thickBot="1" x14ac:dyDescent="0.25">
      <c r="G78" s="60"/>
      <c r="H78" s="196"/>
      <c r="I78" s="60"/>
      <c r="J78" s="60"/>
      <c r="K78" s="60"/>
      <c r="L78" s="60"/>
      <c r="M78" s="60"/>
      <c r="N78" s="60"/>
      <c r="O78" s="60"/>
      <c r="P78" s="683"/>
      <c r="Q78" s="417"/>
      <c r="R78" s="61"/>
      <c r="S78" s="61"/>
      <c r="T78" s="682"/>
      <c r="U78" s="417"/>
      <c r="V78" s="60"/>
      <c r="W78" s="683"/>
      <c r="X78" s="795"/>
    </row>
    <row r="79" spans="7:24" ht="15" hidden="1" customHeight="1" thickBot="1" x14ac:dyDescent="0.25">
      <c r="G79" s="60"/>
      <c r="H79" s="196"/>
      <c r="I79" s="508" t="s">
        <v>344</v>
      </c>
      <c r="J79" s="60"/>
      <c r="K79" s="60"/>
      <c r="L79" s="60"/>
      <c r="M79" s="60"/>
      <c r="N79" s="60"/>
      <c r="O79" s="60"/>
      <c r="P79" s="683"/>
      <c r="Q79" s="417"/>
      <c r="R79" s="61"/>
      <c r="S79" s="61"/>
      <c r="T79" s="679">
        <f>Step1!$O$24*ComplexAt3Step2!M37</f>
        <v>0</v>
      </c>
      <c r="U79" s="417"/>
      <c r="V79" s="60"/>
      <c r="W79" s="683"/>
      <c r="X79" s="60"/>
    </row>
    <row r="80" spans="7:24" ht="15" hidden="1" customHeight="1" thickBot="1" x14ac:dyDescent="0.25">
      <c r="G80" s="60"/>
      <c r="H80" s="196"/>
      <c r="I80" s="508" t="s">
        <v>266</v>
      </c>
      <c r="J80" s="60"/>
      <c r="K80" s="60"/>
      <c r="L80" s="60"/>
      <c r="M80" s="60"/>
      <c r="N80" s="60"/>
      <c r="O80" s="60"/>
      <c r="P80" s="683"/>
      <c r="Q80" s="417"/>
      <c r="R80" s="61"/>
      <c r="S80" s="61"/>
      <c r="T80" s="679">
        <f>Step1!$O$24*ComplexAt3Step2!M42</f>
        <v>0</v>
      </c>
      <c r="U80" s="417"/>
      <c r="V80" s="60"/>
      <c r="W80" s="683"/>
      <c r="X80" s="60"/>
    </row>
    <row r="81" spans="7:36" ht="15" hidden="1" customHeight="1" thickBot="1" x14ac:dyDescent="0.25">
      <c r="G81" s="60"/>
      <c r="H81" s="196"/>
      <c r="I81" s="508" t="s">
        <v>345</v>
      </c>
      <c r="J81" s="60"/>
      <c r="K81" s="60"/>
      <c r="L81" s="60"/>
      <c r="M81" s="60"/>
      <c r="N81" s="60"/>
      <c r="O81" s="60"/>
      <c r="P81" s="683"/>
      <c r="Q81" s="417"/>
      <c r="R81" s="61"/>
      <c r="S81" s="61"/>
      <c r="T81" s="679">
        <f>Step1!$O$24*ComplexAt3Step2!M47</f>
        <v>0</v>
      </c>
      <c r="U81" s="417"/>
      <c r="V81" s="40"/>
      <c r="W81" s="683"/>
      <c r="X81" s="40"/>
      <c r="Y81" s="57"/>
      <c r="Z81" s="57"/>
      <c r="AA81" s="57"/>
      <c r="AB81" s="57"/>
      <c r="AC81" s="57"/>
      <c r="AD81" s="57"/>
      <c r="AE81" s="57"/>
      <c r="AF81" s="57"/>
      <c r="AG81" s="57"/>
      <c r="AH81" s="57"/>
      <c r="AI81" s="57"/>
      <c r="AJ81" s="57"/>
    </row>
    <row r="82" spans="7:36" ht="15" hidden="1" customHeight="1" thickBot="1" x14ac:dyDescent="0.25">
      <c r="G82" s="60"/>
      <c r="H82" s="196"/>
      <c r="I82" s="508" t="s">
        <v>263</v>
      </c>
      <c r="J82" s="60"/>
      <c r="K82" s="60"/>
      <c r="L82" s="60"/>
      <c r="M82" s="60"/>
      <c r="N82" s="60"/>
      <c r="O82" s="60"/>
      <c r="P82" s="683"/>
      <c r="Q82" s="417"/>
      <c r="R82" s="61"/>
      <c r="S82" s="61"/>
      <c r="T82" s="679">
        <f>Step1!$O$24*ComplexAt3Step2!M52</f>
        <v>0</v>
      </c>
      <c r="U82" s="417"/>
      <c r="V82" s="41"/>
      <c r="W82" s="683"/>
      <c r="X82" s="41"/>
      <c r="Y82" s="58"/>
      <c r="Z82" s="58"/>
      <c r="AA82" s="58"/>
      <c r="AB82" s="58"/>
      <c r="AC82" s="58"/>
      <c r="AD82" s="58"/>
      <c r="AE82" s="58"/>
      <c r="AF82" s="58"/>
      <c r="AG82" s="58"/>
      <c r="AH82" s="58"/>
      <c r="AI82" s="58"/>
      <c r="AJ82" s="58"/>
    </row>
    <row r="83" spans="7:36" ht="15" hidden="1" customHeight="1" thickBot="1" x14ac:dyDescent="0.25">
      <c r="G83" s="60"/>
      <c r="H83" s="196"/>
      <c r="I83" s="508" t="s">
        <v>264</v>
      </c>
      <c r="J83" s="508"/>
      <c r="K83" s="508"/>
      <c r="L83" s="60"/>
      <c r="M83" s="60"/>
      <c r="N83" s="60"/>
      <c r="O83" s="60"/>
      <c r="P83" s="685"/>
      <c r="Q83" s="417"/>
      <c r="R83" s="61"/>
      <c r="S83" s="61"/>
      <c r="T83" s="679">
        <f>Step1!$O$24*ComplexAt3Step2!M57</f>
        <v>0</v>
      </c>
      <c r="U83" s="417"/>
      <c r="V83" s="41"/>
      <c r="W83" s="685"/>
      <c r="X83" s="41"/>
      <c r="Y83" s="58"/>
      <c r="Z83" s="58"/>
      <c r="AA83" s="58"/>
      <c r="AB83" s="58"/>
      <c r="AC83" s="58"/>
      <c r="AD83" s="58"/>
      <c r="AE83" s="58"/>
      <c r="AF83" s="58"/>
      <c r="AG83" s="58"/>
      <c r="AH83" s="58"/>
      <c r="AI83" s="58"/>
      <c r="AJ83" s="58"/>
    </row>
    <row r="84" spans="7:36" ht="15" hidden="1" customHeight="1" x14ac:dyDescent="0.2">
      <c r="H84" s="10"/>
      <c r="I84" s="8"/>
      <c r="J84" s="8"/>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row>
    <row r="85" spans="7:36" ht="15" hidden="1" customHeight="1" x14ac:dyDescent="0.2">
      <c r="G85" s="10"/>
      <c r="H85" s="8"/>
      <c r="I85" s="8"/>
      <c r="J85" s="8"/>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row>
    <row r="86" spans="7:36" ht="15" hidden="1" customHeight="1" x14ac:dyDescent="0.2">
      <c r="G86" s="10"/>
      <c r="H86" s="8"/>
      <c r="I86" s="8"/>
      <c r="J86" s="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row>
    <row r="87" spans="7:36" ht="15" hidden="1" customHeight="1" x14ac:dyDescent="0.2">
      <c r="G87" s="10"/>
      <c r="H87" s="10"/>
      <c r="I87" s="8"/>
      <c r="J87" s="8"/>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row>
    <row r="88" spans="7:36" ht="15" hidden="1" customHeight="1" x14ac:dyDescent="0.2">
      <c r="G88" s="10"/>
      <c r="H88" s="10"/>
      <c r="I88" s="8"/>
      <c r="J88" s="8"/>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row>
    <row r="89" spans="7:36" ht="15" hidden="1" customHeight="1" x14ac:dyDescent="0.2">
      <c r="G89" s="14" t="s">
        <v>182</v>
      </c>
      <c r="H89" s="14"/>
      <c r="I89" s="13"/>
      <c r="J89" s="13"/>
      <c r="K89" s="40">
        <v>0</v>
      </c>
      <c r="L89" s="40">
        <v>1</v>
      </c>
      <c r="M89" s="40">
        <v>2</v>
      </c>
      <c r="N89" s="40">
        <v>3</v>
      </c>
      <c r="O89" s="40">
        <v>4</v>
      </c>
      <c r="P89" s="40">
        <v>5</v>
      </c>
      <c r="Q89" s="40">
        <v>6</v>
      </c>
      <c r="R89" s="40">
        <v>7</v>
      </c>
      <c r="S89" s="40">
        <v>8</v>
      </c>
      <c r="T89" s="40">
        <v>9</v>
      </c>
      <c r="U89" s="40">
        <v>10</v>
      </c>
      <c r="V89" s="40">
        <v>11</v>
      </c>
      <c r="W89" s="40">
        <v>12</v>
      </c>
      <c r="X89" s="40">
        <v>13</v>
      </c>
      <c r="Y89" s="40">
        <v>14</v>
      </c>
      <c r="Z89" s="40">
        <v>15</v>
      </c>
      <c r="AA89" s="40">
        <v>16</v>
      </c>
      <c r="AB89" s="40">
        <v>17</v>
      </c>
      <c r="AC89" s="40">
        <v>18</v>
      </c>
      <c r="AD89" s="40">
        <v>19</v>
      </c>
      <c r="AE89" s="40">
        <v>20</v>
      </c>
      <c r="AF89" s="40">
        <v>21</v>
      </c>
      <c r="AG89" s="40">
        <v>22</v>
      </c>
      <c r="AH89" s="40">
        <v>23</v>
      </c>
      <c r="AI89" s="40">
        <v>24</v>
      </c>
      <c r="AJ89" s="40">
        <v>25</v>
      </c>
    </row>
    <row r="90" spans="7:36" ht="15" hidden="1" customHeight="1" x14ac:dyDescent="0.2">
      <c r="G90" s="14" t="s">
        <v>183</v>
      </c>
      <c r="H90" s="14"/>
      <c r="I90" s="13"/>
      <c r="J90" s="13"/>
      <c r="K90" s="41">
        <f ca="1">YEAR(TODAY())+1</f>
        <v>2025</v>
      </c>
      <c r="L90" s="41">
        <f ca="1">K90+1</f>
        <v>2026</v>
      </c>
      <c r="M90" s="41">
        <f t="shared" ref="M90:AH90" ca="1" si="0">L90+1</f>
        <v>2027</v>
      </c>
      <c r="N90" s="41">
        <f t="shared" ca="1" si="0"/>
        <v>2028</v>
      </c>
      <c r="O90" s="41">
        <f t="shared" ca="1" si="0"/>
        <v>2029</v>
      </c>
      <c r="P90" s="41">
        <f t="shared" ca="1" si="0"/>
        <v>2030</v>
      </c>
      <c r="Q90" s="41">
        <f t="shared" ca="1" si="0"/>
        <v>2031</v>
      </c>
      <c r="R90" s="41">
        <f t="shared" ca="1" si="0"/>
        <v>2032</v>
      </c>
      <c r="S90" s="41">
        <f t="shared" ca="1" si="0"/>
        <v>2033</v>
      </c>
      <c r="T90" s="41">
        <f t="shared" ca="1" si="0"/>
        <v>2034</v>
      </c>
      <c r="U90" s="41">
        <f t="shared" ca="1" si="0"/>
        <v>2035</v>
      </c>
      <c r="V90" s="41">
        <f t="shared" ca="1" si="0"/>
        <v>2036</v>
      </c>
      <c r="W90" s="41">
        <f t="shared" ca="1" si="0"/>
        <v>2037</v>
      </c>
      <c r="X90" s="41">
        <f t="shared" ca="1" si="0"/>
        <v>2038</v>
      </c>
      <c r="Y90" s="41">
        <f t="shared" ca="1" si="0"/>
        <v>2039</v>
      </c>
      <c r="Z90" s="41">
        <f t="shared" ca="1" si="0"/>
        <v>2040</v>
      </c>
      <c r="AA90" s="41">
        <f t="shared" ca="1" si="0"/>
        <v>2041</v>
      </c>
      <c r="AB90" s="41">
        <f t="shared" ca="1" si="0"/>
        <v>2042</v>
      </c>
      <c r="AC90" s="41">
        <f t="shared" ca="1" si="0"/>
        <v>2043</v>
      </c>
      <c r="AD90" s="41">
        <f t="shared" ca="1" si="0"/>
        <v>2044</v>
      </c>
      <c r="AE90" s="41">
        <f t="shared" ca="1" si="0"/>
        <v>2045</v>
      </c>
      <c r="AF90" s="41">
        <f t="shared" ca="1" si="0"/>
        <v>2046</v>
      </c>
      <c r="AG90" s="41">
        <f t="shared" ca="1" si="0"/>
        <v>2047</v>
      </c>
      <c r="AH90" s="41">
        <f t="shared" ca="1" si="0"/>
        <v>2048</v>
      </c>
      <c r="AI90" s="41">
        <f ca="1">AH90+1</f>
        <v>2049</v>
      </c>
      <c r="AJ90" s="41">
        <f ca="1">AI90+1</f>
        <v>2050</v>
      </c>
    </row>
    <row r="91" spans="7:36" ht="15" hidden="1" customHeight="1" x14ac:dyDescent="0.2">
      <c r="G91" s="14"/>
      <c r="H91" s="69"/>
      <c r="I91" s="69"/>
      <c r="J91" s="196"/>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row>
    <row r="92" spans="7:36" ht="15" hidden="1" customHeight="1" x14ac:dyDescent="0.2">
      <c r="G92" s="14"/>
      <c r="H92" s="69"/>
      <c r="I92" s="69"/>
      <c r="J92" s="196"/>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row>
    <row r="93" spans="7:36" ht="15" hidden="1" customHeight="1" x14ac:dyDescent="0.2">
      <c r="G93" s="14" t="s">
        <v>284</v>
      </c>
      <c r="H93" s="14"/>
      <c r="I93" s="14"/>
      <c r="J93" s="14"/>
      <c r="K93" s="103">
        <f>Data!$P$171</f>
        <v>0.184</v>
      </c>
      <c r="L93" s="103">
        <f>K93*(1+(Data!$P$197/100))</f>
        <v>0.184</v>
      </c>
      <c r="M93" s="103">
        <f>L93*(1+(Data!$P$197/100))</f>
        <v>0.184</v>
      </c>
      <c r="N93" s="103">
        <f>M93*(1+(Data!$P$197/100))</f>
        <v>0.184</v>
      </c>
      <c r="O93" s="103">
        <f>N93*(1+(Data!$P$197/100))</f>
        <v>0.184</v>
      </c>
      <c r="P93" s="103">
        <f>O93*(1+(Data!$P$197/100))</f>
        <v>0.184</v>
      </c>
      <c r="Q93" s="103">
        <f>P93*(1+(Data!$P$197/100))</f>
        <v>0.184</v>
      </c>
      <c r="R93" s="103">
        <f>Q93*(1+(Data!$P$197/100))</f>
        <v>0.184</v>
      </c>
      <c r="S93" s="103">
        <f>R93*(1+(Data!$P$197/100))</f>
        <v>0.184</v>
      </c>
      <c r="T93" s="103">
        <f>S93*(1+(Data!$P$197/100))</f>
        <v>0.184</v>
      </c>
      <c r="U93" s="103">
        <f>T93*(1+(Data!$P$197/100))</f>
        <v>0.184</v>
      </c>
      <c r="V93" s="103">
        <f>U93*(1+(Data!$P$197/100))</f>
        <v>0.184</v>
      </c>
      <c r="W93" s="103">
        <f>V93*(1+(Data!$P$197/100))</f>
        <v>0.184</v>
      </c>
      <c r="X93" s="103">
        <f>W93*(1+(Data!$P$197/100))</f>
        <v>0.184</v>
      </c>
      <c r="Y93" s="103">
        <f>X93*(1+(Data!$P$197/100))</f>
        <v>0.184</v>
      </c>
      <c r="Z93" s="103">
        <f>Y93*(1+(Data!$P$197/100))</f>
        <v>0.184</v>
      </c>
      <c r="AA93" s="103">
        <f>Z93*(1+(Data!$P$197/100))</f>
        <v>0.184</v>
      </c>
      <c r="AB93" s="103">
        <f>AA93*(1+(Data!$P$197/100))</f>
        <v>0.184</v>
      </c>
      <c r="AC93" s="103">
        <f>AB93*(1+(Data!$P$197/100))</f>
        <v>0.184</v>
      </c>
      <c r="AD93" s="103">
        <f>AC93*(1+(Data!$P$197/100))</f>
        <v>0.184</v>
      </c>
      <c r="AE93" s="103">
        <f>AD93*(1+(Data!$P$197/100))</f>
        <v>0.184</v>
      </c>
      <c r="AF93" s="103">
        <f>AE93*(1+(Data!$P$197/100))</f>
        <v>0.184</v>
      </c>
      <c r="AG93" s="103">
        <f>AF93*(1+(Data!$P$197/100))</f>
        <v>0.184</v>
      </c>
      <c r="AH93" s="103">
        <f>AG93*(1+(Data!$P$197/100))</f>
        <v>0.184</v>
      </c>
      <c r="AI93" s="103">
        <f>AH93*(1+(Data!$P$197/100))</f>
        <v>0.184</v>
      </c>
      <c r="AJ93" s="103">
        <f>AI93*(1+(Data!$P$197/100))</f>
        <v>0.184</v>
      </c>
    </row>
    <row r="94" spans="7:36" ht="15" hidden="1" customHeight="1" x14ac:dyDescent="0.2">
      <c r="G94" s="14" t="s">
        <v>259</v>
      </c>
      <c r="H94" s="14"/>
      <c r="I94" s="14"/>
      <c r="J94" s="14"/>
      <c r="K94" s="103">
        <f>Data!$P$172</f>
        <v>0.17072999999999999</v>
      </c>
      <c r="L94" s="103">
        <f>K94*(1+(Data!$P$198/100))</f>
        <v>0.17072999999999999</v>
      </c>
      <c r="M94" s="103">
        <f>L94*(1+(Data!$P$198/100))</f>
        <v>0.17072999999999999</v>
      </c>
      <c r="N94" s="103">
        <f>M94*(1+(Data!$P$198/100))</f>
        <v>0.17072999999999999</v>
      </c>
      <c r="O94" s="103">
        <f>N94*(1+(Data!$P$198/100))</f>
        <v>0.17072999999999999</v>
      </c>
      <c r="P94" s="103">
        <f>O94*(1+(Data!$P$198/100))</f>
        <v>0.17072999999999999</v>
      </c>
      <c r="Q94" s="103">
        <f>P94*(1+(Data!$P$198/100))</f>
        <v>0.17072999999999999</v>
      </c>
      <c r="R94" s="103">
        <f>Q94*(1+(Data!$P$198/100))</f>
        <v>0.17072999999999999</v>
      </c>
      <c r="S94" s="103">
        <f>R94*(1+(Data!$P$198/100))</f>
        <v>0.17072999999999999</v>
      </c>
      <c r="T94" s="103">
        <f>S94*(1+(Data!$P$198/100))</f>
        <v>0.17072999999999999</v>
      </c>
      <c r="U94" s="103">
        <f>T94*(1+(Data!$P$198/100))</f>
        <v>0.17072999999999999</v>
      </c>
      <c r="V94" s="103">
        <f>U94*(1+(Data!$P$198/100))</f>
        <v>0.17072999999999999</v>
      </c>
      <c r="W94" s="103">
        <f>V94*(1+(Data!$P$198/100))</f>
        <v>0.17072999999999999</v>
      </c>
      <c r="X94" s="103">
        <f>W94*(1+(Data!$P$198/100))</f>
        <v>0.17072999999999999</v>
      </c>
      <c r="Y94" s="103">
        <f>X94*(1+(Data!$P$198/100))</f>
        <v>0.17072999999999999</v>
      </c>
      <c r="Z94" s="103">
        <f>Y94*(1+(Data!$P$198/100))</f>
        <v>0.17072999999999999</v>
      </c>
      <c r="AA94" s="103">
        <f>Z94*(1+(Data!$P$198/100))</f>
        <v>0.17072999999999999</v>
      </c>
      <c r="AB94" s="103">
        <f>AA94*(1+(Data!$P$198/100))</f>
        <v>0.17072999999999999</v>
      </c>
      <c r="AC94" s="103">
        <f>AB94*(1+(Data!$P$198/100))</f>
        <v>0.17072999999999999</v>
      </c>
      <c r="AD94" s="103">
        <f>AC94*(1+(Data!$P$198/100))</f>
        <v>0.17072999999999999</v>
      </c>
      <c r="AE94" s="103">
        <f>AD94*(1+(Data!$P$198/100))</f>
        <v>0.17072999999999999</v>
      </c>
      <c r="AF94" s="103">
        <f>AE94*(1+(Data!$P$198/100))</f>
        <v>0.17072999999999999</v>
      </c>
      <c r="AG94" s="103">
        <f>AF94*(1+(Data!$P$198/100))</f>
        <v>0.17072999999999999</v>
      </c>
      <c r="AH94" s="103">
        <f>AG94*(1+(Data!$P$198/100))</f>
        <v>0.17072999999999999</v>
      </c>
      <c r="AI94" s="103">
        <f>AH94*(1+(Data!$P$198/100))</f>
        <v>0.17072999999999999</v>
      </c>
      <c r="AJ94" s="103">
        <f>AI94*(1+(Data!$P$198/100))</f>
        <v>0.17072999999999999</v>
      </c>
    </row>
    <row r="95" spans="7:36" ht="15" hidden="1" customHeight="1" x14ac:dyDescent="0.2">
      <c r="G95" s="14" t="s">
        <v>252</v>
      </c>
      <c r="H95" s="14"/>
      <c r="I95" s="14"/>
      <c r="J95" s="14"/>
      <c r="K95" s="103">
        <f>Data!$P$174</f>
        <v>0.19338</v>
      </c>
      <c r="L95" s="103">
        <f>K95*(1+(Data!$P$200/100))</f>
        <v>0.18757859999999998</v>
      </c>
      <c r="M95" s="103">
        <f>L95*(1+(Data!$P$200/100))</f>
        <v>0.18195124199999999</v>
      </c>
      <c r="N95" s="103">
        <f>M95*(1+(Data!$P$200/100))</f>
        <v>0.17649270473999998</v>
      </c>
      <c r="O95" s="103">
        <f>N95*(1+(Data!$P$200/100))</f>
        <v>0.17119792359779998</v>
      </c>
      <c r="P95" s="103">
        <f>O95*(1+(Data!$P$200/100))</f>
        <v>0.16606198588986598</v>
      </c>
      <c r="Q95" s="103">
        <f>P95*(1+(Data!$P$200/100))</f>
        <v>0.16108012631317001</v>
      </c>
      <c r="R95" s="103">
        <f>Q95*(1+(Data!$P$200/100))</f>
        <v>0.15624772252377489</v>
      </c>
      <c r="S95" s="103">
        <f>R95*(1+(Data!$P$200/100))</f>
        <v>0.15156029084806164</v>
      </c>
      <c r="T95" s="103">
        <f>S95*(1+(Data!$P$200/100))</f>
        <v>0.14701348212261978</v>
      </c>
      <c r="U95" s="103">
        <f>T95*(1+(Data!$P$200/100))</f>
        <v>0.14260307765894117</v>
      </c>
      <c r="V95" s="103">
        <f>U95*(1+(Data!$P$200/100))</f>
        <v>0.13832498532917292</v>
      </c>
      <c r="W95" s="103">
        <f>V95*(1+(Data!$P$200/100))</f>
        <v>0.13417523576929774</v>
      </c>
      <c r="X95" s="103">
        <f>W95*(1+(Data!$P$200/100))</f>
        <v>0.1301499786962188</v>
      </c>
      <c r="Y95" s="103">
        <f>X95*(1+(Data!$P$200/100))</f>
        <v>0.12624547933533223</v>
      </c>
      <c r="Z95" s="103">
        <f>Y95*(1+(Data!$P$200/100))</f>
        <v>0.12245811495527226</v>
      </c>
      <c r="AA95" s="103">
        <f>Z95*(1+(Data!$P$200/100))</f>
        <v>0.11878437150661408</v>
      </c>
      <c r="AB95" s="103">
        <f>AA95*(1+(Data!$P$200/100))</f>
        <v>0.11522084036141565</v>
      </c>
      <c r="AC95" s="103">
        <f>AB95*(1+(Data!$P$200/100))</f>
        <v>0.11176421515057318</v>
      </c>
      <c r="AD95" s="103">
        <f>AC95*(1+(Data!$P$200/100))</f>
        <v>0.10841128869605599</v>
      </c>
      <c r="AE95" s="103">
        <f>AD95*(1+(Data!$P$200/100))</f>
        <v>0.10515895003517431</v>
      </c>
      <c r="AF95" s="103">
        <f>AE95*(1+(Data!$P$200/100))</f>
        <v>0.10200418153411908</v>
      </c>
      <c r="AG95" s="103">
        <f>AF95*(1+(Data!$P$200/100))</f>
        <v>9.8944056088095506E-2</v>
      </c>
      <c r="AH95" s="103">
        <f>AG95*(1+(Data!$P$200/100))</f>
        <v>9.5975734405452637E-2</v>
      </c>
      <c r="AI95" s="103">
        <f>AH95*(1+(Data!$P$200/100))</f>
        <v>9.3096462373289057E-2</v>
      </c>
      <c r="AJ95" s="103">
        <f>AI95*(1+(Data!$P$200/100))</f>
        <v>9.0303568502090384E-2</v>
      </c>
    </row>
    <row r="96" spans="7:36" ht="15" hidden="1" customHeight="1" x14ac:dyDescent="0.2">
      <c r="G96" s="14"/>
      <c r="H96" s="69"/>
      <c r="I96" s="69"/>
      <c r="J96" s="196"/>
      <c r="K96" s="394"/>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row>
    <row r="97" spans="7:36" ht="15" hidden="1" customHeight="1" x14ac:dyDescent="0.2">
      <c r="G97" s="14" t="s">
        <v>284</v>
      </c>
      <c r="H97" s="69"/>
      <c r="I97" s="69"/>
      <c r="J97" s="196"/>
      <c r="K97" s="392">
        <f>Data!$P$178</f>
        <v>0.09</v>
      </c>
      <c r="L97" s="103">
        <f>K97*(1+(Data!$P$189/100))</f>
        <v>9.5399999999999999E-2</v>
      </c>
      <c r="M97" s="103">
        <f>L97*(1+(Data!$P$189/100))</f>
        <v>0.10112400000000001</v>
      </c>
      <c r="N97" s="103">
        <f>M97*(1+(Data!$P$189/100))</f>
        <v>0.10719144000000001</v>
      </c>
      <c r="O97" s="103">
        <f>N97*(1+(Data!$P$189/100))</f>
        <v>0.11362292640000002</v>
      </c>
      <c r="P97" s="103">
        <f>O97*(1+(Data!$P$189/100))</f>
        <v>0.12044030198400002</v>
      </c>
      <c r="Q97" s="103">
        <f>P97*(1+(Data!$P$189/100))</f>
        <v>0.12766672010304003</v>
      </c>
      <c r="R97" s="103">
        <f>Q97*(1+(Data!$P$189/100))</f>
        <v>0.13532672330922244</v>
      </c>
      <c r="S97" s="103">
        <f>R97*(1+(Data!$P$189/100))</f>
        <v>0.1434463267077758</v>
      </c>
      <c r="T97" s="103">
        <f>S97*(1+(Data!$P$189/100))</f>
        <v>0.15205310631024235</v>
      </c>
      <c r="U97" s="103">
        <f>T97*(1+(Data!$P$189/100))</f>
        <v>0.16117629268885691</v>
      </c>
      <c r="V97" s="103">
        <f>U97*(1+(Data!$P$189/100))</f>
        <v>0.17084687025018833</v>
      </c>
      <c r="W97" s="103">
        <f>V97*(1+(Data!$P$189/100))</f>
        <v>0.18109768246519964</v>
      </c>
      <c r="X97" s="103">
        <f>W97*(1+(Data!$P$189/100))</f>
        <v>0.19196354341311161</v>
      </c>
      <c r="Y97" s="103">
        <f>X97*(1+(Data!$P$189/100))</f>
        <v>0.20348135601789832</v>
      </c>
      <c r="Z97" s="103">
        <f>Y97*(1+(Data!$P$189/100))</f>
        <v>0.21569023737897222</v>
      </c>
      <c r="AA97" s="103">
        <f>Z97*(1+(Data!$P$189/100))</f>
        <v>0.22863165162171056</v>
      </c>
      <c r="AB97" s="103">
        <f>AA97*(1+(Data!$P$189/100))</f>
        <v>0.24234955071901321</v>
      </c>
      <c r="AC97" s="103">
        <f>AB97*(1+(Data!$P$189/100))</f>
        <v>0.25689052376215399</v>
      </c>
      <c r="AD97" s="103">
        <f>AC97*(1+(Data!$P$189/100))</f>
        <v>0.27230395518788325</v>
      </c>
      <c r="AE97" s="103">
        <f>AD97*(1+(Data!$P$189/100))</f>
        <v>0.28864219249915624</v>
      </c>
      <c r="AF97" s="103">
        <f>AE97*(1+(Data!$P$189/100))</f>
        <v>0.30596072404910563</v>
      </c>
      <c r="AG97" s="103">
        <f>AF97*(1+(Data!$P$189/100))</f>
        <v>0.32431836749205201</v>
      </c>
      <c r="AH97" s="103">
        <f>AG97*(1+(Data!$P$189/100))</f>
        <v>0.34377746954157512</v>
      </c>
      <c r="AI97" s="103">
        <f>AH97*(1+(Data!$P$189/100))</f>
        <v>0.36440411771406966</v>
      </c>
      <c r="AJ97" s="103">
        <f>AI97*(1+(Data!$P$189/100))</f>
        <v>0.38626836477691384</v>
      </c>
    </row>
    <row r="98" spans="7:36" ht="15" hidden="1" customHeight="1" x14ac:dyDescent="0.2">
      <c r="G98" s="14" t="s">
        <v>259</v>
      </c>
      <c r="H98" s="69"/>
      <c r="I98" s="69"/>
      <c r="J98" s="196"/>
      <c r="K98" s="392">
        <f>Data!$P$179</f>
        <v>0.09</v>
      </c>
      <c r="L98" s="103">
        <f>K98*(1+(Data!$P$190/100))</f>
        <v>9.5399999999999999E-2</v>
      </c>
      <c r="M98" s="103">
        <f>L98*(1+(Data!$P$190/100))</f>
        <v>0.10112400000000001</v>
      </c>
      <c r="N98" s="103">
        <f>M98*(1+(Data!$P$190/100))</f>
        <v>0.10719144000000001</v>
      </c>
      <c r="O98" s="103">
        <f>N98*(1+(Data!$P$190/100))</f>
        <v>0.11362292640000002</v>
      </c>
      <c r="P98" s="103">
        <f>O98*(1+(Data!$P$190/100))</f>
        <v>0.12044030198400002</v>
      </c>
      <c r="Q98" s="103">
        <f>P98*(1+(Data!$P$190/100))</f>
        <v>0.12766672010304003</v>
      </c>
      <c r="R98" s="103">
        <f>Q98*(1+(Data!$P$190/100))</f>
        <v>0.13532672330922244</v>
      </c>
      <c r="S98" s="103">
        <f>R98*(1+(Data!$P$190/100))</f>
        <v>0.1434463267077758</v>
      </c>
      <c r="T98" s="103">
        <f>S98*(1+(Data!$P$190/100))</f>
        <v>0.15205310631024235</v>
      </c>
      <c r="U98" s="103">
        <f>T98*(1+(Data!$P$190/100))</f>
        <v>0.16117629268885691</v>
      </c>
      <c r="V98" s="103">
        <f>U98*(1+(Data!$P$190/100))</f>
        <v>0.17084687025018833</v>
      </c>
      <c r="W98" s="103">
        <f>V98*(1+(Data!$P$190/100))</f>
        <v>0.18109768246519964</v>
      </c>
      <c r="X98" s="103">
        <f>W98*(1+(Data!$P$190/100))</f>
        <v>0.19196354341311161</v>
      </c>
      <c r="Y98" s="103">
        <f>X98*(1+(Data!$P$190/100))</f>
        <v>0.20348135601789832</v>
      </c>
      <c r="Z98" s="103">
        <f>Y98*(1+(Data!$P$190/100))</f>
        <v>0.21569023737897222</v>
      </c>
      <c r="AA98" s="103">
        <f>Z98*(1+(Data!$P$190/100))</f>
        <v>0.22863165162171056</v>
      </c>
      <c r="AB98" s="103">
        <f>AA98*(1+(Data!$P$190/100))</f>
        <v>0.24234955071901321</v>
      </c>
      <c r="AC98" s="103">
        <f>AB98*(1+(Data!$P$190/100))</f>
        <v>0.25689052376215399</v>
      </c>
      <c r="AD98" s="103">
        <f>AC98*(1+(Data!$P$190/100))</f>
        <v>0.27230395518788325</v>
      </c>
      <c r="AE98" s="103">
        <f>AD98*(1+(Data!$P$190/100))</f>
        <v>0.28864219249915624</v>
      </c>
      <c r="AF98" s="103">
        <f>AE98*(1+(Data!$P$190/100))</f>
        <v>0.30596072404910563</v>
      </c>
      <c r="AG98" s="103">
        <f>AF98*(1+(Data!$P$190/100))</f>
        <v>0.32431836749205201</v>
      </c>
      <c r="AH98" s="103">
        <f>AG98*(1+(Data!$P$190/100))</f>
        <v>0.34377746954157512</v>
      </c>
      <c r="AI98" s="103">
        <f>AH98*(1+(Data!$P$190/100))</f>
        <v>0.36440411771406966</v>
      </c>
      <c r="AJ98" s="103">
        <f>AI98*(1+(Data!$P$190/100))</f>
        <v>0.38626836477691384</v>
      </c>
    </row>
    <row r="99" spans="7:36" ht="15" hidden="1" customHeight="1" x14ac:dyDescent="0.2">
      <c r="G99" s="14" t="s">
        <v>252</v>
      </c>
      <c r="H99" s="69"/>
      <c r="I99" s="69"/>
      <c r="J99" s="196"/>
      <c r="K99" s="392">
        <f>Data!$P$181</f>
        <v>0.31</v>
      </c>
      <c r="L99" s="103">
        <f>K99*(1+(Data!$P$192/100))</f>
        <v>0.34100000000000003</v>
      </c>
      <c r="M99" s="103">
        <f>L99*(1+(Data!$P$192/100))</f>
        <v>0.37510000000000004</v>
      </c>
      <c r="N99" s="103">
        <f>M99*(1+(Data!$P$192/100))</f>
        <v>0.41261000000000009</v>
      </c>
      <c r="O99" s="103">
        <f>N99*(1+(Data!$P$192/100))</f>
        <v>0.45387100000000014</v>
      </c>
      <c r="P99" s="103">
        <f>O99*(1+(Data!$P$192/100))</f>
        <v>0.4992581000000002</v>
      </c>
      <c r="Q99" s="103">
        <f>P99*(1+(Data!$P$192/100))</f>
        <v>0.54918391000000022</v>
      </c>
      <c r="R99" s="103">
        <f>Q99*(1+(Data!$P$192/100))</f>
        <v>0.60410230100000029</v>
      </c>
      <c r="S99" s="103">
        <f>R99*(1+(Data!$P$192/100))</f>
        <v>0.66451253110000041</v>
      </c>
      <c r="T99" s="103">
        <f>S99*(1+(Data!$P$192/100))</f>
        <v>0.73096378421000052</v>
      </c>
      <c r="U99" s="103">
        <f>T99*(1+(Data!$P$192/100))</f>
        <v>0.80406016263100066</v>
      </c>
      <c r="V99" s="103">
        <f>U99*(1+(Data!$P$192/100))</f>
        <v>0.88446617889410084</v>
      </c>
      <c r="W99" s="103">
        <f>V99*(1+(Data!$P$192/100))</f>
        <v>0.97291279678351106</v>
      </c>
      <c r="X99" s="103">
        <f>W99*(1+(Data!$P$192/100))</f>
        <v>1.0702040764618623</v>
      </c>
      <c r="Y99" s="103">
        <f>X99*(1+(Data!$P$192/100))</f>
        <v>1.1772244841080486</v>
      </c>
      <c r="Z99" s="103">
        <f>Y99*(1+(Data!$P$192/100))</f>
        <v>1.2949469325188536</v>
      </c>
      <c r="AA99" s="103">
        <f>Z99*(1+(Data!$P$192/100))</f>
        <v>1.4244416257707391</v>
      </c>
      <c r="AB99" s="103">
        <f>AA99*(1+(Data!$P$192/100))</f>
        <v>1.5668857883478131</v>
      </c>
      <c r="AC99" s="103">
        <f>AB99*(1+(Data!$P$192/100))</f>
        <v>1.7235743671825945</v>
      </c>
      <c r="AD99" s="103">
        <f>AC99*(1+(Data!$P$192/100))</f>
        <v>1.8959318039008541</v>
      </c>
      <c r="AE99" s="103">
        <f>AD99*(1+(Data!$P$192/100))</f>
        <v>2.0855249842909398</v>
      </c>
      <c r="AF99" s="103">
        <f>AE99*(1+(Data!$P$192/100))</f>
        <v>2.2940774827200339</v>
      </c>
      <c r="AG99" s="103">
        <f>AF99*(1+(Data!$P$192/100))</f>
        <v>2.5234852309920375</v>
      </c>
      <c r="AH99" s="103">
        <f>AG99*(1+(Data!$P$192/100))</f>
        <v>2.7758337540912414</v>
      </c>
      <c r="AI99" s="103">
        <f>AH99*(1+(Data!$P$192/100))</f>
        <v>3.053417129500366</v>
      </c>
      <c r="AJ99" s="103">
        <f>AI99*(1+(Data!$P$192/100))</f>
        <v>3.3587588424504031</v>
      </c>
    </row>
    <row r="100" spans="7:36" ht="15" hidden="1" customHeight="1" x14ac:dyDescent="0.2"/>
    <row r="101" spans="7:36" ht="15" hidden="1" customHeight="1" x14ac:dyDescent="0.2">
      <c r="G101" s="30" t="s">
        <v>495</v>
      </c>
      <c r="H101" s="69"/>
      <c r="I101" s="69"/>
      <c r="J101" s="196"/>
      <c r="K101" s="392"/>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row>
    <row r="102" spans="7:36" ht="15" hidden="1" customHeight="1" x14ac:dyDescent="0.2">
      <c r="G102" s="69" t="s">
        <v>453</v>
      </c>
      <c r="H102" s="14"/>
      <c r="I102" s="14"/>
      <c r="J102" s="31">
        <f>P69</f>
        <v>1554790.0000000002</v>
      </c>
      <c r="K102" s="31">
        <f t="shared" ref="K102:AJ102" si="1">$J102*K93</f>
        <v>286081.36000000004</v>
      </c>
      <c r="L102" s="31">
        <f t="shared" si="1"/>
        <v>286081.36000000004</v>
      </c>
      <c r="M102" s="31">
        <f t="shared" si="1"/>
        <v>286081.36000000004</v>
      </c>
      <c r="N102" s="31">
        <f t="shared" si="1"/>
        <v>286081.36000000004</v>
      </c>
      <c r="O102" s="31">
        <f t="shared" si="1"/>
        <v>286081.36000000004</v>
      </c>
      <c r="P102" s="31">
        <f t="shared" si="1"/>
        <v>286081.36000000004</v>
      </c>
      <c r="Q102" s="31">
        <f t="shared" si="1"/>
        <v>286081.36000000004</v>
      </c>
      <c r="R102" s="31">
        <f t="shared" si="1"/>
        <v>286081.36000000004</v>
      </c>
      <c r="S102" s="31">
        <f t="shared" si="1"/>
        <v>286081.36000000004</v>
      </c>
      <c r="T102" s="31">
        <f t="shared" si="1"/>
        <v>286081.36000000004</v>
      </c>
      <c r="U102" s="31">
        <f t="shared" si="1"/>
        <v>286081.36000000004</v>
      </c>
      <c r="V102" s="31">
        <f t="shared" si="1"/>
        <v>286081.36000000004</v>
      </c>
      <c r="W102" s="31">
        <f t="shared" si="1"/>
        <v>286081.36000000004</v>
      </c>
      <c r="X102" s="31">
        <f t="shared" si="1"/>
        <v>286081.36000000004</v>
      </c>
      <c r="Y102" s="31">
        <f t="shared" si="1"/>
        <v>286081.36000000004</v>
      </c>
      <c r="Z102" s="31">
        <f t="shared" si="1"/>
        <v>286081.36000000004</v>
      </c>
      <c r="AA102" s="31">
        <f t="shared" si="1"/>
        <v>286081.36000000004</v>
      </c>
      <c r="AB102" s="31">
        <f t="shared" si="1"/>
        <v>286081.36000000004</v>
      </c>
      <c r="AC102" s="31">
        <f t="shared" si="1"/>
        <v>286081.36000000004</v>
      </c>
      <c r="AD102" s="31">
        <f t="shared" si="1"/>
        <v>286081.36000000004</v>
      </c>
      <c r="AE102" s="31">
        <f t="shared" si="1"/>
        <v>286081.36000000004</v>
      </c>
      <c r="AF102" s="31">
        <f t="shared" si="1"/>
        <v>286081.36000000004</v>
      </c>
      <c r="AG102" s="31">
        <f t="shared" si="1"/>
        <v>286081.36000000004</v>
      </c>
      <c r="AH102" s="31">
        <f t="shared" si="1"/>
        <v>286081.36000000004</v>
      </c>
      <c r="AI102" s="31">
        <f t="shared" si="1"/>
        <v>286081.36000000004</v>
      </c>
      <c r="AJ102" s="31">
        <f t="shared" si="1"/>
        <v>286081.36000000004</v>
      </c>
    </row>
    <row r="103" spans="7:36" ht="15" hidden="1" customHeight="1" x14ac:dyDescent="0.2">
      <c r="G103" s="69" t="s">
        <v>452</v>
      </c>
      <c r="H103" s="14"/>
      <c r="I103" s="14"/>
      <c r="J103" s="510">
        <v>0</v>
      </c>
      <c r="K103" s="510">
        <f t="shared" ref="K103:AJ103" si="2">$J103*K94</f>
        <v>0</v>
      </c>
      <c r="L103" s="510">
        <f t="shared" si="2"/>
        <v>0</v>
      </c>
      <c r="M103" s="510">
        <f t="shared" si="2"/>
        <v>0</v>
      </c>
      <c r="N103" s="510">
        <f t="shared" si="2"/>
        <v>0</v>
      </c>
      <c r="O103" s="510">
        <f t="shared" si="2"/>
        <v>0</v>
      </c>
      <c r="P103" s="510">
        <f t="shared" si="2"/>
        <v>0</v>
      </c>
      <c r="Q103" s="510">
        <f t="shared" si="2"/>
        <v>0</v>
      </c>
      <c r="R103" s="510">
        <f t="shared" si="2"/>
        <v>0</v>
      </c>
      <c r="S103" s="510">
        <f t="shared" si="2"/>
        <v>0</v>
      </c>
      <c r="T103" s="510">
        <f t="shared" si="2"/>
        <v>0</v>
      </c>
      <c r="U103" s="510">
        <f t="shared" si="2"/>
        <v>0</v>
      </c>
      <c r="V103" s="510">
        <f t="shared" si="2"/>
        <v>0</v>
      </c>
      <c r="W103" s="510">
        <f t="shared" si="2"/>
        <v>0</v>
      </c>
      <c r="X103" s="510">
        <f t="shared" si="2"/>
        <v>0</v>
      </c>
      <c r="Y103" s="510">
        <f t="shared" si="2"/>
        <v>0</v>
      </c>
      <c r="Z103" s="510">
        <f t="shared" si="2"/>
        <v>0</v>
      </c>
      <c r="AA103" s="510">
        <f t="shared" si="2"/>
        <v>0</v>
      </c>
      <c r="AB103" s="510">
        <f t="shared" si="2"/>
        <v>0</v>
      </c>
      <c r="AC103" s="510">
        <f t="shared" si="2"/>
        <v>0</v>
      </c>
      <c r="AD103" s="510">
        <f t="shared" si="2"/>
        <v>0</v>
      </c>
      <c r="AE103" s="510">
        <f t="shared" si="2"/>
        <v>0</v>
      </c>
      <c r="AF103" s="510">
        <f t="shared" si="2"/>
        <v>0</v>
      </c>
      <c r="AG103" s="510">
        <f t="shared" si="2"/>
        <v>0</v>
      </c>
      <c r="AH103" s="510">
        <f t="shared" si="2"/>
        <v>0</v>
      </c>
      <c r="AI103" s="510">
        <f t="shared" si="2"/>
        <v>0</v>
      </c>
      <c r="AJ103" s="510">
        <f t="shared" si="2"/>
        <v>0</v>
      </c>
    </row>
    <row r="104" spans="7:36" ht="15" hidden="1" customHeight="1" x14ac:dyDescent="0.2">
      <c r="G104" s="69" t="s">
        <v>343</v>
      </c>
      <c r="H104" s="14"/>
      <c r="I104" s="14"/>
      <c r="J104" s="31">
        <f>P73</f>
        <v>1580726.25</v>
      </c>
      <c r="K104" s="31">
        <f t="shared" ref="K104:AJ104" si="3">$J104*K95</f>
        <v>305680.84222499997</v>
      </c>
      <c r="L104" s="31">
        <f t="shared" si="3"/>
        <v>296510.41695824999</v>
      </c>
      <c r="M104" s="31">
        <f t="shared" si="3"/>
        <v>287615.10444950248</v>
      </c>
      <c r="N104" s="31">
        <f t="shared" si="3"/>
        <v>278986.65131601738</v>
      </c>
      <c r="O104" s="31">
        <f t="shared" si="3"/>
        <v>270617.05177653686</v>
      </c>
      <c r="P104" s="31">
        <f t="shared" si="3"/>
        <v>262498.54022324079</v>
      </c>
      <c r="Q104" s="31">
        <f t="shared" si="3"/>
        <v>254623.58401654355</v>
      </c>
      <c r="R104" s="31">
        <f t="shared" si="3"/>
        <v>246984.87649604722</v>
      </c>
      <c r="S104" s="31">
        <f t="shared" si="3"/>
        <v>239575.33020116578</v>
      </c>
      <c r="T104" s="31">
        <f t="shared" si="3"/>
        <v>232388.0702951308</v>
      </c>
      <c r="U104" s="31">
        <f t="shared" si="3"/>
        <v>225416.42818627687</v>
      </c>
      <c r="V104" s="31">
        <f t="shared" si="3"/>
        <v>218653.93534068853</v>
      </c>
      <c r="W104" s="31">
        <f t="shared" si="3"/>
        <v>212094.31728046789</v>
      </c>
      <c r="X104" s="31">
        <f t="shared" si="3"/>
        <v>205731.48776205385</v>
      </c>
      <c r="Y104" s="31">
        <f t="shared" si="3"/>
        <v>199559.5431291922</v>
      </c>
      <c r="Z104" s="31">
        <f t="shared" si="3"/>
        <v>193572.75683531642</v>
      </c>
      <c r="AA104" s="31">
        <f t="shared" si="3"/>
        <v>187765.57413025692</v>
      </c>
      <c r="AB104" s="31">
        <f t="shared" si="3"/>
        <v>182132.60690634922</v>
      </c>
      <c r="AC104" s="31">
        <f t="shared" si="3"/>
        <v>176668.62869915873</v>
      </c>
      <c r="AD104" s="31">
        <f t="shared" si="3"/>
        <v>171368.56983818396</v>
      </c>
      <c r="AE104" s="31">
        <f t="shared" si="3"/>
        <v>166227.51274303845</v>
      </c>
      <c r="AF104" s="31">
        <f t="shared" si="3"/>
        <v>161240.68736074731</v>
      </c>
      <c r="AG104" s="31">
        <f t="shared" si="3"/>
        <v>156403.46673992489</v>
      </c>
      <c r="AH104" s="31">
        <f t="shared" si="3"/>
        <v>151711.36273772712</v>
      </c>
      <c r="AI104" s="31">
        <f t="shared" si="3"/>
        <v>147160.02185559532</v>
      </c>
      <c r="AJ104" s="31">
        <f t="shared" si="3"/>
        <v>142745.22119992744</v>
      </c>
    </row>
    <row r="105" spans="7:36" ht="15" hidden="1" customHeight="1" x14ac:dyDescent="0.2">
      <c r="G105" s="196" t="s">
        <v>482</v>
      </c>
      <c r="H105" s="30"/>
      <c r="I105" s="30"/>
      <c r="J105" s="30"/>
      <c r="K105" s="34">
        <f>SUM(K102:K104)</f>
        <v>591762.20222500002</v>
      </c>
      <c r="L105" s="34">
        <f t="shared" ref="L105:AJ105" si="4">SUM(L102:L104)</f>
        <v>582591.77695824997</v>
      </c>
      <c r="M105" s="34">
        <f t="shared" si="4"/>
        <v>573696.46444950253</v>
      </c>
      <c r="N105" s="34">
        <f t="shared" si="4"/>
        <v>565068.01131601748</v>
      </c>
      <c r="O105" s="34">
        <f t="shared" si="4"/>
        <v>556698.41177653684</v>
      </c>
      <c r="P105" s="34">
        <f t="shared" si="4"/>
        <v>548579.90022324084</v>
      </c>
      <c r="Q105" s="34">
        <f t="shared" si="4"/>
        <v>540704.94401654357</v>
      </c>
      <c r="R105" s="34">
        <f t="shared" si="4"/>
        <v>533066.23649604723</v>
      </c>
      <c r="S105" s="34">
        <f t="shared" si="4"/>
        <v>525656.69020116585</v>
      </c>
      <c r="T105" s="34">
        <f t="shared" si="4"/>
        <v>518469.43029513082</v>
      </c>
      <c r="U105" s="34">
        <f t="shared" si="4"/>
        <v>511497.78818627691</v>
      </c>
      <c r="V105" s="34">
        <f t="shared" si="4"/>
        <v>504735.29534068855</v>
      </c>
      <c r="W105" s="34">
        <f t="shared" si="4"/>
        <v>498175.67728046793</v>
      </c>
      <c r="X105" s="34">
        <f t="shared" si="4"/>
        <v>491812.84776205389</v>
      </c>
      <c r="Y105" s="34">
        <f t="shared" si="4"/>
        <v>485640.90312919224</v>
      </c>
      <c r="Z105" s="34">
        <f t="shared" si="4"/>
        <v>479654.11683531647</v>
      </c>
      <c r="AA105" s="34">
        <f t="shared" si="4"/>
        <v>473846.934130257</v>
      </c>
      <c r="AB105" s="34">
        <f t="shared" si="4"/>
        <v>468213.96690634929</v>
      </c>
      <c r="AC105" s="34">
        <f t="shared" si="4"/>
        <v>462749.98869915877</v>
      </c>
      <c r="AD105" s="34">
        <f t="shared" si="4"/>
        <v>457449.92983818403</v>
      </c>
      <c r="AE105" s="34">
        <f t="shared" si="4"/>
        <v>452308.87274303846</v>
      </c>
      <c r="AF105" s="34">
        <f t="shared" si="4"/>
        <v>447322.04736074735</v>
      </c>
      <c r="AG105" s="34">
        <f t="shared" si="4"/>
        <v>442484.82673992496</v>
      </c>
      <c r="AH105" s="34">
        <f t="shared" si="4"/>
        <v>437792.72273772716</v>
      </c>
      <c r="AI105" s="34">
        <f t="shared" si="4"/>
        <v>433241.38185559539</v>
      </c>
      <c r="AJ105" s="34">
        <f t="shared" si="4"/>
        <v>428826.58119992749</v>
      </c>
    </row>
    <row r="106" spans="7:36" ht="15" hidden="1" customHeight="1" x14ac:dyDescent="0.2">
      <c r="G106" s="69"/>
      <c r="H106" s="14"/>
      <c r="I106" s="14"/>
      <c r="J106" s="14"/>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row>
    <row r="107" spans="7:36" ht="15" hidden="1" customHeight="1" x14ac:dyDescent="0.2">
      <c r="G107" s="69" t="s">
        <v>453</v>
      </c>
      <c r="H107" s="14"/>
      <c r="I107" s="14"/>
      <c r="J107" s="31">
        <f>P69</f>
        <v>1554790.0000000002</v>
      </c>
      <c r="K107" s="31">
        <f t="shared" ref="K107:AJ107" si="5">$J107*K97</f>
        <v>139931.1</v>
      </c>
      <c r="L107" s="31">
        <f t="shared" si="5"/>
        <v>148326.96600000001</v>
      </c>
      <c r="M107" s="31">
        <f t="shared" si="5"/>
        <v>157226.58396000002</v>
      </c>
      <c r="N107" s="31">
        <f t="shared" si="5"/>
        <v>166660.17899760004</v>
      </c>
      <c r="O107" s="31">
        <f t="shared" si="5"/>
        <v>176659.78973745604</v>
      </c>
      <c r="P107" s="31">
        <f t="shared" si="5"/>
        <v>187259.37712170341</v>
      </c>
      <c r="Q107" s="31">
        <f t="shared" si="5"/>
        <v>198494.93974900563</v>
      </c>
      <c r="R107" s="31">
        <f t="shared" si="5"/>
        <v>210404.63613394598</v>
      </c>
      <c r="S107" s="31">
        <f t="shared" si="5"/>
        <v>223028.91430198276</v>
      </c>
      <c r="T107" s="31">
        <f t="shared" si="5"/>
        <v>236410.64916010175</v>
      </c>
      <c r="U107" s="31">
        <f t="shared" si="5"/>
        <v>250595.28810970788</v>
      </c>
      <c r="V107" s="31">
        <f t="shared" si="5"/>
        <v>265631.00539629033</v>
      </c>
      <c r="W107" s="31">
        <f t="shared" si="5"/>
        <v>281568.86572006781</v>
      </c>
      <c r="X107" s="31">
        <f t="shared" si="5"/>
        <v>298462.99766327185</v>
      </c>
      <c r="Y107" s="31">
        <f t="shared" si="5"/>
        <v>316370.77752306819</v>
      </c>
      <c r="Z107" s="31">
        <f t="shared" si="5"/>
        <v>335353.02417445229</v>
      </c>
      <c r="AA107" s="31">
        <f t="shared" si="5"/>
        <v>355474.20562491944</v>
      </c>
      <c r="AB107" s="31">
        <f t="shared" si="5"/>
        <v>376802.65796241461</v>
      </c>
      <c r="AC107" s="31">
        <f t="shared" si="5"/>
        <v>399410.81744015944</v>
      </c>
      <c r="AD107" s="31">
        <f t="shared" si="5"/>
        <v>423375.46648656909</v>
      </c>
      <c r="AE107" s="31">
        <f t="shared" si="5"/>
        <v>448777.99447576317</v>
      </c>
      <c r="AF107" s="31">
        <f t="shared" si="5"/>
        <v>475704.67414430901</v>
      </c>
      <c r="AG107" s="31">
        <f t="shared" si="5"/>
        <v>504246.95459296764</v>
      </c>
      <c r="AH107" s="31">
        <f t="shared" si="5"/>
        <v>534501.77186854568</v>
      </c>
      <c r="AI107" s="31">
        <f t="shared" si="5"/>
        <v>566571.87818065844</v>
      </c>
      <c r="AJ107" s="31">
        <f t="shared" si="5"/>
        <v>600566.19087149797</v>
      </c>
    </row>
    <row r="108" spans="7:36" ht="15" hidden="1" customHeight="1" x14ac:dyDescent="0.2">
      <c r="G108" s="69" t="s">
        <v>452</v>
      </c>
      <c r="H108" s="14"/>
      <c r="I108" s="14"/>
      <c r="J108" s="510">
        <v>0</v>
      </c>
      <c r="K108" s="510">
        <f t="shared" ref="K108:AJ108" si="6">$J108*K98</f>
        <v>0</v>
      </c>
      <c r="L108" s="510">
        <f t="shared" si="6"/>
        <v>0</v>
      </c>
      <c r="M108" s="510">
        <f t="shared" si="6"/>
        <v>0</v>
      </c>
      <c r="N108" s="510">
        <f t="shared" si="6"/>
        <v>0</v>
      </c>
      <c r="O108" s="510">
        <f t="shared" si="6"/>
        <v>0</v>
      </c>
      <c r="P108" s="510">
        <f t="shared" si="6"/>
        <v>0</v>
      </c>
      <c r="Q108" s="510">
        <f t="shared" si="6"/>
        <v>0</v>
      </c>
      <c r="R108" s="510">
        <f t="shared" si="6"/>
        <v>0</v>
      </c>
      <c r="S108" s="510">
        <f t="shared" si="6"/>
        <v>0</v>
      </c>
      <c r="T108" s="510">
        <f t="shared" si="6"/>
        <v>0</v>
      </c>
      <c r="U108" s="510">
        <f t="shared" si="6"/>
        <v>0</v>
      </c>
      <c r="V108" s="510">
        <f t="shared" si="6"/>
        <v>0</v>
      </c>
      <c r="W108" s="510">
        <f t="shared" si="6"/>
        <v>0</v>
      </c>
      <c r="X108" s="510">
        <f t="shared" si="6"/>
        <v>0</v>
      </c>
      <c r="Y108" s="510">
        <f t="shared" si="6"/>
        <v>0</v>
      </c>
      <c r="Z108" s="510">
        <f t="shared" si="6"/>
        <v>0</v>
      </c>
      <c r="AA108" s="510">
        <f t="shared" si="6"/>
        <v>0</v>
      </c>
      <c r="AB108" s="510">
        <f t="shared" si="6"/>
        <v>0</v>
      </c>
      <c r="AC108" s="510">
        <f t="shared" si="6"/>
        <v>0</v>
      </c>
      <c r="AD108" s="510">
        <f t="shared" si="6"/>
        <v>0</v>
      </c>
      <c r="AE108" s="510">
        <f t="shared" si="6"/>
        <v>0</v>
      </c>
      <c r="AF108" s="510">
        <f t="shared" si="6"/>
        <v>0</v>
      </c>
      <c r="AG108" s="510">
        <f t="shared" si="6"/>
        <v>0</v>
      </c>
      <c r="AH108" s="510">
        <f t="shared" si="6"/>
        <v>0</v>
      </c>
      <c r="AI108" s="510">
        <f t="shared" si="6"/>
        <v>0</v>
      </c>
      <c r="AJ108" s="510">
        <f t="shared" si="6"/>
        <v>0</v>
      </c>
    </row>
    <row r="109" spans="7:36" ht="15" hidden="1" customHeight="1" x14ac:dyDescent="0.2">
      <c r="G109" s="69" t="s">
        <v>343</v>
      </c>
      <c r="H109" s="14"/>
      <c r="I109" s="14"/>
      <c r="J109" s="31">
        <f>P73</f>
        <v>1580726.25</v>
      </c>
      <c r="K109" s="31">
        <f t="shared" ref="K109:AJ109" si="7">$J109*K99</f>
        <v>490025.13750000001</v>
      </c>
      <c r="L109" s="31">
        <f t="shared" si="7"/>
        <v>539027.65125</v>
      </c>
      <c r="M109" s="31">
        <f t="shared" si="7"/>
        <v>592930.41637500003</v>
      </c>
      <c r="N109" s="31">
        <f t="shared" si="7"/>
        <v>652223.4580125002</v>
      </c>
      <c r="O109" s="31">
        <f t="shared" si="7"/>
        <v>717445.80381375016</v>
      </c>
      <c r="P109" s="31">
        <f t="shared" si="7"/>
        <v>789190.38419512531</v>
      </c>
      <c r="Q109" s="31">
        <f t="shared" si="7"/>
        <v>868109.42261463788</v>
      </c>
      <c r="R109" s="31">
        <f t="shared" si="7"/>
        <v>954920.36487610172</v>
      </c>
      <c r="S109" s="31">
        <f t="shared" si="7"/>
        <v>1050412.401363712</v>
      </c>
      <c r="T109" s="31">
        <f t="shared" si="7"/>
        <v>1155453.6415000833</v>
      </c>
      <c r="U109" s="31">
        <f t="shared" si="7"/>
        <v>1270999.0056500919</v>
      </c>
      <c r="V109" s="31">
        <f t="shared" si="7"/>
        <v>1398098.9062151012</v>
      </c>
      <c r="W109" s="31">
        <f t="shared" si="7"/>
        <v>1537908.7968366116</v>
      </c>
      <c r="X109" s="31">
        <f t="shared" si="7"/>
        <v>1691699.6765202729</v>
      </c>
      <c r="Y109" s="31">
        <f t="shared" si="7"/>
        <v>1860869.6441723004</v>
      </c>
      <c r="Z109" s="31">
        <f t="shared" si="7"/>
        <v>2046956.6085895305</v>
      </c>
      <c r="AA109" s="31">
        <f t="shared" si="7"/>
        <v>2251652.2694484838</v>
      </c>
      <c r="AB109" s="31">
        <f t="shared" si="7"/>
        <v>2476817.4963933323</v>
      </c>
      <c r="AC109" s="31">
        <f t="shared" si="7"/>
        <v>2724499.2460326655</v>
      </c>
      <c r="AD109" s="31">
        <f t="shared" si="7"/>
        <v>2996949.1706359326</v>
      </c>
      <c r="AE109" s="31">
        <f t="shared" si="7"/>
        <v>3296644.087699526</v>
      </c>
      <c r="AF109" s="31">
        <f t="shared" si="7"/>
        <v>3626308.4964694791</v>
      </c>
      <c r="AG109" s="31">
        <f t="shared" si="7"/>
        <v>3988939.3461164273</v>
      </c>
      <c r="AH109" s="31">
        <f t="shared" si="7"/>
        <v>4387833.2807280701</v>
      </c>
      <c r="AI109" s="31">
        <f t="shared" si="7"/>
        <v>4826616.6088008778</v>
      </c>
      <c r="AJ109" s="31">
        <f t="shared" si="7"/>
        <v>5309278.2696809666</v>
      </c>
    </row>
    <row r="110" spans="7:36" ht="15" hidden="1" customHeight="1" x14ac:dyDescent="0.2">
      <c r="G110" s="196" t="s">
        <v>483</v>
      </c>
      <c r="H110" s="30"/>
      <c r="I110" s="30"/>
      <c r="J110" s="30"/>
      <c r="K110" s="34">
        <f>SUM(K107:K109)</f>
        <v>629956.23750000005</v>
      </c>
      <c r="L110" s="34">
        <f t="shared" ref="L110:AJ110" si="8">SUM(L107:L109)</f>
        <v>687354.61725000001</v>
      </c>
      <c r="M110" s="34">
        <f t="shared" si="8"/>
        <v>750157.00033499999</v>
      </c>
      <c r="N110" s="34">
        <f t="shared" si="8"/>
        <v>818883.6370101003</v>
      </c>
      <c r="O110" s="34">
        <f t="shared" si="8"/>
        <v>894105.59355120617</v>
      </c>
      <c r="P110" s="34">
        <f t="shared" si="8"/>
        <v>976449.76131682866</v>
      </c>
      <c r="Q110" s="34">
        <f t="shared" si="8"/>
        <v>1066604.3623636435</v>
      </c>
      <c r="R110" s="34">
        <f t="shared" si="8"/>
        <v>1165325.0010100477</v>
      </c>
      <c r="S110" s="34">
        <f t="shared" si="8"/>
        <v>1273441.3156656949</v>
      </c>
      <c r="T110" s="34">
        <f t="shared" si="8"/>
        <v>1391864.290660185</v>
      </c>
      <c r="U110" s="34">
        <f t="shared" si="8"/>
        <v>1521594.2937597998</v>
      </c>
      <c r="V110" s="34">
        <f t="shared" si="8"/>
        <v>1663729.9116113917</v>
      </c>
      <c r="W110" s="34">
        <f t="shared" si="8"/>
        <v>1819477.6625566795</v>
      </c>
      <c r="X110" s="34">
        <f t="shared" si="8"/>
        <v>1990162.6741835447</v>
      </c>
      <c r="Y110" s="34">
        <f t="shared" si="8"/>
        <v>2177240.4216953684</v>
      </c>
      <c r="Z110" s="34">
        <f t="shared" si="8"/>
        <v>2382309.6327639828</v>
      </c>
      <c r="AA110" s="34">
        <f t="shared" si="8"/>
        <v>2607126.4750734032</v>
      </c>
      <c r="AB110" s="34">
        <f t="shared" si="8"/>
        <v>2853620.1543557467</v>
      </c>
      <c r="AC110" s="34">
        <f t="shared" si="8"/>
        <v>3123910.0634728251</v>
      </c>
      <c r="AD110" s="34">
        <f t="shared" si="8"/>
        <v>3420324.6371225016</v>
      </c>
      <c r="AE110" s="34">
        <f t="shared" si="8"/>
        <v>3745422.0821752893</v>
      </c>
      <c r="AF110" s="34">
        <f t="shared" si="8"/>
        <v>4102013.1706137881</v>
      </c>
      <c r="AG110" s="34">
        <f t="shared" si="8"/>
        <v>4493186.3007093947</v>
      </c>
      <c r="AH110" s="34">
        <f t="shared" si="8"/>
        <v>4922335.0525966156</v>
      </c>
      <c r="AI110" s="34">
        <f t="shared" si="8"/>
        <v>5393188.4869815363</v>
      </c>
      <c r="AJ110" s="34">
        <f t="shared" si="8"/>
        <v>5909844.4605524642</v>
      </c>
    </row>
    <row r="111" spans="7:36" ht="15" hidden="1" customHeight="1" x14ac:dyDescent="0.2">
      <c r="G111" s="66"/>
      <c r="H111" s="66"/>
      <c r="I111" s="8"/>
      <c r="J111" s="8"/>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row>
    <row r="112" spans="7:36" ht="15" hidden="1" customHeight="1" x14ac:dyDescent="0.2">
      <c r="G112" s="15" t="s">
        <v>550</v>
      </c>
      <c r="H112" s="17"/>
      <c r="I112" s="13"/>
      <c r="J112" s="13"/>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row>
    <row r="113" spans="7:36" ht="15" hidden="1" customHeight="1" x14ac:dyDescent="0.2">
      <c r="G113" s="397" t="s">
        <v>453</v>
      </c>
      <c r="H113" s="17"/>
      <c r="I113" s="17"/>
      <c r="J113" s="35">
        <f>T69</f>
        <v>0</v>
      </c>
      <c r="K113" s="35">
        <f t="shared" ref="K113:AJ113" si="9">$J113*K93</f>
        <v>0</v>
      </c>
      <c r="L113" s="35">
        <f t="shared" si="9"/>
        <v>0</v>
      </c>
      <c r="M113" s="35">
        <f t="shared" si="9"/>
        <v>0</v>
      </c>
      <c r="N113" s="35">
        <f t="shared" si="9"/>
        <v>0</v>
      </c>
      <c r="O113" s="35">
        <f t="shared" si="9"/>
        <v>0</v>
      </c>
      <c r="P113" s="35">
        <f t="shared" si="9"/>
        <v>0</v>
      </c>
      <c r="Q113" s="35">
        <f t="shared" si="9"/>
        <v>0</v>
      </c>
      <c r="R113" s="35">
        <f t="shared" si="9"/>
        <v>0</v>
      </c>
      <c r="S113" s="35">
        <f t="shared" si="9"/>
        <v>0</v>
      </c>
      <c r="T113" s="35">
        <f t="shared" si="9"/>
        <v>0</v>
      </c>
      <c r="U113" s="35">
        <f t="shared" si="9"/>
        <v>0</v>
      </c>
      <c r="V113" s="35">
        <f t="shared" si="9"/>
        <v>0</v>
      </c>
      <c r="W113" s="35">
        <f t="shared" si="9"/>
        <v>0</v>
      </c>
      <c r="X113" s="35">
        <f t="shared" si="9"/>
        <v>0</v>
      </c>
      <c r="Y113" s="35">
        <f t="shared" si="9"/>
        <v>0</v>
      </c>
      <c r="Z113" s="35">
        <f t="shared" si="9"/>
        <v>0</v>
      </c>
      <c r="AA113" s="35">
        <f t="shared" si="9"/>
        <v>0</v>
      </c>
      <c r="AB113" s="35">
        <f t="shared" si="9"/>
        <v>0</v>
      </c>
      <c r="AC113" s="35">
        <f t="shared" si="9"/>
        <v>0</v>
      </c>
      <c r="AD113" s="35">
        <f t="shared" si="9"/>
        <v>0</v>
      </c>
      <c r="AE113" s="35">
        <f t="shared" si="9"/>
        <v>0</v>
      </c>
      <c r="AF113" s="35">
        <f t="shared" si="9"/>
        <v>0</v>
      </c>
      <c r="AG113" s="35">
        <f t="shared" si="9"/>
        <v>0</v>
      </c>
      <c r="AH113" s="35">
        <f t="shared" si="9"/>
        <v>0</v>
      </c>
      <c r="AI113" s="35">
        <f t="shared" si="9"/>
        <v>0</v>
      </c>
      <c r="AJ113" s="35">
        <f t="shared" si="9"/>
        <v>0</v>
      </c>
    </row>
    <row r="114" spans="7:36" ht="15" hidden="1" customHeight="1" x14ac:dyDescent="0.2">
      <c r="G114" s="397" t="s">
        <v>452</v>
      </c>
      <c r="H114" s="17"/>
      <c r="I114" s="17"/>
      <c r="J114" s="510">
        <v>0</v>
      </c>
      <c r="K114" s="510">
        <f t="shared" ref="K114:AJ114" si="10">$J114*K94</f>
        <v>0</v>
      </c>
      <c r="L114" s="510">
        <f t="shared" si="10"/>
        <v>0</v>
      </c>
      <c r="M114" s="510">
        <f t="shared" si="10"/>
        <v>0</v>
      </c>
      <c r="N114" s="510">
        <f t="shared" si="10"/>
        <v>0</v>
      </c>
      <c r="O114" s="510">
        <f t="shared" si="10"/>
        <v>0</v>
      </c>
      <c r="P114" s="510">
        <f t="shared" si="10"/>
        <v>0</v>
      </c>
      <c r="Q114" s="510">
        <f t="shared" si="10"/>
        <v>0</v>
      </c>
      <c r="R114" s="510">
        <f t="shared" si="10"/>
        <v>0</v>
      </c>
      <c r="S114" s="510">
        <f t="shared" si="10"/>
        <v>0</v>
      </c>
      <c r="T114" s="510">
        <f t="shared" si="10"/>
        <v>0</v>
      </c>
      <c r="U114" s="510">
        <f t="shared" si="10"/>
        <v>0</v>
      </c>
      <c r="V114" s="510">
        <f t="shared" si="10"/>
        <v>0</v>
      </c>
      <c r="W114" s="510">
        <f t="shared" si="10"/>
        <v>0</v>
      </c>
      <c r="X114" s="510">
        <f t="shared" si="10"/>
        <v>0</v>
      </c>
      <c r="Y114" s="510">
        <f t="shared" si="10"/>
        <v>0</v>
      </c>
      <c r="Z114" s="510">
        <f t="shared" si="10"/>
        <v>0</v>
      </c>
      <c r="AA114" s="510">
        <f t="shared" si="10"/>
        <v>0</v>
      </c>
      <c r="AB114" s="510">
        <f t="shared" si="10"/>
        <v>0</v>
      </c>
      <c r="AC114" s="510">
        <f t="shared" si="10"/>
        <v>0</v>
      </c>
      <c r="AD114" s="510">
        <f t="shared" si="10"/>
        <v>0</v>
      </c>
      <c r="AE114" s="510">
        <f t="shared" si="10"/>
        <v>0</v>
      </c>
      <c r="AF114" s="510">
        <f t="shared" si="10"/>
        <v>0</v>
      </c>
      <c r="AG114" s="510">
        <f t="shared" si="10"/>
        <v>0</v>
      </c>
      <c r="AH114" s="510">
        <f t="shared" si="10"/>
        <v>0</v>
      </c>
      <c r="AI114" s="510">
        <f t="shared" si="10"/>
        <v>0</v>
      </c>
      <c r="AJ114" s="510">
        <f t="shared" si="10"/>
        <v>0</v>
      </c>
    </row>
    <row r="115" spans="7:36" ht="15" hidden="1" customHeight="1" x14ac:dyDescent="0.2">
      <c r="G115" s="397" t="s">
        <v>343</v>
      </c>
      <c r="H115" s="17"/>
      <c r="I115" s="17"/>
      <c r="J115" s="35">
        <f>T73</f>
        <v>0</v>
      </c>
      <c r="K115" s="35">
        <f t="shared" ref="K115:AJ115" si="11">$J115*K95</f>
        <v>0</v>
      </c>
      <c r="L115" s="35">
        <f t="shared" si="11"/>
        <v>0</v>
      </c>
      <c r="M115" s="35">
        <f t="shared" si="11"/>
        <v>0</v>
      </c>
      <c r="N115" s="35">
        <f t="shared" si="11"/>
        <v>0</v>
      </c>
      <c r="O115" s="35">
        <f t="shared" si="11"/>
        <v>0</v>
      </c>
      <c r="P115" s="35">
        <f t="shared" si="11"/>
        <v>0</v>
      </c>
      <c r="Q115" s="35">
        <f t="shared" si="11"/>
        <v>0</v>
      </c>
      <c r="R115" s="35">
        <f t="shared" si="11"/>
        <v>0</v>
      </c>
      <c r="S115" s="35">
        <f t="shared" si="11"/>
        <v>0</v>
      </c>
      <c r="T115" s="35">
        <f t="shared" si="11"/>
        <v>0</v>
      </c>
      <c r="U115" s="35">
        <f t="shared" si="11"/>
        <v>0</v>
      </c>
      <c r="V115" s="35">
        <f t="shared" si="11"/>
        <v>0</v>
      </c>
      <c r="W115" s="35">
        <f t="shared" si="11"/>
        <v>0</v>
      </c>
      <c r="X115" s="35">
        <f t="shared" si="11"/>
        <v>0</v>
      </c>
      <c r="Y115" s="35">
        <f t="shared" si="11"/>
        <v>0</v>
      </c>
      <c r="Z115" s="35">
        <f t="shared" si="11"/>
        <v>0</v>
      </c>
      <c r="AA115" s="35">
        <f t="shared" si="11"/>
        <v>0</v>
      </c>
      <c r="AB115" s="35">
        <f t="shared" si="11"/>
        <v>0</v>
      </c>
      <c r="AC115" s="35">
        <f t="shared" si="11"/>
        <v>0</v>
      </c>
      <c r="AD115" s="35">
        <f t="shared" si="11"/>
        <v>0</v>
      </c>
      <c r="AE115" s="35">
        <f t="shared" si="11"/>
        <v>0</v>
      </c>
      <c r="AF115" s="35">
        <f t="shared" si="11"/>
        <v>0</v>
      </c>
      <c r="AG115" s="35">
        <f t="shared" si="11"/>
        <v>0</v>
      </c>
      <c r="AH115" s="35">
        <f t="shared" si="11"/>
        <v>0</v>
      </c>
      <c r="AI115" s="35">
        <f t="shared" si="11"/>
        <v>0</v>
      </c>
      <c r="AJ115" s="35">
        <f t="shared" si="11"/>
        <v>0</v>
      </c>
    </row>
    <row r="116" spans="7:36" ht="15" hidden="1" customHeight="1" x14ac:dyDescent="0.2">
      <c r="G116" s="511" t="s">
        <v>482</v>
      </c>
      <c r="H116" s="15"/>
      <c r="I116" s="15"/>
      <c r="J116" s="15"/>
      <c r="K116" s="36">
        <f>SUM(K113:K115)</f>
        <v>0</v>
      </c>
      <c r="L116" s="36">
        <f t="shared" ref="L116:AJ116" si="12">SUM(L113:L115)</f>
        <v>0</v>
      </c>
      <c r="M116" s="36">
        <f t="shared" si="12"/>
        <v>0</v>
      </c>
      <c r="N116" s="36">
        <f t="shared" si="12"/>
        <v>0</v>
      </c>
      <c r="O116" s="36">
        <f t="shared" si="12"/>
        <v>0</v>
      </c>
      <c r="P116" s="36">
        <f t="shared" si="12"/>
        <v>0</v>
      </c>
      <c r="Q116" s="36">
        <f t="shared" si="12"/>
        <v>0</v>
      </c>
      <c r="R116" s="36">
        <f t="shared" si="12"/>
        <v>0</v>
      </c>
      <c r="S116" s="36">
        <f t="shared" si="12"/>
        <v>0</v>
      </c>
      <c r="T116" s="36">
        <f t="shared" si="12"/>
        <v>0</v>
      </c>
      <c r="U116" s="36">
        <f t="shared" si="12"/>
        <v>0</v>
      </c>
      <c r="V116" s="36">
        <f t="shared" si="12"/>
        <v>0</v>
      </c>
      <c r="W116" s="36">
        <f t="shared" si="12"/>
        <v>0</v>
      </c>
      <c r="X116" s="36">
        <f t="shared" si="12"/>
        <v>0</v>
      </c>
      <c r="Y116" s="36">
        <f t="shared" si="12"/>
        <v>0</v>
      </c>
      <c r="Z116" s="36">
        <f t="shared" si="12"/>
        <v>0</v>
      </c>
      <c r="AA116" s="36">
        <f t="shared" si="12"/>
        <v>0</v>
      </c>
      <c r="AB116" s="36">
        <f t="shared" si="12"/>
        <v>0</v>
      </c>
      <c r="AC116" s="36">
        <f t="shared" si="12"/>
        <v>0</v>
      </c>
      <c r="AD116" s="36">
        <f t="shared" si="12"/>
        <v>0</v>
      </c>
      <c r="AE116" s="36">
        <f t="shared" si="12"/>
        <v>0</v>
      </c>
      <c r="AF116" s="36">
        <f t="shared" si="12"/>
        <v>0</v>
      </c>
      <c r="AG116" s="36">
        <f t="shared" si="12"/>
        <v>0</v>
      </c>
      <c r="AH116" s="36">
        <f t="shared" si="12"/>
        <v>0</v>
      </c>
      <c r="AI116" s="36">
        <f t="shared" si="12"/>
        <v>0</v>
      </c>
      <c r="AJ116" s="36">
        <f t="shared" si="12"/>
        <v>0</v>
      </c>
    </row>
    <row r="117" spans="7:36" ht="15" hidden="1" customHeight="1" x14ac:dyDescent="0.2">
      <c r="G117" s="397"/>
      <c r="H117" s="17"/>
      <c r="I117" s="17"/>
      <c r="J117" s="17"/>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row>
    <row r="118" spans="7:36" ht="15" hidden="1" customHeight="1" x14ac:dyDescent="0.2">
      <c r="G118" s="397" t="s">
        <v>453</v>
      </c>
      <c r="H118" s="17"/>
      <c r="I118" s="17"/>
      <c r="J118" s="35">
        <f>T69</f>
        <v>0</v>
      </c>
      <c r="K118" s="35">
        <f t="shared" ref="K118:AJ118" si="13">$J118*K97</f>
        <v>0</v>
      </c>
      <c r="L118" s="35">
        <f t="shared" si="13"/>
        <v>0</v>
      </c>
      <c r="M118" s="35">
        <f t="shared" si="13"/>
        <v>0</v>
      </c>
      <c r="N118" s="35">
        <f t="shared" si="13"/>
        <v>0</v>
      </c>
      <c r="O118" s="35">
        <f t="shared" si="13"/>
        <v>0</v>
      </c>
      <c r="P118" s="35">
        <f t="shared" si="13"/>
        <v>0</v>
      </c>
      <c r="Q118" s="35">
        <f t="shared" si="13"/>
        <v>0</v>
      </c>
      <c r="R118" s="35">
        <f t="shared" si="13"/>
        <v>0</v>
      </c>
      <c r="S118" s="35">
        <f t="shared" si="13"/>
        <v>0</v>
      </c>
      <c r="T118" s="35">
        <f t="shared" si="13"/>
        <v>0</v>
      </c>
      <c r="U118" s="35">
        <f t="shared" si="13"/>
        <v>0</v>
      </c>
      <c r="V118" s="35">
        <f t="shared" si="13"/>
        <v>0</v>
      </c>
      <c r="W118" s="35">
        <f t="shared" si="13"/>
        <v>0</v>
      </c>
      <c r="X118" s="35">
        <f t="shared" si="13"/>
        <v>0</v>
      </c>
      <c r="Y118" s="35">
        <f t="shared" si="13"/>
        <v>0</v>
      </c>
      <c r="Z118" s="35">
        <f t="shared" si="13"/>
        <v>0</v>
      </c>
      <c r="AA118" s="35">
        <f t="shared" si="13"/>
        <v>0</v>
      </c>
      <c r="AB118" s="35">
        <f t="shared" si="13"/>
        <v>0</v>
      </c>
      <c r="AC118" s="35">
        <f t="shared" si="13"/>
        <v>0</v>
      </c>
      <c r="AD118" s="35">
        <f t="shared" si="13"/>
        <v>0</v>
      </c>
      <c r="AE118" s="35">
        <f t="shared" si="13"/>
        <v>0</v>
      </c>
      <c r="AF118" s="35">
        <f t="shared" si="13"/>
        <v>0</v>
      </c>
      <c r="AG118" s="35">
        <f t="shared" si="13"/>
        <v>0</v>
      </c>
      <c r="AH118" s="35">
        <f t="shared" si="13"/>
        <v>0</v>
      </c>
      <c r="AI118" s="35">
        <f t="shared" si="13"/>
        <v>0</v>
      </c>
      <c r="AJ118" s="35">
        <f t="shared" si="13"/>
        <v>0</v>
      </c>
    </row>
    <row r="119" spans="7:36" ht="15" hidden="1" customHeight="1" x14ac:dyDescent="0.2">
      <c r="G119" s="397" t="s">
        <v>452</v>
      </c>
      <c r="H119" s="17"/>
      <c r="I119" s="17"/>
      <c r="J119" s="510">
        <v>0</v>
      </c>
      <c r="K119" s="510">
        <f t="shared" ref="K119:AJ119" si="14">$J119*K98</f>
        <v>0</v>
      </c>
      <c r="L119" s="510">
        <f t="shared" si="14"/>
        <v>0</v>
      </c>
      <c r="M119" s="510">
        <f t="shared" si="14"/>
        <v>0</v>
      </c>
      <c r="N119" s="510">
        <f t="shared" si="14"/>
        <v>0</v>
      </c>
      <c r="O119" s="510">
        <f t="shared" si="14"/>
        <v>0</v>
      </c>
      <c r="P119" s="510">
        <f t="shared" si="14"/>
        <v>0</v>
      </c>
      <c r="Q119" s="510">
        <f t="shared" si="14"/>
        <v>0</v>
      </c>
      <c r="R119" s="510">
        <f t="shared" si="14"/>
        <v>0</v>
      </c>
      <c r="S119" s="510">
        <f t="shared" si="14"/>
        <v>0</v>
      </c>
      <c r="T119" s="510">
        <f t="shared" si="14"/>
        <v>0</v>
      </c>
      <c r="U119" s="510">
        <f t="shared" si="14"/>
        <v>0</v>
      </c>
      <c r="V119" s="510">
        <f t="shared" si="14"/>
        <v>0</v>
      </c>
      <c r="W119" s="510">
        <f t="shared" si="14"/>
        <v>0</v>
      </c>
      <c r="X119" s="510">
        <f t="shared" si="14"/>
        <v>0</v>
      </c>
      <c r="Y119" s="510">
        <f t="shared" si="14"/>
        <v>0</v>
      </c>
      <c r="Z119" s="510">
        <f t="shared" si="14"/>
        <v>0</v>
      </c>
      <c r="AA119" s="510">
        <f t="shared" si="14"/>
        <v>0</v>
      </c>
      <c r="AB119" s="510">
        <f t="shared" si="14"/>
        <v>0</v>
      </c>
      <c r="AC119" s="510">
        <f t="shared" si="14"/>
        <v>0</v>
      </c>
      <c r="AD119" s="510">
        <f t="shared" si="14"/>
        <v>0</v>
      </c>
      <c r="AE119" s="510">
        <f t="shared" si="14"/>
        <v>0</v>
      </c>
      <c r="AF119" s="510">
        <f t="shared" si="14"/>
        <v>0</v>
      </c>
      <c r="AG119" s="510">
        <f t="shared" si="14"/>
        <v>0</v>
      </c>
      <c r="AH119" s="510">
        <f t="shared" si="14"/>
        <v>0</v>
      </c>
      <c r="AI119" s="510">
        <f t="shared" si="14"/>
        <v>0</v>
      </c>
      <c r="AJ119" s="510">
        <f t="shared" si="14"/>
        <v>0</v>
      </c>
    </row>
    <row r="120" spans="7:36" ht="15" hidden="1" customHeight="1" x14ac:dyDescent="0.2">
      <c r="G120" s="397" t="s">
        <v>343</v>
      </c>
      <c r="H120" s="17"/>
      <c r="I120" s="17"/>
      <c r="J120" s="35">
        <f>T73</f>
        <v>0</v>
      </c>
      <c r="K120" s="35">
        <f t="shared" ref="K120:AJ120" si="15">$J120*K99</f>
        <v>0</v>
      </c>
      <c r="L120" s="35">
        <f t="shared" si="15"/>
        <v>0</v>
      </c>
      <c r="M120" s="35">
        <f t="shared" si="15"/>
        <v>0</v>
      </c>
      <c r="N120" s="35">
        <f t="shared" si="15"/>
        <v>0</v>
      </c>
      <c r="O120" s="35">
        <f t="shared" si="15"/>
        <v>0</v>
      </c>
      <c r="P120" s="35">
        <f t="shared" si="15"/>
        <v>0</v>
      </c>
      <c r="Q120" s="35">
        <f t="shared" si="15"/>
        <v>0</v>
      </c>
      <c r="R120" s="35">
        <f t="shared" si="15"/>
        <v>0</v>
      </c>
      <c r="S120" s="35">
        <f t="shared" si="15"/>
        <v>0</v>
      </c>
      <c r="T120" s="35">
        <f t="shared" si="15"/>
        <v>0</v>
      </c>
      <c r="U120" s="35">
        <f t="shared" si="15"/>
        <v>0</v>
      </c>
      <c r="V120" s="35">
        <f t="shared" si="15"/>
        <v>0</v>
      </c>
      <c r="W120" s="35">
        <f t="shared" si="15"/>
        <v>0</v>
      </c>
      <c r="X120" s="35">
        <f t="shared" si="15"/>
        <v>0</v>
      </c>
      <c r="Y120" s="35">
        <f t="shared" si="15"/>
        <v>0</v>
      </c>
      <c r="Z120" s="35">
        <f t="shared" si="15"/>
        <v>0</v>
      </c>
      <c r="AA120" s="35">
        <f t="shared" si="15"/>
        <v>0</v>
      </c>
      <c r="AB120" s="35">
        <f t="shared" si="15"/>
        <v>0</v>
      </c>
      <c r="AC120" s="35">
        <f t="shared" si="15"/>
        <v>0</v>
      </c>
      <c r="AD120" s="35">
        <f t="shared" si="15"/>
        <v>0</v>
      </c>
      <c r="AE120" s="35">
        <f t="shared" si="15"/>
        <v>0</v>
      </c>
      <c r="AF120" s="35">
        <f t="shared" si="15"/>
        <v>0</v>
      </c>
      <c r="AG120" s="35">
        <f t="shared" si="15"/>
        <v>0</v>
      </c>
      <c r="AH120" s="35">
        <f t="shared" si="15"/>
        <v>0</v>
      </c>
      <c r="AI120" s="35">
        <f t="shared" si="15"/>
        <v>0</v>
      </c>
      <c r="AJ120" s="35">
        <f t="shared" si="15"/>
        <v>0</v>
      </c>
    </row>
    <row r="121" spans="7:36" ht="15" hidden="1" customHeight="1" x14ac:dyDescent="0.2">
      <c r="G121" s="511" t="s">
        <v>483</v>
      </c>
      <c r="H121" s="15"/>
      <c r="I121" s="15"/>
      <c r="J121" s="15"/>
      <c r="K121" s="36">
        <f>SUM(K118:K120)</f>
        <v>0</v>
      </c>
      <c r="L121" s="36">
        <f t="shared" ref="L121:AJ121" si="16">SUM(L118:L120)</f>
        <v>0</v>
      </c>
      <c r="M121" s="36">
        <f t="shared" si="16"/>
        <v>0</v>
      </c>
      <c r="N121" s="36">
        <f t="shared" si="16"/>
        <v>0</v>
      </c>
      <c r="O121" s="36">
        <f t="shared" si="16"/>
        <v>0</v>
      </c>
      <c r="P121" s="36">
        <f t="shared" si="16"/>
        <v>0</v>
      </c>
      <c r="Q121" s="36">
        <f t="shared" si="16"/>
        <v>0</v>
      </c>
      <c r="R121" s="36">
        <f t="shared" si="16"/>
        <v>0</v>
      </c>
      <c r="S121" s="36">
        <f t="shared" si="16"/>
        <v>0</v>
      </c>
      <c r="T121" s="36">
        <f t="shared" si="16"/>
        <v>0</v>
      </c>
      <c r="U121" s="36">
        <f t="shared" si="16"/>
        <v>0</v>
      </c>
      <c r="V121" s="36">
        <f t="shared" si="16"/>
        <v>0</v>
      </c>
      <c r="W121" s="36">
        <f t="shared" si="16"/>
        <v>0</v>
      </c>
      <c r="X121" s="36">
        <f t="shared" si="16"/>
        <v>0</v>
      </c>
      <c r="Y121" s="36">
        <f t="shared" si="16"/>
        <v>0</v>
      </c>
      <c r="Z121" s="36">
        <f t="shared" si="16"/>
        <v>0</v>
      </c>
      <c r="AA121" s="36">
        <f t="shared" si="16"/>
        <v>0</v>
      </c>
      <c r="AB121" s="36">
        <f t="shared" si="16"/>
        <v>0</v>
      </c>
      <c r="AC121" s="36">
        <f t="shared" si="16"/>
        <v>0</v>
      </c>
      <c r="AD121" s="36">
        <f t="shared" si="16"/>
        <v>0</v>
      </c>
      <c r="AE121" s="36">
        <f t="shared" si="16"/>
        <v>0</v>
      </c>
      <c r="AF121" s="36">
        <f t="shared" si="16"/>
        <v>0</v>
      </c>
      <c r="AG121" s="36">
        <f t="shared" si="16"/>
        <v>0</v>
      </c>
      <c r="AH121" s="36">
        <f t="shared" si="16"/>
        <v>0</v>
      </c>
      <c r="AI121" s="36">
        <f t="shared" si="16"/>
        <v>0</v>
      </c>
      <c r="AJ121" s="36">
        <f t="shared" si="16"/>
        <v>0</v>
      </c>
    </row>
    <row r="122" spans="7:36" ht="15" hidden="1" customHeight="1" x14ac:dyDescent="0.2">
      <c r="G122" s="66"/>
      <c r="H122" s="66"/>
      <c r="I122" s="8"/>
      <c r="J122" s="8"/>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row>
    <row r="123" spans="7:36" ht="15" hidden="1" customHeight="1" x14ac:dyDescent="0.2">
      <c r="G123" s="511" t="s">
        <v>484</v>
      </c>
      <c r="H123" s="17"/>
      <c r="I123" s="13"/>
      <c r="J123" s="13"/>
      <c r="K123" s="34">
        <f>K105-K116</f>
        <v>591762.20222500002</v>
      </c>
      <c r="L123" s="34">
        <f t="shared" ref="L123:AJ123" si="17">L105-L116</f>
        <v>582591.77695824997</v>
      </c>
      <c r="M123" s="34">
        <f t="shared" si="17"/>
        <v>573696.46444950253</v>
      </c>
      <c r="N123" s="34">
        <f t="shared" si="17"/>
        <v>565068.01131601748</v>
      </c>
      <c r="O123" s="34">
        <f t="shared" si="17"/>
        <v>556698.41177653684</v>
      </c>
      <c r="P123" s="34">
        <f t="shared" si="17"/>
        <v>548579.90022324084</v>
      </c>
      <c r="Q123" s="34">
        <f t="shared" si="17"/>
        <v>540704.94401654357</v>
      </c>
      <c r="R123" s="34">
        <f t="shared" si="17"/>
        <v>533066.23649604723</v>
      </c>
      <c r="S123" s="34">
        <f t="shared" si="17"/>
        <v>525656.69020116585</v>
      </c>
      <c r="T123" s="34">
        <f t="shared" si="17"/>
        <v>518469.43029513082</v>
      </c>
      <c r="U123" s="34">
        <f t="shared" si="17"/>
        <v>511497.78818627691</v>
      </c>
      <c r="V123" s="34">
        <f t="shared" si="17"/>
        <v>504735.29534068855</v>
      </c>
      <c r="W123" s="34">
        <f t="shared" si="17"/>
        <v>498175.67728046793</v>
      </c>
      <c r="X123" s="34">
        <f t="shared" si="17"/>
        <v>491812.84776205389</v>
      </c>
      <c r="Y123" s="34">
        <f t="shared" si="17"/>
        <v>485640.90312919224</v>
      </c>
      <c r="Z123" s="34">
        <f t="shared" si="17"/>
        <v>479654.11683531647</v>
      </c>
      <c r="AA123" s="34">
        <f t="shared" si="17"/>
        <v>473846.934130257</v>
      </c>
      <c r="AB123" s="34">
        <f t="shared" si="17"/>
        <v>468213.96690634929</v>
      </c>
      <c r="AC123" s="34">
        <f t="shared" si="17"/>
        <v>462749.98869915877</v>
      </c>
      <c r="AD123" s="34">
        <f t="shared" si="17"/>
        <v>457449.92983818403</v>
      </c>
      <c r="AE123" s="34">
        <f t="shared" si="17"/>
        <v>452308.87274303846</v>
      </c>
      <c r="AF123" s="34">
        <f t="shared" si="17"/>
        <v>447322.04736074735</v>
      </c>
      <c r="AG123" s="34">
        <f t="shared" si="17"/>
        <v>442484.82673992496</v>
      </c>
      <c r="AH123" s="34">
        <f t="shared" si="17"/>
        <v>437792.72273772716</v>
      </c>
      <c r="AI123" s="34">
        <f t="shared" si="17"/>
        <v>433241.38185559539</v>
      </c>
      <c r="AJ123" s="34">
        <f t="shared" si="17"/>
        <v>428826.58119992749</v>
      </c>
    </row>
    <row r="124" spans="7:36" ht="15" hidden="1" customHeight="1" x14ac:dyDescent="0.2">
      <c r="G124" s="511" t="s">
        <v>485</v>
      </c>
      <c r="H124" s="15"/>
      <c r="I124" s="13"/>
      <c r="J124" s="13"/>
      <c r="K124" s="36">
        <f>K110-K121</f>
        <v>629956.23750000005</v>
      </c>
      <c r="L124" s="36">
        <f t="shared" ref="L124:AJ124" si="18">L110-L121</f>
        <v>687354.61725000001</v>
      </c>
      <c r="M124" s="36">
        <f t="shared" si="18"/>
        <v>750157.00033499999</v>
      </c>
      <c r="N124" s="36">
        <f t="shared" si="18"/>
        <v>818883.6370101003</v>
      </c>
      <c r="O124" s="36">
        <f t="shared" si="18"/>
        <v>894105.59355120617</v>
      </c>
      <c r="P124" s="36">
        <f t="shared" si="18"/>
        <v>976449.76131682866</v>
      </c>
      <c r="Q124" s="36">
        <f t="shared" si="18"/>
        <v>1066604.3623636435</v>
      </c>
      <c r="R124" s="36">
        <f t="shared" si="18"/>
        <v>1165325.0010100477</v>
      </c>
      <c r="S124" s="36">
        <f t="shared" si="18"/>
        <v>1273441.3156656949</v>
      </c>
      <c r="T124" s="36">
        <f t="shared" si="18"/>
        <v>1391864.290660185</v>
      </c>
      <c r="U124" s="36">
        <f t="shared" si="18"/>
        <v>1521594.2937597998</v>
      </c>
      <c r="V124" s="36">
        <f t="shared" si="18"/>
        <v>1663729.9116113917</v>
      </c>
      <c r="W124" s="36">
        <f t="shared" si="18"/>
        <v>1819477.6625566795</v>
      </c>
      <c r="X124" s="36">
        <f t="shared" si="18"/>
        <v>1990162.6741835447</v>
      </c>
      <c r="Y124" s="36">
        <f t="shared" si="18"/>
        <v>2177240.4216953684</v>
      </c>
      <c r="Z124" s="36">
        <f t="shared" si="18"/>
        <v>2382309.6327639828</v>
      </c>
      <c r="AA124" s="36">
        <f t="shared" si="18"/>
        <v>2607126.4750734032</v>
      </c>
      <c r="AB124" s="36">
        <f t="shared" si="18"/>
        <v>2853620.1543557467</v>
      </c>
      <c r="AC124" s="36">
        <f t="shared" si="18"/>
        <v>3123910.0634728251</v>
      </c>
      <c r="AD124" s="36">
        <f t="shared" si="18"/>
        <v>3420324.6371225016</v>
      </c>
      <c r="AE124" s="36">
        <f t="shared" si="18"/>
        <v>3745422.0821752893</v>
      </c>
      <c r="AF124" s="36">
        <f t="shared" si="18"/>
        <v>4102013.1706137881</v>
      </c>
      <c r="AG124" s="36">
        <f t="shared" si="18"/>
        <v>4493186.3007093947</v>
      </c>
      <c r="AH124" s="36">
        <f t="shared" si="18"/>
        <v>4922335.0525966156</v>
      </c>
      <c r="AI124" s="36">
        <f t="shared" si="18"/>
        <v>5393188.4869815363</v>
      </c>
      <c r="AJ124" s="36">
        <f t="shared" si="18"/>
        <v>5909844.4605524642</v>
      </c>
    </row>
    <row r="125" spans="7:36" ht="15" customHeight="1" x14ac:dyDescent="0.2">
      <c r="G125" s="64"/>
      <c r="H125" s="64"/>
      <c r="I125" s="8"/>
      <c r="J125" s="8"/>
      <c r="K125" s="67"/>
      <c r="L125" s="67"/>
      <c r="M125" s="67"/>
      <c r="N125" s="67"/>
      <c r="O125" s="67"/>
      <c r="P125" s="67"/>
      <c r="Q125" s="67"/>
      <c r="R125" s="67"/>
      <c r="S125" s="67"/>
      <c r="T125" s="67"/>
      <c r="U125" s="67"/>
      <c r="V125" s="67"/>
      <c r="W125" s="67"/>
      <c r="X125" s="67"/>
      <c r="Y125" s="67"/>
      <c r="Z125" s="67"/>
      <c r="AA125" s="67"/>
      <c r="AB125" s="67"/>
      <c r="AC125" s="67"/>
      <c r="AD125" s="67"/>
      <c r="AE125" s="67"/>
      <c r="AF125" s="67"/>
      <c r="AG125" s="67"/>
      <c r="AH125" s="67"/>
      <c r="AI125" s="67"/>
      <c r="AJ125" s="67"/>
    </row>
    <row r="126" spans="7:36" ht="15" customHeight="1" x14ac:dyDescent="0.2">
      <c r="G126" s="64"/>
      <c r="H126" s="64"/>
      <c r="I126" s="8"/>
      <c r="J126" s="8"/>
      <c r="K126" s="67"/>
      <c r="L126" s="67"/>
      <c r="M126" s="67"/>
      <c r="N126" s="67"/>
      <c r="O126" s="67"/>
      <c r="P126" s="67"/>
      <c r="Q126" s="67"/>
      <c r="R126" s="67"/>
      <c r="S126" s="67"/>
      <c r="T126" s="67"/>
      <c r="U126" s="67"/>
      <c r="V126" s="67"/>
      <c r="W126" s="67"/>
      <c r="X126" s="67"/>
      <c r="Y126" s="67"/>
      <c r="Z126" s="67"/>
      <c r="AA126" s="67"/>
      <c r="AB126" s="67"/>
      <c r="AC126" s="67"/>
      <c r="AD126" s="67"/>
      <c r="AE126" s="67"/>
      <c r="AF126" s="67"/>
      <c r="AG126" s="67"/>
      <c r="AH126" s="67"/>
      <c r="AI126" s="67"/>
      <c r="AJ126" s="67"/>
    </row>
    <row r="127" spans="7:36" ht="15" customHeight="1" x14ac:dyDescent="0.2">
      <c r="G127" s="64"/>
      <c r="H127" s="64"/>
      <c r="I127" s="8"/>
      <c r="J127" s="8"/>
      <c r="K127" s="67"/>
      <c r="L127" s="67"/>
      <c r="M127" s="67"/>
      <c r="N127" s="67"/>
      <c r="O127" s="67"/>
      <c r="P127" s="67"/>
      <c r="Q127" s="67"/>
      <c r="R127" s="67"/>
      <c r="S127" s="67"/>
      <c r="T127" s="67"/>
      <c r="U127" s="67"/>
      <c r="V127" s="67"/>
      <c r="W127" s="67"/>
      <c r="X127" s="67"/>
      <c r="Y127" s="67"/>
      <c r="Z127" s="67"/>
      <c r="AA127" s="67"/>
      <c r="AB127" s="67"/>
      <c r="AC127" s="67"/>
      <c r="AD127" s="67"/>
      <c r="AE127" s="67"/>
      <c r="AF127" s="67"/>
      <c r="AG127" s="67"/>
      <c r="AH127" s="67"/>
      <c r="AI127" s="67"/>
      <c r="AJ127" s="67"/>
    </row>
    <row r="128" spans="7:36" ht="15" customHeight="1" x14ac:dyDescent="0.2">
      <c r="G128" s="64"/>
      <c r="H128" s="64"/>
      <c r="I128" s="8"/>
      <c r="J128" s="8"/>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row>
    <row r="129" spans="7:38" ht="15" customHeight="1" x14ac:dyDescent="0.2">
      <c r="G129" s="64"/>
      <c r="H129" s="64"/>
      <c r="I129" s="8"/>
      <c r="J129" s="8"/>
      <c r="K129" s="67"/>
      <c r="L129" s="67"/>
      <c r="M129" s="67"/>
      <c r="N129" s="67"/>
      <c r="O129" s="67"/>
      <c r="P129" s="67"/>
      <c r="Q129" s="67"/>
      <c r="R129" s="67"/>
      <c r="S129" s="67"/>
      <c r="T129" s="67"/>
      <c r="U129" s="67"/>
      <c r="V129" s="67"/>
      <c r="W129" s="67"/>
      <c r="X129" s="67"/>
      <c r="Y129" s="67"/>
      <c r="Z129" s="67"/>
      <c r="AA129" s="67"/>
      <c r="AB129" s="67"/>
      <c r="AC129" s="67"/>
      <c r="AD129" s="67"/>
      <c r="AE129" s="67"/>
      <c r="AF129" s="67"/>
      <c r="AG129" s="67"/>
      <c r="AH129" s="67"/>
      <c r="AI129" s="67"/>
      <c r="AJ129" s="67"/>
    </row>
    <row r="130" spans="7:38" ht="15" customHeight="1" x14ac:dyDescent="0.2">
      <c r="G130" s="59"/>
      <c r="H130" s="59"/>
      <c r="I130" s="8"/>
      <c r="J130" s="8"/>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row>
    <row r="133" spans="7:38" ht="15" customHeight="1" x14ac:dyDescent="0.2">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L133" s="65"/>
    </row>
    <row r="134" spans="7:38" ht="15" customHeight="1" x14ac:dyDescent="0.2">
      <c r="G134" s="64"/>
    </row>
    <row r="135" spans="7:38" ht="15" customHeight="1" x14ac:dyDescent="0.2">
      <c r="G135" s="64"/>
    </row>
    <row r="136" spans="7:38" ht="15" customHeight="1" x14ac:dyDescent="0.2">
      <c r="G136" s="10"/>
    </row>
    <row r="137" spans="7:38" ht="15" customHeight="1" x14ac:dyDescent="0.2">
      <c r="G137" s="10"/>
    </row>
    <row r="138" spans="7:38" ht="15" customHeight="1" x14ac:dyDescent="0.2">
      <c r="G138" s="10"/>
    </row>
    <row r="139" spans="7:38" ht="15" customHeight="1" x14ac:dyDescent="0.2">
      <c r="G139" s="10"/>
    </row>
    <row r="140" spans="7:38" ht="15" customHeight="1" x14ac:dyDescent="0.2">
      <c r="G140" s="10"/>
    </row>
    <row r="287" spans="7:36" ht="15" customHeight="1" x14ac:dyDescent="0.2">
      <c r="G287" s="7"/>
      <c r="H287" s="8"/>
      <c r="I287" s="8"/>
      <c r="J287" s="8"/>
      <c r="K287" s="8"/>
      <c r="L287" s="8"/>
      <c r="M287" s="8"/>
      <c r="N287" s="8"/>
      <c r="O287" s="8"/>
      <c r="P287" s="8"/>
      <c r="Q287" s="8"/>
      <c r="R287" s="9"/>
      <c r="S287" s="8"/>
      <c r="T287" s="8"/>
      <c r="U287" s="8"/>
      <c r="V287" s="8"/>
      <c r="W287" s="8"/>
      <c r="X287" s="8"/>
      <c r="Y287" s="8"/>
      <c r="Z287" s="8"/>
      <c r="AA287" s="8"/>
      <c r="AB287" s="73"/>
      <c r="AC287" s="8"/>
      <c r="AD287" s="8"/>
      <c r="AE287" s="8"/>
      <c r="AF287" s="8"/>
      <c r="AG287" s="8"/>
      <c r="AH287" s="8"/>
      <c r="AI287" s="8"/>
      <c r="AJ287" s="8"/>
    </row>
    <row r="288" spans="7:36" ht="15" customHeight="1" x14ac:dyDescent="0.2">
      <c r="G288" s="7"/>
      <c r="H288" s="8"/>
      <c r="I288" s="8"/>
      <c r="J288" s="8"/>
      <c r="K288" s="8"/>
      <c r="L288" s="8"/>
      <c r="M288" s="8"/>
      <c r="N288" s="8"/>
      <c r="O288" s="8"/>
      <c r="P288" s="8"/>
      <c r="Q288" s="8"/>
      <c r="R288" s="9"/>
      <c r="S288" s="8"/>
      <c r="T288" s="8"/>
      <c r="U288" s="8"/>
      <c r="V288" s="8"/>
      <c r="W288" s="8"/>
      <c r="X288" s="8"/>
      <c r="Y288" s="8"/>
      <c r="Z288" s="8"/>
      <c r="AA288" s="8"/>
      <c r="AB288" s="73"/>
      <c r="AC288" s="8"/>
      <c r="AD288" s="8"/>
      <c r="AE288" s="8"/>
      <c r="AF288" s="8"/>
      <c r="AG288" s="8"/>
      <c r="AH288" s="8"/>
      <c r="AI288" s="8"/>
      <c r="AJ288" s="8"/>
    </row>
    <row r="289" spans="7:36" ht="15" customHeight="1" x14ac:dyDescent="0.2">
      <c r="G289" s="10"/>
      <c r="H289" s="8"/>
      <c r="I289" s="8"/>
      <c r="J289" s="8"/>
      <c r="K289" s="67"/>
      <c r="L289" s="67"/>
      <c r="M289" s="67"/>
      <c r="N289" s="67"/>
      <c r="O289" s="67"/>
      <c r="P289" s="67"/>
      <c r="Q289" s="67"/>
      <c r="R289" s="67"/>
      <c r="S289" s="67"/>
      <c r="T289" s="67"/>
      <c r="U289" s="67"/>
      <c r="V289" s="67"/>
      <c r="W289" s="67"/>
      <c r="X289" s="67"/>
      <c r="Y289" s="67"/>
      <c r="Z289" s="67"/>
      <c r="AA289" s="67"/>
      <c r="AB289" s="67"/>
      <c r="AC289" s="67"/>
      <c r="AD289" s="67"/>
      <c r="AE289" s="67"/>
      <c r="AF289" s="67"/>
      <c r="AG289" s="67"/>
      <c r="AH289" s="67"/>
      <c r="AI289" s="67"/>
      <c r="AJ289" s="67"/>
    </row>
    <row r="290" spans="7:36" ht="15" customHeight="1" x14ac:dyDescent="0.2">
      <c r="G290" s="10"/>
      <c r="H290" s="8"/>
      <c r="I290" s="8"/>
      <c r="J290" s="8"/>
      <c r="K290" s="67"/>
      <c r="L290" s="67"/>
      <c r="M290" s="67"/>
      <c r="N290" s="67"/>
      <c r="O290" s="67"/>
      <c r="P290" s="67"/>
      <c r="Q290" s="67"/>
      <c r="R290" s="67"/>
      <c r="S290" s="67"/>
      <c r="T290" s="67"/>
      <c r="U290" s="67"/>
      <c r="V290" s="67"/>
      <c r="W290" s="67"/>
      <c r="X290" s="67"/>
      <c r="Y290" s="67"/>
      <c r="Z290" s="67"/>
      <c r="AA290" s="67"/>
      <c r="AB290" s="67"/>
      <c r="AC290" s="67"/>
      <c r="AD290" s="67"/>
      <c r="AE290" s="67"/>
      <c r="AF290" s="67"/>
      <c r="AG290" s="67"/>
      <c r="AH290" s="67"/>
      <c r="AI290" s="67"/>
      <c r="AJ290" s="67"/>
    </row>
    <row r="291" spans="7:36" ht="15" customHeight="1" x14ac:dyDescent="0.2">
      <c r="G291" s="10"/>
      <c r="H291" s="8"/>
      <c r="I291" s="8"/>
      <c r="J291" s="8"/>
      <c r="K291" s="67"/>
      <c r="L291" s="67"/>
      <c r="M291" s="67"/>
      <c r="N291" s="67"/>
      <c r="O291" s="67"/>
      <c r="P291" s="67"/>
      <c r="Q291" s="67"/>
      <c r="R291" s="67"/>
      <c r="S291" s="67"/>
      <c r="T291" s="67"/>
      <c r="U291" s="67"/>
      <c r="V291" s="67"/>
      <c r="W291" s="67"/>
      <c r="X291" s="67"/>
      <c r="Y291" s="67"/>
      <c r="Z291" s="67"/>
      <c r="AA291" s="67"/>
      <c r="AB291" s="67"/>
      <c r="AC291" s="67"/>
      <c r="AD291" s="67"/>
      <c r="AE291" s="67"/>
      <c r="AF291" s="67"/>
      <c r="AG291" s="67"/>
      <c r="AH291" s="67"/>
      <c r="AI291" s="67"/>
      <c r="AJ291" s="67"/>
    </row>
    <row r="292" spans="7:36" ht="15" customHeight="1" x14ac:dyDescent="0.2">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row>
    <row r="293" spans="7:36" ht="15" customHeight="1" x14ac:dyDescent="0.2">
      <c r="G293" s="162"/>
      <c r="H293" s="66"/>
      <c r="I293" s="66"/>
      <c r="J293" s="66"/>
      <c r="K293" s="66"/>
      <c r="L293" s="66"/>
      <c r="M293" s="66"/>
      <c r="N293" s="66"/>
      <c r="O293" s="66"/>
      <c r="P293" s="66"/>
      <c r="Q293" s="66"/>
      <c r="R293" s="66"/>
      <c r="S293" s="66"/>
      <c r="T293" s="66"/>
      <c r="U293" s="66"/>
      <c r="V293" s="66"/>
      <c r="W293" s="66"/>
      <c r="X293" s="66"/>
      <c r="Y293" s="66"/>
      <c r="Z293" s="66"/>
      <c r="AA293" s="66"/>
      <c r="AB293" s="66"/>
      <c r="AC293" s="66"/>
      <c r="AD293" s="66"/>
      <c r="AE293" s="66"/>
      <c r="AF293" s="66"/>
      <c r="AG293" s="66"/>
      <c r="AH293" s="66"/>
      <c r="AI293" s="66"/>
      <c r="AJ293" s="66"/>
    </row>
    <row r="294" spans="7:36" ht="15" customHeight="1" x14ac:dyDescent="0.2">
      <c r="G294" s="66"/>
      <c r="H294" s="66"/>
      <c r="I294" s="66"/>
      <c r="J294" s="66"/>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row>
    <row r="295" spans="7:36" ht="15" customHeight="1" x14ac:dyDescent="0.2">
      <c r="G295" s="66"/>
      <c r="H295" s="66"/>
      <c r="I295" s="66"/>
      <c r="J295" s="66"/>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row>
    <row r="296" spans="7:36" ht="15" customHeight="1" x14ac:dyDescent="0.2">
      <c r="G296" s="66"/>
      <c r="H296" s="66"/>
      <c r="I296" s="66"/>
      <c r="J296" s="66"/>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row>
    <row r="297" spans="7:36" ht="15" customHeight="1" x14ac:dyDescent="0.2">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row>
    <row r="298" spans="7:36" ht="15" customHeight="1" x14ac:dyDescent="0.2">
      <c r="G298" s="163"/>
      <c r="H298" s="164"/>
      <c r="I298" s="164"/>
      <c r="J298" s="164"/>
      <c r="K298" s="164"/>
      <c r="L298" s="164"/>
      <c r="M298" s="164"/>
      <c r="N298" s="164"/>
      <c r="O298" s="164"/>
      <c r="P298" s="164"/>
      <c r="Q298" s="164"/>
      <c r="R298" s="164"/>
      <c r="S298" s="164"/>
      <c r="T298" s="164"/>
      <c r="U298" s="164"/>
      <c r="V298" s="164"/>
      <c r="W298" s="164"/>
      <c r="X298" s="164"/>
      <c r="Y298" s="164"/>
      <c r="Z298" s="164"/>
      <c r="AA298" s="164"/>
      <c r="AB298" s="164"/>
      <c r="AC298" s="164"/>
      <c r="AD298" s="164"/>
      <c r="AE298" s="164"/>
      <c r="AF298" s="164"/>
      <c r="AG298" s="164"/>
      <c r="AH298" s="164"/>
      <c r="AI298" s="164"/>
      <c r="AJ298" s="164"/>
    </row>
    <row r="299" spans="7:36" ht="15" customHeight="1" x14ac:dyDescent="0.2">
      <c r="G299" s="164"/>
      <c r="H299" s="164"/>
      <c r="I299" s="164"/>
      <c r="J299" s="164"/>
      <c r="K299" s="165"/>
      <c r="L299" s="165"/>
      <c r="M299" s="165"/>
      <c r="N299" s="165"/>
      <c r="O299" s="165"/>
      <c r="P299" s="165"/>
      <c r="Q299" s="165"/>
      <c r="R299" s="165"/>
      <c r="S299" s="165"/>
      <c r="T299" s="165"/>
      <c r="U299" s="165"/>
      <c r="V299" s="165"/>
      <c r="W299" s="165"/>
      <c r="X299" s="165"/>
      <c r="Y299" s="165"/>
      <c r="Z299" s="165"/>
      <c r="AA299" s="165"/>
      <c r="AB299" s="165"/>
      <c r="AC299" s="165"/>
      <c r="AD299" s="165"/>
      <c r="AE299" s="165"/>
      <c r="AF299" s="165"/>
      <c r="AG299" s="165"/>
      <c r="AH299" s="165"/>
      <c r="AI299" s="165"/>
      <c r="AJ299" s="165"/>
    </row>
    <row r="300" spans="7:36" ht="15" customHeight="1" x14ac:dyDescent="0.2">
      <c r="G300" s="164"/>
      <c r="H300" s="164"/>
      <c r="I300" s="164"/>
      <c r="J300" s="164"/>
      <c r="K300" s="165"/>
      <c r="L300" s="165"/>
      <c r="M300" s="165"/>
      <c r="N300" s="165"/>
      <c r="O300" s="165"/>
      <c r="P300" s="165"/>
      <c r="Q300" s="165"/>
      <c r="R300" s="165"/>
      <c r="S300" s="165"/>
      <c r="T300" s="165"/>
      <c r="U300" s="165"/>
      <c r="V300" s="165"/>
      <c r="W300" s="165"/>
      <c r="X300" s="165"/>
      <c r="Y300" s="165"/>
      <c r="Z300" s="165"/>
      <c r="AA300" s="165"/>
      <c r="AB300" s="165"/>
      <c r="AC300" s="165"/>
      <c r="AD300" s="165"/>
      <c r="AE300" s="165"/>
      <c r="AF300" s="165"/>
      <c r="AG300" s="165"/>
      <c r="AH300" s="165"/>
      <c r="AI300" s="165"/>
      <c r="AJ300" s="165"/>
    </row>
    <row r="301" spans="7:36" ht="15" customHeight="1" x14ac:dyDescent="0.2">
      <c r="G301" s="164"/>
      <c r="H301" s="164"/>
      <c r="I301" s="164"/>
      <c r="J301" s="164"/>
      <c r="K301" s="165"/>
      <c r="L301" s="165"/>
      <c r="M301" s="165"/>
      <c r="N301" s="165"/>
      <c r="O301" s="165"/>
      <c r="P301" s="165"/>
      <c r="Q301" s="165"/>
      <c r="R301" s="165"/>
      <c r="S301" s="165"/>
      <c r="T301" s="165"/>
      <c r="U301" s="165"/>
      <c r="V301" s="165"/>
      <c r="W301" s="165"/>
      <c r="X301" s="165"/>
      <c r="Y301" s="165"/>
      <c r="Z301" s="165"/>
      <c r="AA301" s="165"/>
      <c r="AB301" s="165"/>
      <c r="AC301" s="165"/>
      <c r="AD301" s="165"/>
      <c r="AE301" s="165"/>
      <c r="AF301" s="165"/>
      <c r="AG301" s="165"/>
      <c r="AH301" s="165"/>
      <c r="AI301" s="165"/>
      <c r="AJ301" s="165"/>
    </row>
  </sheetData>
  <mergeCells count="18">
    <mergeCell ref="G1:H3"/>
    <mergeCell ref="W45:X46"/>
    <mergeCell ref="W38:X39"/>
    <mergeCell ref="W13:X14"/>
    <mergeCell ref="W18:X19"/>
    <mergeCell ref="N10:T10"/>
    <mergeCell ref="N26:T26"/>
    <mergeCell ref="W23:X24"/>
    <mergeCell ref="W28:X29"/>
    <mergeCell ref="W33:X34"/>
    <mergeCell ref="W5:X7"/>
    <mergeCell ref="G5:H7"/>
    <mergeCell ref="O46:T50"/>
    <mergeCell ref="A1:E3"/>
    <mergeCell ref="B10:D10"/>
    <mergeCell ref="B31:D32"/>
    <mergeCell ref="B7:D7"/>
    <mergeCell ref="B26:D27"/>
  </mergeCells>
  <conditionalFormatting sqref="G10">
    <cfRule type="expression" dxfId="24" priority="4">
      <formula>#REF!="No"</formula>
    </cfRule>
  </conditionalFormatting>
  <conditionalFormatting sqref="G17">
    <cfRule type="expression" dxfId="23" priority="38">
      <formula>#REF!="No"</formula>
    </cfRule>
  </conditionalFormatting>
  <conditionalFormatting sqref="G20">
    <cfRule type="expression" dxfId="22" priority="37">
      <formula>#REF!="No"</formula>
    </cfRule>
  </conditionalFormatting>
  <conditionalFormatting sqref="G26">
    <cfRule type="expression" dxfId="21" priority="36">
      <formula>#REF!="No"</formula>
    </cfRule>
  </conditionalFormatting>
  <conditionalFormatting sqref="G32">
    <cfRule type="expression" dxfId="20" priority="34">
      <formula>#REF!="No"</formula>
    </cfRule>
    <cfRule type="expression" dxfId="19" priority="35">
      <formula>#REF!="No"</formula>
    </cfRule>
  </conditionalFormatting>
  <conditionalFormatting sqref="G36">
    <cfRule type="expression" dxfId="18" priority="28">
      <formula>#REF!="No"</formula>
    </cfRule>
  </conditionalFormatting>
  <conditionalFormatting sqref="G38">
    <cfRule type="expression" dxfId="17" priority="8">
      <formula>#REF!="No"</formula>
    </cfRule>
  </conditionalFormatting>
  <conditionalFormatting sqref="G67">
    <cfRule type="expression" dxfId="16" priority="6">
      <formula>#REF!="No"</formula>
    </cfRule>
  </conditionalFormatting>
  <conditionalFormatting sqref="N10">
    <cfRule type="expression" dxfId="15" priority="3">
      <formula>#REF!="No"</formula>
    </cfRule>
  </conditionalFormatting>
  <conditionalFormatting sqref="N26">
    <cfRule type="expression" dxfId="14" priority="2">
      <formula>#REF!="No"</formula>
    </cfRule>
  </conditionalFormatting>
  <conditionalFormatting sqref="O38">
    <cfRule type="expression" dxfId="13" priority="27">
      <formula>#REF!="No"</formula>
    </cfRule>
  </conditionalFormatting>
  <conditionalFormatting sqref="V10">
    <cfRule type="expression" dxfId="12" priority="10">
      <formula>#REF!="No"</formula>
    </cfRule>
    <cfRule type="expression" dxfId="11" priority="11">
      <formula>#REF!="No"</formula>
    </cfRule>
  </conditionalFormatting>
  <conditionalFormatting sqref="W13">
    <cfRule type="dataBar" priority="19">
      <dataBar showValue="0">
        <cfvo type="num" val="0"/>
        <cfvo type="num" val="23"/>
        <color theme="9" tint="0.39997558519241921"/>
      </dataBar>
      <extLst>
        <ext xmlns:x14="http://schemas.microsoft.com/office/spreadsheetml/2009/9/main" uri="{B025F937-C7B1-47D3-B67F-A62EFF666E3E}">
          <x14:id>{CFDBA95E-8C85-4D7A-B08E-5B228029BAE2}</x14:id>
        </ext>
      </extLst>
    </cfRule>
  </conditionalFormatting>
  <conditionalFormatting sqref="W18">
    <cfRule type="dataBar" priority="13">
      <dataBar showValue="0">
        <cfvo type="num" val="0"/>
        <cfvo type="num" val="23"/>
        <color theme="9" tint="0.39997558519241921"/>
      </dataBar>
      <extLst>
        <ext xmlns:x14="http://schemas.microsoft.com/office/spreadsheetml/2009/9/main" uri="{B025F937-C7B1-47D3-B67F-A62EFF666E3E}">
          <x14:id>{8B50D97E-D1CA-4AB7-B07C-788EEE918B36}</x14:id>
        </ext>
      </extLst>
    </cfRule>
  </conditionalFormatting>
  <conditionalFormatting sqref="W23">
    <cfRule type="dataBar" priority="12">
      <dataBar showValue="0">
        <cfvo type="num" val="0"/>
        <cfvo type="num" val="23"/>
        <color theme="9" tint="0.39997558519241921"/>
      </dataBar>
      <extLst>
        <ext xmlns:x14="http://schemas.microsoft.com/office/spreadsheetml/2009/9/main" uri="{B025F937-C7B1-47D3-B67F-A62EFF666E3E}">
          <x14:id>{21FCFE01-7F94-479D-A22B-94905FE7B18D}</x14:id>
        </ext>
      </extLst>
    </cfRule>
  </conditionalFormatting>
  <conditionalFormatting sqref="W28">
    <cfRule type="dataBar" priority="18">
      <dataBar showValue="0">
        <cfvo type="num" val="0"/>
        <cfvo type="num" val="23"/>
        <color theme="9" tint="0.39997558519241921"/>
      </dataBar>
      <extLst>
        <ext xmlns:x14="http://schemas.microsoft.com/office/spreadsheetml/2009/9/main" uri="{B025F937-C7B1-47D3-B67F-A62EFF666E3E}">
          <x14:id>{85BD9477-7ED1-4EDD-A90F-012B078C3871}</x14:id>
        </ext>
      </extLst>
    </cfRule>
  </conditionalFormatting>
  <conditionalFormatting sqref="W33">
    <cfRule type="dataBar" priority="17">
      <dataBar showValue="0">
        <cfvo type="num" val="0"/>
        <cfvo type="num" val="23"/>
        <color theme="9" tint="0.39997558519241921"/>
      </dataBar>
      <extLst>
        <ext xmlns:x14="http://schemas.microsoft.com/office/spreadsheetml/2009/9/main" uri="{B025F937-C7B1-47D3-B67F-A62EFF666E3E}">
          <x14:id>{AD03DE09-7206-41DC-B90A-6EC5CBC67396}</x14:id>
        </ext>
      </extLst>
    </cfRule>
  </conditionalFormatting>
  <conditionalFormatting sqref="W38">
    <cfRule type="dataBar" priority="16">
      <dataBar showValue="0">
        <cfvo type="num" val="0"/>
        <cfvo type="num" val="23"/>
        <color theme="9" tint="0.39997558519241921"/>
      </dataBar>
      <extLst>
        <ext xmlns:x14="http://schemas.microsoft.com/office/spreadsheetml/2009/9/main" uri="{B025F937-C7B1-47D3-B67F-A62EFF666E3E}">
          <x14:id>{D0A06650-597A-40FE-9049-49F6C2CED36D}</x14:id>
        </ext>
      </extLst>
    </cfRule>
  </conditionalFormatting>
  <conditionalFormatting sqref="W45">
    <cfRule type="dataBar" priority="1">
      <dataBar showValue="0">
        <cfvo type="num" val="0"/>
        <cfvo type="num" val="23"/>
        <color theme="9" tint="0.39997558519241921"/>
      </dataBar>
      <extLst>
        <ext xmlns:x14="http://schemas.microsoft.com/office/spreadsheetml/2009/9/main" uri="{B025F937-C7B1-47D3-B67F-A62EFF666E3E}">
          <x14:id>{73416D06-17B5-4153-8631-74FA98365496}</x14:id>
        </ext>
      </extLst>
    </cfRule>
  </conditionalFormatting>
  <conditionalFormatting sqref="X12">
    <cfRule type="dataBar" priority="20">
      <dataBar showValue="0">
        <cfvo type="percent" val="0"/>
        <cfvo type="percent" val="100"/>
        <color theme="9" tint="0.39997558519241921"/>
      </dataBar>
      <extLst>
        <ext xmlns:x14="http://schemas.microsoft.com/office/spreadsheetml/2009/9/main" uri="{B025F937-C7B1-47D3-B67F-A62EFF666E3E}">
          <x14:id>{B1E56C1D-6BD8-4AAF-8190-2519F54D5DB5}</x14:id>
        </ext>
      </extLst>
    </cfRule>
  </conditionalFormatting>
  <conditionalFormatting sqref="X17">
    <cfRule type="dataBar" priority="26">
      <dataBar showValue="0">
        <cfvo type="percent" val="0"/>
        <cfvo type="percent" val="100"/>
        <color theme="9" tint="0.39997558519241921"/>
      </dataBar>
      <extLst>
        <ext xmlns:x14="http://schemas.microsoft.com/office/spreadsheetml/2009/9/main" uri="{B025F937-C7B1-47D3-B67F-A62EFF666E3E}">
          <x14:id>{10D31BF4-88BB-4CB4-827F-6E9BEAF92EB2}</x14:id>
        </ext>
      </extLst>
    </cfRule>
  </conditionalFormatting>
  <conditionalFormatting sqref="X22">
    <cfRule type="dataBar" priority="25">
      <dataBar showValue="0">
        <cfvo type="percent" val="0"/>
        <cfvo type="percent" val="100"/>
        <color theme="9" tint="0.39997558519241921"/>
      </dataBar>
      <extLst>
        <ext xmlns:x14="http://schemas.microsoft.com/office/spreadsheetml/2009/9/main" uri="{B025F937-C7B1-47D3-B67F-A62EFF666E3E}">
          <x14:id>{06E3B1B0-136E-407D-9901-1058DB01856E}</x14:id>
        </ext>
      </extLst>
    </cfRule>
  </conditionalFormatting>
  <conditionalFormatting sqref="X27">
    <cfRule type="dataBar" priority="24">
      <dataBar showValue="0">
        <cfvo type="percent" val="0"/>
        <cfvo type="percent" val="100"/>
        <color theme="9" tint="0.39997558519241921"/>
      </dataBar>
      <extLst>
        <ext xmlns:x14="http://schemas.microsoft.com/office/spreadsheetml/2009/9/main" uri="{B025F937-C7B1-47D3-B67F-A62EFF666E3E}">
          <x14:id>{6EE41F34-AD22-4C4C-8828-E49039FC2CBE}</x14:id>
        </ext>
      </extLst>
    </cfRule>
  </conditionalFormatting>
  <conditionalFormatting sqref="X32">
    <cfRule type="dataBar" priority="23">
      <dataBar showValue="0">
        <cfvo type="percent" val="0"/>
        <cfvo type="percent" val="100"/>
        <color theme="9" tint="0.39997558519241921"/>
      </dataBar>
      <extLst>
        <ext xmlns:x14="http://schemas.microsoft.com/office/spreadsheetml/2009/9/main" uri="{B025F937-C7B1-47D3-B67F-A62EFF666E3E}">
          <x14:id>{A13AFEB1-DEFE-44B9-9F64-E2D6CB742AAF}</x14:id>
        </ext>
      </extLst>
    </cfRule>
  </conditionalFormatting>
  <conditionalFormatting sqref="X37">
    <cfRule type="dataBar" priority="22">
      <dataBar showValue="0">
        <cfvo type="percent" val="0"/>
        <cfvo type="percent" val="100"/>
        <color theme="9" tint="0.39997558519241921"/>
      </dataBar>
      <extLst>
        <ext xmlns:x14="http://schemas.microsoft.com/office/spreadsheetml/2009/9/main" uri="{B025F937-C7B1-47D3-B67F-A62EFF666E3E}">
          <x14:id>{C8DEA531-4996-4165-AAB3-C025A1833950}</x14:id>
        </ext>
      </extLst>
    </cfRule>
  </conditionalFormatting>
  <conditionalFormatting sqref="X71:X73">
    <cfRule type="dataBar" priority="21">
      <dataBar showValue="0">
        <cfvo type="percent" val="0"/>
        <cfvo type="percent" val="100"/>
        <color theme="9" tint="0.39997558519241921"/>
      </dataBar>
      <extLst>
        <ext xmlns:x14="http://schemas.microsoft.com/office/spreadsheetml/2009/9/main" uri="{B025F937-C7B1-47D3-B67F-A62EFF666E3E}">
          <x14:id>{51759693-389B-4A7D-A640-E140900ACFE9}</x14:id>
        </ext>
      </extLst>
    </cfRule>
  </conditionalFormatting>
  <dataValidations disablePrompts="1" count="1">
    <dataValidation type="list" allowBlank="1" showInputMessage="1" showErrorMessage="1" sqref="H27 H18 H21 H24" xr:uid="{00000000-0002-0000-1000-000000000000}">
      <formula1>"TBC, A, B, C"</formula1>
    </dataValidation>
  </dataValidations>
  <hyperlinks>
    <hyperlink ref="W5:X7" location="Data!A1" display="Data" xr:uid="{00000000-0004-0000-1000-000000000000}"/>
    <hyperlink ref="B12" location="Step1!A1" display="Step 1" xr:uid="{00000000-0004-0000-1000-000001000000}"/>
    <hyperlink ref="B10" location="Home!A1" display="HOME" xr:uid="{00000000-0004-0000-1000-000002000000}"/>
    <hyperlink ref="B16" location="Complex3Step3!A1" display="STEP 3" xr:uid="{00000000-0004-0000-1000-000003000000}"/>
    <hyperlink ref="B18" location="Data!A1" display="DATA" xr:uid="{00000000-0004-0000-1000-000004000000}"/>
    <hyperlink ref="O46:T50" location="ComplexOutputs!A1" display="ComplexOutputs!A1" xr:uid="{00000000-0004-0000-1000-000005000000}"/>
  </hyperlinks>
  <pageMargins left="0.25" right="0.25" top="0.75" bottom="0.75" header="0.3" footer="0.3"/>
  <pageSetup paperSize="8" scale="76" orientation="landscape" r:id="rId1"/>
  <rowBreaks count="1" manualBreakCount="1">
    <brk id="131" max="36" man="1"/>
  </rowBreaks>
  <colBreaks count="1" manualBreakCount="1">
    <brk id="37" max="1048575" man="1"/>
  </colBreaks>
  <drawing r:id="rId2"/>
  <legacyDrawing r:id="rId3"/>
  <extLst>
    <ext xmlns:x14="http://schemas.microsoft.com/office/spreadsheetml/2009/9/main" uri="{78C0D931-6437-407d-A8EE-F0AAD7539E65}">
      <x14:conditionalFormattings>
        <x14:conditionalFormatting xmlns:xm="http://schemas.microsoft.com/office/excel/2006/main">
          <x14:cfRule type="dataBar" id="{CFDBA95E-8C85-4D7A-B08E-5B228029BAE2}">
            <x14:dataBar minLength="0" maxLength="100" gradient="0">
              <x14:cfvo type="num">
                <xm:f>0</xm:f>
              </x14:cfvo>
              <x14:cfvo type="num">
                <xm:f>23</xm:f>
              </x14:cfvo>
              <x14:negativeFillColor rgb="FFFF0000"/>
              <x14:axisColor rgb="FF000000"/>
            </x14:dataBar>
          </x14:cfRule>
          <xm:sqref>W13</xm:sqref>
        </x14:conditionalFormatting>
        <x14:conditionalFormatting xmlns:xm="http://schemas.microsoft.com/office/excel/2006/main">
          <x14:cfRule type="dataBar" id="{8B50D97E-D1CA-4AB7-B07C-788EEE918B36}">
            <x14:dataBar minLength="0" maxLength="100" gradient="0">
              <x14:cfvo type="num">
                <xm:f>0</xm:f>
              </x14:cfvo>
              <x14:cfvo type="num">
                <xm:f>23</xm:f>
              </x14:cfvo>
              <x14:negativeFillColor rgb="FFFF0000"/>
              <x14:axisColor rgb="FF000000"/>
            </x14:dataBar>
          </x14:cfRule>
          <xm:sqref>W18</xm:sqref>
        </x14:conditionalFormatting>
        <x14:conditionalFormatting xmlns:xm="http://schemas.microsoft.com/office/excel/2006/main">
          <x14:cfRule type="dataBar" id="{21FCFE01-7F94-479D-A22B-94905FE7B18D}">
            <x14:dataBar minLength="0" maxLength="100" gradient="0">
              <x14:cfvo type="num">
                <xm:f>0</xm:f>
              </x14:cfvo>
              <x14:cfvo type="num">
                <xm:f>23</xm:f>
              </x14:cfvo>
              <x14:negativeFillColor rgb="FFFF0000"/>
              <x14:axisColor rgb="FF000000"/>
            </x14:dataBar>
          </x14:cfRule>
          <xm:sqref>W23</xm:sqref>
        </x14:conditionalFormatting>
        <x14:conditionalFormatting xmlns:xm="http://schemas.microsoft.com/office/excel/2006/main">
          <x14:cfRule type="dataBar" id="{85BD9477-7ED1-4EDD-A90F-012B078C3871}">
            <x14:dataBar minLength="0" maxLength="100" gradient="0">
              <x14:cfvo type="num">
                <xm:f>0</xm:f>
              </x14:cfvo>
              <x14:cfvo type="num">
                <xm:f>23</xm:f>
              </x14:cfvo>
              <x14:negativeFillColor rgb="FFFF0000"/>
              <x14:axisColor rgb="FF000000"/>
            </x14:dataBar>
          </x14:cfRule>
          <xm:sqref>W28</xm:sqref>
        </x14:conditionalFormatting>
        <x14:conditionalFormatting xmlns:xm="http://schemas.microsoft.com/office/excel/2006/main">
          <x14:cfRule type="dataBar" id="{AD03DE09-7206-41DC-B90A-6EC5CBC67396}">
            <x14:dataBar minLength="0" maxLength="100" gradient="0">
              <x14:cfvo type="num">
                <xm:f>0</xm:f>
              </x14:cfvo>
              <x14:cfvo type="num">
                <xm:f>23</xm:f>
              </x14:cfvo>
              <x14:negativeFillColor rgb="FFFF0000"/>
              <x14:axisColor rgb="FF000000"/>
            </x14:dataBar>
          </x14:cfRule>
          <xm:sqref>W33</xm:sqref>
        </x14:conditionalFormatting>
        <x14:conditionalFormatting xmlns:xm="http://schemas.microsoft.com/office/excel/2006/main">
          <x14:cfRule type="dataBar" id="{D0A06650-597A-40FE-9049-49F6C2CED36D}">
            <x14:dataBar minLength="0" maxLength="100" gradient="0">
              <x14:cfvo type="num">
                <xm:f>0</xm:f>
              </x14:cfvo>
              <x14:cfvo type="num">
                <xm:f>23</xm:f>
              </x14:cfvo>
              <x14:negativeFillColor rgb="FFFF0000"/>
              <x14:axisColor rgb="FF000000"/>
            </x14:dataBar>
          </x14:cfRule>
          <xm:sqref>W38</xm:sqref>
        </x14:conditionalFormatting>
        <x14:conditionalFormatting xmlns:xm="http://schemas.microsoft.com/office/excel/2006/main">
          <x14:cfRule type="dataBar" id="{73416D06-17B5-4153-8631-74FA98365496}">
            <x14:dataBar minLength="0" maxLength="100" gradient="0">
              <x14:cfvo type="num">
                <xm:f>0</xm:f>
              </x14:cfvo>
              <x14:cfvo type="num">
                <xm:f>23</xm:f>
              </x14:cfvo>
              <x14:negativeFillColor rgb="FFFF0000"/>
              <x14:axisColor rgb="FF000000"/>
            </x14:dataBar>
          </x14:cfRule>
          <xm:sqref>W45</xm:sqref>
        </x14:conditionalFormatting>
        <x14:conditionalFormatting xmlns:xm="http://schemas.microsoft.com/office/excel/2006/main">
          <x14:cfRule type="dataBar" id="{B1E56C1D-6BD8-4AAF-8190-2519F54D5DB5}">
            <x14:dataBar minLength="0" maxLength="100" gradient="0">
              <x14:cfvo type="percent">
                <xm:f>0</xm:f>
              </x14:cfvo>
              <x14:cfvo type="percent">
                <xm:f>100</xm:f>
              </x14:cfvo>
              <x14:negativeFillColor rgb="FFFF0000"/>
              <x14:axisColor rgb="FF000000"/>
            </x14:dataBar>
          </x14:cfRule>
          <xm:sqref>X12</xm:sqref>
        </x14:conditionalFormatting>
        <x14:conditionalFormatting xmlns:xm="http://schemas.microsoft.com/office/excel/2006/main">
          <x14:cfRule type="dataBar" id="{10D31BF4-88BB-4CB4-827F-6E9BEAF92EB2}">
            <x14:dataBar minLength="0" maxLength="100" gradient="0">
              <x14:cfvo type="percent">
                <xm:f>0</xm:f>
              </x14:cfvo>
              <x14:cfvo type="percent">
                <xm:f>100</xm:f>
              </x14:cfvo>
              <x14:negativeFillColor rgb="FFFF0000"/>
              <x14:axisColor rgb="FF000000"/>
            </x14:dataBar>
          </x14:cfRule>
          <xm:sqref>X17</xm:sqref>
        </x14:conditionalFormatting>
        <x14:conditionalFormatting xmlns:xm="http://schemas.microsoft.com/office/excel/2006/main">
          <x14:cfRule type="dataBar" id="{06E3B1B0-136E-407D-9901-1058DB01856E}">
            <x14:dataBar minLength="0" maxLength="100" gradient="0">
              <x14:cfvo type="percent">
                <xm:f>0</xm:f>
              </x14:cfvo>
              <x14:cfvo type="percent">
                <xm:f>100</xm:f>
              </x14:cfvo>
              <x14:negativeFillColor rgb="FFFF0000"/>
              <x14:axisColor rgb="FF000000"/>
            </x14:dataBar>
          </x14:cfRule>
          <xm:sqref>X22</xm:sqref>
        </x14:conditionalFormatting>
        <x14:conditionalFormatting xmlns:xm="http://schemas.microsoft.com/office/excel/2006/main">
          <x14:cfRule type="dataBar" id="{6EE41F34-AD22-4C4C-8828-E49039FC2CBE}">
            <x14:dataBar minLength="0" maxLength="100" gradient="0">
              <x14:cfvo type="percent">
                <xm:f>0</xm:f>
              </x14:cfvo>
              <x14:cfvo type="percent">
                <xm:f>100</xm:f>
              </x14:cfvo>
              <x14:negativeFillColor rgb="FFFF0000"/>
              <x14:axisColor rgb="FF000000"/>
            </x14:dataBar>
          </x14:cfRule>
          <xm:sqref>X27</xm:sqref>
        </x14:conditionalFormatting>
        <x14:conditionalFormatting xmlns:xm="http://schemas.microsoft.com/office/excel/2006/main">
          <x14:cfRule type="dataBar" id="{A13AFEB1-DEFE-44B9-9F64-E2D6CB742AAF}">
            <x14:dataBar minLength="0" maxLength="100" gradient="0">
              <x14:cfvo type="percent">
                <xm:f>0</xm:f>
              </x14:cfvo>
              <x14:cfvo type="percent">
                <xm:f>100</xm:f>
              </x14:cfvo>
              <x14:negativeFillColor rgb="FFFF0000"/>
              <x14:axisColor rgb="FF000000"/>
            </x14:dataBar>
          </x14:cfRule>
          <xm:sqref>X32</xm:sqref>
        </x14:conditionalFormatting>
        <x14:conditionalFormatting xmlns:xm="http://schemas.microsoft.com/office/excel/2006/main">
          <x14:cfRule type="dataBar" id="{C8DEA531-4996-4165-AAB3-C025A1833950}">
            <x14:dataBar minLength="0" maxLength="100" gradient="0">
              <x14:cfvo type="percent">
                <xm:f>0</xm:f>
              </x14:cfvo>
              <x14:cfvo type="percent">
                <xm:f>100</xm:f>
              </x14:cfvo>
              <x14:negativeFillColor rgb="FFFF0000"/>
              <x14:axisColor rgb="FF000000"/>
            </x14:dataBar>
          </x14:cfRule>
          <xm:sqref>X37</xm:sqref>
        </x14:conditionalFormatting>
        <x14:conditionalFormatting xmlns:xm="http://schemas.microsoft.com/office/excel/2006/main">
          <x14:cfRule type="dataBar" id="{51759693-389B-4A7D-A640-E140900ACFE9}">
            <x14:dataBar minLength="0" maxLength="100" gradient="0">
              <x14:cfvo type="percent">
                <xm:f>0</xm:f>
              </x14:cfvo>
              <x14:cfvo type="percent">
                <xm:f>100</xm:f>
              </x14:cfvo>
              <x14:negativeFillColor rgb="FFFF0000"/>
              <x14:axisColor rgb="FF000000"/>
            </x14:dataBar>
          </x14:cfRule>
          <xm:sqref>X71:X73</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W205"/>
  <sheetViews>
    <sheetView showGridLines="0" zoomScale="70" zoomScaleNormal="70" zoomScaleSheetLayoutView="115" workbookViewId="0">
      <selection activeCell="G5" sqref="G5:H7"/>
    </sheetView>
  </sheetViews>
  <sheetFormatPr defaultColWidth="8.7109375" defaultRowHeight="15" customHeight="1" x14ac:dyDescent="0.2"/>
  <cols>
    <col min="1" max="1" width="3.7109375" style="47" customWidth="1"/>
    <col min="2" max="2" width="8.85546875" style="62" customWidth="1"/>
    <col min="3" max="3" width="8.7109375" style="481" customWidth="1"/>
    <col min="4" max="4" width="8.7109375" style="49" customWidth="1"/>
    <col min="5" max="5" width="3.7109375" style="48" customWidth="1"/>
    <col min="6" max="6" width="8.7109375" style="8"/>
    <col min="7" max="7" width="8.7109375" style="10"/>
    <col min="8" max="10" width="8.7109375" style="8"/>
    <col min="11" max="11" width="3.7109375" style="45" customWidth="1"/>
    <col min="12" max="14" width="20.7109375" style="8" customWidth="1"/>
    <col min="15" max="15" width="8.7109375" style="87"/>
    <col min="16" max="16" width="8.7109375" style="8"/>
    <col min="17" max="17" width="8.7109375" style="9"/>
    <col min="18" max="20" width="8.7109375" style="8"/>
    <col min="21" max="16384" width="8.7109375" style="1"/>
  </cols>
  <sheetData>
    <row r="1" spans="1:23" ht="15" customHeight="1" x14ac:dyDescent="0.2">
      <c r="A1" s="1022"/>
      <c r="B1" s="1022"/>
      <c r="C1" s="1022"/>
      <c r="D1" s="1022"/>
      <c r="E1" s="1022"/>
      <c r="G1" s="1024" t="s">
        <v>559</v>
      </c>
      <c r="H1" s="1024"/>
      <c r="I1" s="1024"/>
    </row>
    <row r="2" spans="1:23" ht="15" customHeight="1" x14ac:dyDescent="0.2">
      <c r="A2" s="1022"/>
      <c r="B2" s="1022"/>
      <c r="C2" s="1022"/>
      <c r="D2" s="1022"/>
      <c r="E2" s="1022"/>
      <c r="G2" s="1024"/>
      <c r="H2" s="1024"/>
      <c r="I2" s="1024"/>
      <c r="J2" s="63"/>
      <c r="K2" s="116"/>
      <c r="L2" s="477"/>
      <c r="M2" s="63"/>
      <c r="N2" s="63"/>
      <c r="O2" s="478"/>
      <c r="P2" s="21"/>
    </row>
    <row r="3" spans="1:23" ht="15" customHeight="1" x14ac:dyDescent="0.2">
      <c r="A3" s="1022"/>
      <c r="B3" s="1022"/>
      <c r="C3" s="1022"/>
      <c r="D3" s="1022"/>
      <c r="E3" s="1022"/>
      <c r="G3" s="1024"/>
      <c r="H3" s="1024"/>
      <c r="I3" s="1024"/>
    </row>
    <row r="4" spans="1:23" ht="15" customHeight="1" x14ac:dyDescent="0.2">
      <c r="A4" s="618"/>
      <c r="B4" s="618"/>
      <c r="C4" s="618"/>
      <c r="D4" s="618"/>
      <c r="E4" s="618"/>
      <c r="G4" s="619"/>
      <c r="H4" s="619"/>
      <c r="I4" s="619"/>
    </row>
    <row r="5" spans="1:23" ht="15" customHeight="1" x14ac:dyDescent="0.2">
      <c r="A5" s="669"/>
      <c r="B5" s="62" t="s">
        <v>251</v>
      </c>
      <c r="C5" s="669"/>
      <c r="D5" s="669"/>
      <c r="E5" s="669"/>
      <c r="G5" s="1020" t="s">
        <v>202</v>
      </c>
      <c r="H5" s="1020"/>
    </row>
    <row r="6" spans="1:23" ht="15" customHeight="1" x14ac:dyDescent="0.2">
      <c r="A6" s="669"/>
      <c r="C6" s="48"/>
      <c r="E6" s="669"/>
      <c r="G6" s="1020"/>
      <c r="H6" s="1020"/>
      <c r="K6" s="8"/>
      <c r="V6" s="479"/>
      <c r="W6" s="479"/>
    </row>
    <row r="7" spans="1:23" ht="15" customHeight="1" x14ac:dyDescent="0.2">
      <c r="A7" s="669"/>
      <c r="B7" s="1023" t="str">
        <f>IF(Step1!K12="New building",Step1!Q12,Step1!K15)</f>
        <v>1-19 Torrington Place</v>
      </c>
      <c r="C7" s="1023"/>
      <c r="D7" s="1023"/>
      <c r="E7" s="669"/>
      <c r="G7" s="1020"/>
      <c r="H7" s="1020"/>
      <c r="I7" s="22"/>
      <c r="J7" s="22"/>
      <c r="K7" s="8"/>
      <c r="V7" s="479"/>
      <c r="W7" s="479"/>
    </row>
    <row r="8" spans="1:23" ht="15" customHeight="1" x14ac:dyDescent="0.2">
      <c r="B8" s="89"/>
      <c r="C8" s="48"/>
      <c r="G8" s="285"/>
      <c r="Q8" s="8"/>
    </row>
    <row r="9" spans="1:23" ht="15" customHeight="1" x14ac:dyDescent="0.2">
      <c r="B9" s="89"/>
      <c r="C9" s="48"/>
      <c r="N9" s="706"/>
      <c r="O9" s="708"/>
      <c r="Q9" s="8"/>
    </row>
    <row r="10" spans="1:23" ht="15" customHeight="1" x14ac:dyDescent="0.2">
      <c r="B10" s="89"/>
      <c r="C10" s="48"/>
      <c r="H10" s="983" t="s">
        <v>689</v>
      </c>
      <c r="N10" s="706"/>
      <c r="O10" s="708"/>
      <c r="Q10" s="8"/>
    </row>
    <row r="11" spans="1:23" ht="15" customHeight="1" x14ac:dyDescent="0.2">
      <c r="B11" s="89"/>
      <c r="C11" s="48"/>
      <c r="N11" s="706"/>
      <c r="O11" s="708"/>
      <c r="Q11" s="8"/>
    </row>
    <row r="12" spans="1:23" ht="15" customHeight="1" x14ac:dyDescent="0.3">
      <c r="B12" s="1039"/>
      <c r="C12" s="1039"/>
      <c r="D12" s="1039"/>
      <c r="G12" s="756"/>
      <c r="O12" s="707"/>
      <c r="P12" s="686"/>
      <c r="Q12" s="686"/>
      <c r="R12" s="686"/>
      <c r="S12" s="686"/>
      <c r="T12" s="687"/>
      <c r="U12" s="686"/>
      <c r="V12" s="688"/>
      <c r="W12" s="688"/>
    </row>
    <row r="13" spans="1:23" ht="15" customHeight="1" x14ac:dyDescent="0.3">
      <c r="B13" s="588"/>
      <c r="C13" s="593"/>
      <c r="D13" s="594"/>
      <c r="H13" s="88" t="s">
        <v>562</v>
      </c>
      <c r="I13" s="88"/>
      <c r="J13" s="88"/>
      <c r="K13" s="88"/>
      <c r="L13" s="88"/>
      <c r="M13" s="88"/>
      <c r="N13" s="974" t="str">
        <f>Home!$W$1</f>
        <v>BETA</v>
      </c>
    </row>
    <row r="14" spans="1:23" ht="15" customHeight="1" x14ac:dyDescent="0.3">
      <c r="B14" s="199"/>
      <c r="C14" s="595"/>
      <c r="D14" s="594"/>
      <c r="H14" s="10"/>
      <c r="I14" s="10"/>
      <c r="J14" s="10"/>
      <c r="K14" s="10"/>
      <c r="L14" s="10"/>
      <c r="M14" s="10"/>
      <c r="N14" s="10"/>
    </row>
    <row r="15" spans="1:23" ht="15" customHeight="1" x14ac:dyDescent="0.3">
      <c r="B15" s="588"/>
      <c r="C15" s="597"/>
      <c r="D15" s="594"/>
      <c r="H15" s="421"/>
      <c r="I15" s="421"/>
      <c r="J15" s="421"/>
      <c r="K15" s="421"/>
      <c r="L15" s="806" t="s">
        <v>553</v>
      </c>
      <c r="M15" s="806" t="s">
        <v>563</v>
      </c>
      <c r="N15" s="806" t="s">
        <v>564</v>
      </c>
    </row>
    <row r="16" spans="1:23" ht="15" customHeight="1" x14ac:dyDescent="0.3">
      <c r="B16" s="199"/>
      <c r="C16" s="593"/>
      <c r="D16" s="594"/>
      <c r="H16" s="488" t="s">
        <v>572</v>
      </c>
      <c r="I16" s="445"/>
      <c r="J16" s="445"/>
      <c r="K16" s="445"/>
      <c r="L16" s="80">
        <f>ComplexAt2Step2!AJ112</f>
        <v>0</v>
      </c>
      <c r="M16" s="80">
        <f>ComplexAt2Step2!AJ136</f>
        <v>0</v>
      </c>
      <c r="N16" s="807">
        <f>ComplexAt2Step2!AJ160</f>
        <v>0</v>
      </c>
    </row>
    <row r="17" spans="1:20" ht="15" customHeight="1" x14ac:dyDescent="0.3">
      <c r="B17" s="589"/>
      <c r="C17" s="593"/>
      <c r="D17" s="617"/>
      <c r="H17" s="421"/>
      <c r="I17" s="421"/>
      <c r="J17" s="421"/>
      <c r="K17" s="421"/>
      <c r="L17" s="10"/>
      <c r="M17" s="70"/>
      <c r="N17" s="70"/>
      <c r="O17" s="757"/>
      <c r="P17" s="1"/>
      <c r="Q17" s="1"/>
      <c r="R17" s="10"/>
      <c r="S17" s="1"/>
      <c r="T17" s="1"/>
    </row>
    <row r="18" spans="1:20" ht="15" customHeight="1" x14ac:dyDescent="0.3">
      <c r="B18" s="199"/>
      <c r="C18" s="593"/>
      <c r="D18" s="617"/>
      <c r="H18" s="421"/>
      <c r="I18" s="421"/>
      <c r="J18" s="421"/>
      <c r="K18" s="421"/>
      <c r="L18" s="10"/>
      <c r="M18" s="70"/>
      <c r="N18" s="70"/>
      <c r="O18" s="709"/>
      <c r="P18" s="1"/>
      <c r="Q18" s="1"/>
      <c r="R18" s="10"/>
      <c r="S18" s="1"/>
      <c r="T18" s="1"/>
    </row>
    <row r="19" spans="1:20" ht="15" customHeight="1" x14ac:dyDescent="0.3">
      <c r="B19" s="590"/>
      <c r="C19" s="593"/>
      <c r="D19" s="617"/>
      <c r="H19" s="421"/>
      <c r="I19" s="421"/>
      <c r="J19" s="421"/>
      <c r="K19" s="421"/>
      <c r="L19" s="10"/>
      <c r="M19" s="70"/>
      <c r="N19" s="70"/>
      <c r="P19" s="1"/>
      <c r="Q19" s="1"/>
      <c r="R19" s="10"/>
      <c r="S19" s="1"/>
      <c r="T19" s="1"/>
    </row>
    <row r="20" spans="1:20" ht="15" customHeight="1" x14ac:dyDescent="0.3">
      <c r="A20" s="483"/>
      <c r="B20" s="201"/>
      <c r="C20" s="593"/>
      <c r="D20" s="617"/>
      <c r="G20" s="756"/>
      <c r="H20" s="421"/>
      <c r="I20" s="421"/>
      <c r="J20" s="421"/>
      <c r="K20" s="421"/>
      <c r="L20" s="10"/>
      <c r="M20" s="70"/>
      <c r="N20" s="70"/>
      <c r="P20" s="1"/>
      <c r="Q20" s="1"/>
      <c r="R20" s="10"/>
      <c r="S20" s="1"/>
      <c r="T20" s="1"/>
    </row>
    <row r="21" spans="1:20" ht="15" customHeight="1" x14ac:dyDescent="0.2">
      <c r="B21" s="120"/>
      <c r="C21" s="48"/>
      <c r="H21" s="805" t="s">
        <v>571</v>
      </c>
      <c r="I21" s="805"/>
      <c r="J21" s="805"/>
      <c r="K21" s="805"/>
      <c r="L21" s="805"/>
      <c r="M21" s="805"/>
      <c r="N21" s="974" t="str">
        <f>Home!$W$1</f>
        <v>BETA</v>
      </c>
      <c r="O21" s="689"/>
      <c r="Q21" s="1"/>
      <c r="R21" s="10"/>
      <c r="S21" s="1"/>
      <c r="T21" s="1"/>
    </row>
    <row r="22" spans="1:20" ht="15" customHeight="1" x14ac:dyDescent="0.2">
      <c r="B22" s="120"/>
      <c r="C22" s="48"/>
      <c r="H22" s="10"/>
      <c r="I22" s="10"/>
      <c r="J22" s="10"/>
      <c r="K22" s="10"/>
      <c r="L22" s="10"/>
      <c r="M22" s="10"/>
      <c r="N22" s="10"/>
      <c r="O22" s="708"/>
      <c r="R22" s="10"/>
    </row>
    <row r="23" spans="1:20" ht="15" customHeight="1" x14ac:dyDescent="0.2">
      <c r="B23" s="120"/>
      <c r="C23" s="48"/>
      <c r="H23" s="421"/>
      <c r="I23" s="421"/>
      <c r="J23" s="421"/>
      <c r="K23" s="421"/>
      <c r="L23" s="710"/>
      <c r="M23" s="806" t="s">
        <v>563</v>
      </c>
      <c r="N23" s="806" t="s">
        <v>564</v>
      </c>
    </row>
    <row r="24" spans="1:20" ht="15" customHeight="1" x14ac:dyDescent="0.2">
      <c r="B24" s="120"/>
      <c r="C24" s="48"/>
      <c r="H24" s="488" t="s">
        <v>572</v>
      </c>
      <c r="I24" s="445"/>
      <c r="J24" s="445"/>
      <c r="K24" s="445"/>
      <c r="L24" s="82"/>
      <c r="M24" s="80" t="e">
        <f>ComplexAt2Step2!V42</f>
        <v>#N/A</v>
      </c>
      <c r="N24" s="808" t="e">
        <f>ComplexAt2Step2!V43</f>
        <v>#N/A</v>
      </c>
      <c r="O24" s="689"/>
    </row>
    <row r="25" spans="1:20" ht="15" customHeight="1" x14ac:dyDescent="0.2">
      <c r="B25" s="120"/>
      <c r="C25" s="48"/>
      <c r="O25" s="757"/>
    </row>
    <row r="26" spans="1:20" ht="15" customHeight="1" x14ac:dyDescent="0.2">
      <c r="B26" s="120"/>
      <c r="C26" s="48"/>
      <c r="O26" s="689"/>
    </row>
    <row r="27" spans="1:20" ht="15" customHeight="1" x14ac:dyDescent="0.2">
      <c r="B27" s="120"/>
      <c r="C27" s="48"/>
      <c r="O27" s="689"/>
    </row>
    <row r="28" spans="1:20" ht="15" customHeight="1" x14ac:dyDescent="0.2">
      <c r="B28" s="120"/>
      <c r="C28" s="48"/>
      <c r="H28" s="983" t="s">
        <v>690</v>
      </c>
      <c r="O28" s="689"/>
    </row>
    <row r="29" spans="1:20" ht="15" customHeight="1" x14ac:dyDescent="0.2">
      <c r="B29" s="120"/>
      <c r="C29" s="48"/>
      <c r="O29" s="689"/>
    </row>
    <row r="30" spans="1:20" ht="15" customHeight="1" x14ac:dyDescent="0.2">
      <c r="B30" s="120"/>
      <c r="C30" s="48"/>
      <c r="G30" s="756"/>
      <c r="O30" s="8"/>
    </row>
    <row r="31" spans="1:20" ht="15" customHeight="1" x14ac:dyDescent="0.2">
      <c r="B31" s="120"/>
      <c r="C31" s="48"/>
      <c r="H31" s="805" t="s">
        <v>610</v>
      </c>
      <c r="I31" s="805"/>
      <c r="J31" s="805"/>
      <c r="K31" s="805"/>
      <c r="L31" s="10"/>
      <c r="M31" s="10"/>
      <c r="N31" s="974" t="str">
        <f>Home!$W$1</f>
        <v>BETA</v>
      </c>
      <c r="O31" s="8"/>
    </row>
    <row r="32" spans="1:20" ht="15" customHeight="1" x14ac:dyDescent="0.2">
      <c r="B32" s="120"/>
      <c r="C32" s="48"/>
      <c r="H32" s="10"/>
      <c r="I32" s="10"/>
      <c r="J32" s="10"/>
      <c r="K32" s="10"/>
      <c r="L32" s="10"/>
      <c r="M32" s="10"/>
      <c r="N32" s="10"/>
      <c r="O32" s="689"/>
      <c r="P32" s="1"/>
      <c r="Q32" s="1"/>
      <c r="R32" s="10"/>
    </row>
    <row r="33" spans="2:21" ht="15" customHeight="1" x14ac:dyDescent="0.2">
      <c r="B33" s="120"/>
      <c r="C33" s="48"/>
      <c r="H33" s="1096"/>
      <c r="I33" s="1096"/>
      <c r="J33" s="1096"/>
      <c r="K33" s="1096"/>
      <c r="L33" s="806"/>
      <c r="M33" s="806" t="s">
        <v>688</v>
      </c>
      <c r="N33" s="806" t="s">
        <v>687</v>
      </c>
      <c r="O33" s="709"/>
      <c r="P33" s="1"/>
      <c r="Q33" s="1"/>
      <c r="R33" s="10"/>
    </row>
    <row r="34" spans="2:21" ht="15" customHeight="1" x14ac:dyDescent="0.2">
      <c r="B34" s="120"/>
      <c r="C34" s="48"/>
      <c r="H34" s="1097" t="s">
        <v>554</v>
      </c>
      <c r="I34" s="1097"/>
      <c r="J34" s="1097"/>
      <c r="K34" s="1097"/>
      <c r="L34" s="276"/>
      <c r="M34" s="276">
        <f>ComplexStep3!P69+ComplexStep3!P73</f>
        <v>3135516.25</v>
      </c>
      <c r="N34" s="276">
        <f>ComplexStep3!T69+ComplexStep3!T73</f>
        <v>0</v>
      </c>
      <c r="P34" s="1"/>
      <c r="Q34" s="1"/>
      <c r="R34" s="10"/>
    </row>
    <row r="35" spans="2:21" ht="15" customHeight="1" x14ac:dyDescent="0.2">
      <c r="B35" s="120"/>
      <c r="C35" s="48"/>
      <c r="H35" s="1098" t="s">
        <v>796</v>
      </c>
      <c r="I35" s="1098"/>
      <c r="J35" s="1098"/>
      <c r="K35" s="1098"/>
      <c r="L35" s="746"/>
      <c r="M35" s="746">
        <f>ComplexStep3!K110</f>
        <v>629956.23750000005</v>
      </c>
      <c r="N35" s="746">
        <f>ComplexStep3!K121</f>
        <v>0</v>
      </c>
      <c r="O35" s="708"/>
      <c r="P35" s="1"/>
      <c r="Q35" s="1"/>
      <c r="R35" s="10"/>
    </row>
    <row r="36" spans="2:21" ht="15" customHeight="1" x14ac:dyDescent="0.2">
      <c r="B36" s="120"/>
      <c r="C36" s="48"/>
      <c r="H36" s="1097" t="s">
        <v>555</v>
      </c>
      <c r="I36" s="1097"/>
      <c r="J36" s="1097"/>
      <c r="K36" s="1097"/>
      <c r="L36" s="276"/>
      <c r="M36" s="276">
        <f>ComplexStep3!K105/1000</f>
        <v>591.76220222500001</v>
      </c>
      <c r="N36" s="276">
        <f>ComplexStep3!K116/1000</f>
        <v>0</v>
      </c>
      <c r="O36" s="689"/>
      <c r="R36" s="10"/>
    </row>
    <row r="37" spans="2:21" ht="15" customHeight="1" x14ac:dyDescent="0.2">
      <c r="B37" s="120"/>
      <c r="C37" s="48"/>
      <c r="O37" s="757"/>
      <c r="R37" s="10"/>
    </row>
    <row r="38" spans="2:21" ht="15" customHeight="1" x14ac:dyDescent="0.2">
      <c r="B38" s="120"/>
      <c r="C38" s="48"/>
      <c r="O38" s="689"/>
      <c r="R38" s="10"/>
    </row>
    <row r="39" spans="2:21" ht="15" customHeight="1" x14ac:dyDescent="0.2">
      <c r="B39" s="120"/>
      <c r="C39" s="48"/>
      <c r="O39" s="689"/>
      <c r="R39" s="10"/>
    </row>
    <row r="40" spans="2:21" ht="15" customHeight="1" x14ac:dyDescent="0.2">
      <c r="B40" s="119"/>
      <c r="O40" s="689"/>
    </row>
    <row r="41" spans="2:21" ht="15" customHeight="1" x14ac:dyDescent="0.2">
      <c r="B41" s="484"/>
      <c r="C41" s="114"/>
      <c r="O41" s="689"/>
    </row>
    <row r="42" spans="2:21" ht="15" customHeight="1" x14ac:dyDescent="0.2">
      <c r="B42" s="119"/>
      <c r="C42" s="114"/>
      <c r="O42" s="689"/>
    </row>
    <row r="43" spans="2:21" ht="15" customHeight="1" x14ac:dyDescent="0.2">
      <c r="B43" s="484"/>
      <c r="C43" s="114"/>
      <c r="U43" s="70"/>
    </row>
    <row r="44" spans="2:21" ht="15" customHeight="1" x14ac:dyDescent="0.2">
      <c r="B44" s="89"/>
      <c r="C44" s="48"/>
      <c r="P44" s="690"/>
      <c r="Q44" s="8"/>
      <c r="R44" s="10"/>
      <c r="U44" s="70"/>
    </row>
    <row r="45" spans="2:21" ht="15" customHeight="1" x14ac:dyDescent="0.2">
      <c r="B45" s="89"/>
      <c r="C45" s="48"/>
      <c r="P45" s="45"/>
      <c r="Q45" s="8"/>
      <c r="R45" s="10"/>
      <c r="U45" s="70"/>
    </row>
    <row r="46" spans="2:21" ht="15" customHeight="1" x14ac:dyDescent="0.2">
      <c r="B46" s="89"/>
      <c r="C46" s="48"/>
      <c r="O46" s="690"/>
      <c r="P46" s="45"/>
      <c r="Q46" s="8"/>
      <c r="R46" s="10"/>
      <c r="U46" s="70"/>
    </row>
    <row r="47" spans="2:21" ht="15" customHeight="1" x14ac:dyDescent="0.2">
      <c r="B47" s="89"/>
      <c r="C47" s="48"/>
      <c r="O47" s="240"/>
      <c r="P47" s="45"/>
      <c r="Q47" s="8"/>
      <c r="R47" s="10"/>
      <c r="U47" s="70"/>
    </row>
    <row r="48" spans="2:21" ht="15" customHeight="1" x14ac:dyDescent="0.2">
      <c r="B48" s="89"/>
      <c r="C48" s="48"/>
      <c r="O48" s="240"/>
      <c r="Q48" s="8"/>
      <c r="R48" s="10"/>
      <c r="S48" s="10"/>
      <c r="T48" s="10"/>
      <c r="U48" s="70"/>
    </row>
    <row r="49" spans="2:21" ht="15" customHeight="1" x14ac:dyDescent="0.2">
      <c r="B49" s="89"/>
      <c r="C49" s="48"/>
      <c r="G49" s="706"/>
      <c r="O49" s="240"/>
      <c r="Q49" s="8"/>
      <c r="R49" s="10"/>
      <c r="S49" s="10"/>
      <c r="T49" s="10"/>
      <c r="U49" s="70"/>
    </row>
    <row r="50" spans="2:21" ht="15" customHeight="1" x14ac:dyDescent="0.2">
      <c r="B50" s="89"/>
      <c r="C50" s="48"/>
      <c r="U50" s="70"/>
    </row>
    <row r="51" spans="2:21" ht="15" customHeight="1" x14ac:dyDescent="0.2">
      <c r="C51" s="48"/>
      <c r="Q51" s="8"/>
      <c r="R51" s="10"/>
      <c r="S51" s="10"/>
      <c r="T51" s="10"/>
      <c r="U51" s="70"/>
    </row>
    <row r="52" spans="2:21" ht="15" customHeight="1" x14ac:dyDescent="0.2">
      <c r="B52" s="1080"/>
      <c r="C52" s="1080"/>
      <c r="D52" s="1080"/>
      <c r="O52" s="690"/>
      <c r="P52" s="690"/>
      <c r="Q52" s="8"/>
      <c r="R52" s="10"/>
      <c r="S52" s="10"/>
      <c r="T52" s="10"/>
      <c r="U52" s="70"/>
    </row>
    <row r="53" spans="2:21" ht="15" customHeight="1" x14ac:dyDescent="0.2">
      <c r="C53" s="62"/>
      <c r="D53" s="62"/>
      <c r="O53" s="240"/>
      <c r="P53" s="45"/>
      <c r="Q53" s="8"/>
      <c r="R53" s="10"/>
      <c r="S53" s="10"/>
      <c r="T53" s="10"/>
      <c r="U53" s="70"/>
    </row>
    <row r="54" spans="2:21" ht="15" customHeight="1" x14ac:dyDescent="0.2">
      <c r="C54" s="62"/>
      <c r="D54" s="62"/>
      <c r="O54" s="240"/>
      <c r="P54" s="45"/>
      <c r="Q54" s="8"/>
      <c r="R54" s="10"/>
      <c r="S54" s="10"/>
      <c r="T54" s="10"/>
      <c r="U54" s="70"/>
    </row>
    <row r="55" spans="2:21" ht="15" customHeight="1" x14ac:dyDescent="0.2">
      <c r="C55" s="62"/>
      <c r="D55" s="62"/>
      <c r="O55" s="240"/>
      <c r="P55" s="45"/>
      <c r="Q55" s="8"/>
      <c r="R55" s="10"/>
      <c r="S55" s="10"/>
      <c r="T55" s="10"/>
      <c r="U55" s="70"/>
    </row>
    <row r="56" spans="2:21" ht="15" customHeight="1" x14ac:dyDescent="0.2">
      <c r="C56" s="62"/>
      <c r="D56" s="62"/>
      <c r="O56" s="240"/>
      <c r="P56" s="45"/>
      <c r="Q56" s="8"/>
      <c r="R56" s="10"/>
      <c r="S56" s="10"/>
      <c r="T56" s="10"/>
      <c r="U56" s="70"/>
    </row>
    <row r="57" spans="2:21" ht="15" customHeight="1" x14ac:dyDescent="0.2">
      <c r="C57" s="62"/>
      <c r="D57" s="62"/>
      <c r="O57" s="240"/>
      <c r="P57" s="45"/>
      <c r="Q57" s="8"/>
      <c r="R57" s="10"/>
      <c r="S57" s="10"/>
      <c r="T57" s="10"/>
      <c r="U57" s="70"/>
    </row>
    <row r="58" spans="2:21" ht="15" customHeight="1" x14ac:dyDescent="0.2">
      <c r="C58" s="62"/>
      <c r="D58" s="62"/>
      <c r="O58" s="240"/>
      <c r="P58" s="45"/>
      <c r="Q58" s="8"/>
      <c r="R58" s="10"/>
      <c r="S58" s="10"/>
      <c r="T58" s="10"/>
      <c r="U58" s="70"/>
    </row>
    <row r="59" spans="2:21" ht="15" customHeight="1" x14ac:dyDescent="0.2">
      <c r="C59" s="48"/>
      <c r="O59" s="240"/>
      <c r="Q59" s="8"/>
      <c r="R59" s="10"/>
      <c r="S59" s="10"/>
      <c r="T59" s="10"/>
      <c r="U59" s="70"/>
    </row>
    <row r="60" spans="2:21" ht="15" customHeight="1" x14ac:dyDescent="0.2">
      <c r="C60" s="48"/>
      <c r="U60" s="70"/>
    </row>
    <row r="61" spans="2:21" ht="15" customHeight="1" x14ac:dyDescent="0.2">
      <c r="C61" s="486"/>
      <c r="D61" s="486"/>
      <c r="G61" s="7"/>
      <c r="R61" s="10"/>
      <c r="S61" s="10"/>
      <c r="T61" s="10"/>
      <c r="U61" s="70"/>
    </row>
    <row r="62" spans="2:21" ht="15" customHeight="1" x14ac:dyDescent="0.2">
      <c r="C62" s="487"/>
      <c r="E62" s="55"/>
      <c r="O62" s="690"/>
      <c r="P62" s="690"/>
      <c r="R62" s="10"/>
      <c r="S62" s="10"/>
      <c r="T62" s="10"/>
      <c r="U62" s="70"/>
    </row>
    <row r="63" spans="2:21" ht="15" customHeight="1" x14ac:dyDescent="0.2">
      <c r="C63" s="487"/>
      <c r="E63" s="55"/>
      <c r="G63" s="70"/>
      <c r="O63" s="240"/>
      <c r="P63" s="45"/>
      <c r="R63" s="10"/>
      <c r="S63" s="10"/>
      <c r="T63" s="10"/>
      <c r="U63" s="70"/>
    </row>
    <row r="64" spans="2:21" ht="15" customHeight="1" x14ac:dyDescent="0.2">
      <c r="C64" s="487"/>
      <c r="E64" s="55"/>
      <c r="G64" s="70"/>
      <c r="O64" s="240"/>
      <c r="P64" s="45"/>
      <c r="R64" s="10"/>
      <c r="S64" s="10"/>
      <c r="T64" s="10"/>
      <c r="U64" s="70"/>
    </row>
    <row r="65" spans="2:21" ht="15" customHeight="1" x14ac:dyDescent="0.2">
      <c r="C65" s="487"/>
      <c r="E65" s="55"/>
      <c r="G65" s="70"/>
      <c r="O65" s="240"/>
      <c r="P65" s="45"/>
      <c r="R65" s="10"/>
      <c r="S65" s="10"/>
      <c r="T65" s="10"/>
      <c r="U65" s="70"/>
    </row>
    <row r="66" spans="2:21" ht="15" customHeight="1" x14ac:dyDescent="0.2">
      <c r="C66" s="55"/>
      <c r="G66" s="70"/>
      <c r="O66" s="240"/>
      <c r="R66" s="10"/>
      <c r="S66" s="10"/>
      <c r="T66" s="10"/>
      <c r="U66" s="70"/>
    </row>
    <row r="67" spans="2:21" ht="15" customHeight="1" x14ac:dyDescent="0.2">
      <c r="C67" s="48"/>
      <c r="G67" s="70"/>
      <c r="O67" s="240"/>
      <c r="R67" s="10"/>
      <c r="S67" s="10"/>
      <c r="T67" s="10"/>
      <c r="U67" s="70"/>
    </row>
    <row r="68" spans="2:21" ht="15" customHeight="1" x14ac:dyDescent="0.2">
      <c r="C68" s="486"/>
      <c r="D68" s="486"/>
      <c r="U68" s="70"/>
    </row>
    <row r="69" spans="2:21" ht="15" customHeight="1" x14ac:dyDescent="0.2">
      <c r="B69" s="89"/>
      <c r="C69" s="48"/>
      <c r="G69" s="7"/>
      <c r="R69" s="10"/>
      <c r="S69" s="10"/>
      <c r="T69" s="10"/>
      <c r="U69" s="70"/>
    </row>
    <row r="70" spans="2:21" ht="15" customHeight="1" x14ac:dyDescent="0.2">
      <c r="C70" s="48"/>
      <c r="O70" s="690"/>
      <c r="P70" s="690"/>
      <c r="R70" s="10"/>
      <c r="S70" s="10"/>
      <c r="T70" s="10"/>
      <c r="U70" s="70"/>
    </row>
    <row r="71" spans="2:21" ht="15" customHeight="1" x14ac:dyDescent="0.2">
      <c r="C71" s="48"/>
      <c r="G71" s="70"/>
      <c r="O71" s="240"/>
      <c r="P71" s="45"/>
      <c r="R71" s="10"/>
      <c r="S71" s="10"/>
      <c r="T71" s="10"/>
      <c r="U71" s="70"/>
    </row>
    <row r="72" spans="2:21" ht="15" customHeight="1" x14ac:dyDescent="0.2">
      <c r="C72" s="48"/>
      <c r="G72" s="70"/>
      <c r="H72" s="531"/>
      <c r="N72" s="45"/>
      <c r="O72" s="240"/>
      <c r="P72" s="45"/>
      <c r="R72" s="10"/>
      <c r="S72" s="10"/>
      <c r="T72" s="10"/>
      <c r="U72" s="70"/>
    </row>
    <row r="73" spans="2:21" ht="15" customHeight="1" x14ac:dyDescent="0.2">
      <c r="C73" s="48"/>
      <c r="G73" s="70"/>
      <c r="H73" s="531"/>
      <c r="N73" s="45"/>
      <c r="O73" s="240"/>
      <c r="P73" s="45"/>
      <c r="R73" s="10"/>
      <c r="S73" s="10"/>
      <c r="T73" s="10"/>
      <c r="U73" s="70"/>
    </row>
    <row r="74" spans="2:21" ht="15" customHeight="1" x14ac:dyDescent="0.2">
      <c r="C74" s="486"/>
      <c r="D74" s="486"/>
      <c r="G74" s="70"/>
      <c r="O74" s="240"/>
      <c r="R74" s="10"/>
      <c r="S74" s="10"/>
      <c r="T74" s="10"/>
      <c r="U74" s="70"/>
    </row>
    <row r="75" spans="2:21" ht="15" customHeight="1" x14ac:dyDescent="0.2">
      <c r="B75" s="89"/>
      <c r="C75" s="48"/>
      <c r="G75" s="70"/>
      <c r="O75" s="240"/>
      <c r="R75" s="10"/>
      <c r="S75" s="10"/>
      <c r="T75" s="10"/>
      <c r="U75" s="70"/>
    </row>
    <row r="76" spans="2:21" ht="15" customHeight="1" x14ac:dyDescent="0.2">
      <c r="B76" s="89"/>
      <c r="C76" s="48"/>
      <c r="U76" s="70"/>
    </row>
    <row r="77" spans="2:21" ht="15" customHeight="1" x14ac:dyDescent="0.2">
      <c r="B77" s="89"/>
      <c r="C77" s="48"/>
      <c r="G77" s="422"/>
      <c r="R77" s="10"/>
      <c r="S77" s="10"/>
      <c r="T77" s="10"/>
      <c r="U77" s="70"/>
    </row>
    <row r="78" spans="2:21" ht="15" customHeight="1" x14ac:dyDescent="0.2">
      <c r="J78" s="22"/>
      <c r="N78" s="690"/>
      <c r="O78" s="690"/>
      <c r="P78" s="690"/>
      <c r="R78" s="10"/>
      <c r="S78" s="10"/>
      <c r="T78" s="10"/>
      <c r="U78" s="70"/>
    </row>
    <row r="79" spans="2:21" ht="15" customHeight="1" x14ac:dyDescent="0.2">
      <c r="G79" s="421"/>
      <c r="J79" s="22"/>
      <c r="N79" s="45"/>
      <c r="O79" s="691"/>
      <c r="R79" s="10"/>
      <c r="S79" s="10"/>
      <c r="T79" s="10"/>
      <c r="U79" s="70"/>
    </row>
    <row r="80" spans="2:21" ht="15" customHeight="1" x14ac:dyDescent="0.2">
      <c r="G80" s="421"/>
      <c r="J80" s="22"/>
      <c r="N80" s="45"/>
      <c r="O80" s="691"/>
      <c r="R80" s="10"/>
      <c r="S80" s="10"/>
      <c r="T80" s="10"/>
      <c r="U80" s="70"/>
    </row>
    <row r="81" spans="7:21" ht="15" customHeight="1" x14ac:dyDescent="0.2">
      <c r="G81" s="421"/>
      <c r="J81" s="22"/>
      <c r="N81" s="45"/>
      <c r="O81" s="691"/>
      <c r="R81" s="10"/>
      <c r="S81" s="10"/>
      <c r="T81" s="10"/>
      <c r="U81" s="70"/>
    </row>
    <row r="82" spans="7:21" ht="15" customHeight="1" x14ac:dyDescent="0.2">
      <c r="G82" s="421"/>
      <c r="J82" s="22"/>
      <c r="O82" s="691"/>
      <c r="R82" s="10"/>
      <c r="S82" s="10"/>
      <c r="T82" s="10"/>
      <c r="U82" s="70"/>
    </row>
    <row r="83" spans="7:21" ht="15" customHeight="1" x14ac:dyDescent="0.2">
      <c r="G83" s="421"/>
      <c r="H83" s="531"/>
      <c r="O83" s="691"/>
      <c r="R83" s="10"/>
      <c r="S83" s="10"/>
      <c r="T83" s="10"/>
      <c r="U83" s="70"/>
    </row>
    <row r="84" spans="7:21" ht="15" customHeight="1" x14ac:dyDescent="0.2">
      <c r="R84" s="10"/>
      <c r="S84" s="10"/>
      <c r="T84" s="10"/>
      <c r="U84" s="70"/>
    </row>
    <row r="85" spans="7:21" ht="15" customHeight="1" x14ac:dyDescent="0.2">
      <c r="G85" s="1081"/>
      <c r="H85" s="1081"/>
      <c r="I85" s="1081"/>
      <c r="J85" s="692"/>
      <c r="K85" s="692"/>
      <c r="Q85" s="8"/>
      <c r="R85" s="10"/>
      <c r="S85" s="10"/>
      <c r="T85" s="10"/>
      <c r="U85" s="70"/>
    </row>
    <row r="86" spans="7:21" ht="15" customHeight="1" x14ac:dyDescent="0.2">
      <c r="G86" s="1081"/>
      <c r="H86" s="1081"/>
      <c r="I86" s="1081"/>
      <c r="J86" s="692"/>
      <c r="K86" s="692"/>
      <c r="Q86" s="8"/>
      <c r="R86" s="10"/>
      <c r="S86" s="10"/>
      <c r="T86" s="10"/>
      <c r="U86" s="70"/>
    </row>
    <row r="87" spans="7:21" ht="15" customHeight="1" x14ac:dyDescent="0.2">
      <c r="G87" s="7"/>
      <c r="H87" s="692"/>
      <c r="I87" s="692"/>
      <c r="J87" s="692"/>
      <c r="K87" s="692"/>
      <c r="Q87" s="8"/>
      <c r="R87" s="10"/>
      <c r="S87" s="10"/>
      <c r="T87" s="10"/>
      <c r="U87" s="70"/>
    </row>
    <row r="88" spans="7:21" ht="15" customHeight="1" x14ac:dyDescent="0.2">
      <c r="O88" s="693"/>
      <c r="R88" s="10"/>
      <c r="S88" s="10"/>
      <c r="T88" s="10"/>
      <c r="U88" s="70"/>
    </row>
    <row r="89" spans="7:21" ht="15" customHeight="1" x14ac:dyDescent="0.2">
      <c r="O89" s="693"/>
      <c r="R89" s="10"/>
      <c r="S89" s="10"/>
      <c r="T89" s="10"/>
      <c r="U89" s="70"/>
    </row>
    <row r="90" spans="7:21" ht="15" customHeight="1" x14ac:dyDescent="0.2">
      <c r="O90" s="693"/>
      <c r="R90" s="10"/>
      <c r="S90" s="10"/>
      <c r="T90" s="10"/>
      <c r="U90" s="70"/>
    </row>
    <row r="91" spans="7:21" ht="15" customHeight="1" x14ac:dyDescent="0.2">
      <c r="O91" s="693"/>
      <c r="R91" s="10"/>
      <c r="S91" s="10"/>
      <c r="T91" s="10"/>
      <c r="U91" s="70"/>
    </row>
    <row r="92" spans="7:21" ht="15" customHeight="1" x14ac:dyDescent="0.2">
      <c r="S92" s="10"/>
      <c r="T92" s="10"/>
      <c r="U92" s="70"/>
    </row>
    <row r="93" spans="7:21" ht="15" customHeight="1" x14ac:dyDescent="0.2">
      <c r="G93" s="7"/>
      <c r="S93" s="10"/>
      <c r="T93" s="10"/>
      <c r="U93" s="70"/>
    </row>
    <row r="94" spans="7:21" ht="15" customHeight="1" x14ac:dyDescent="0.2">
      <c r="N94" s="690"/>
      <c r="O94" s="690"/>
      <c r="P94" s="690"/>
      <c r="R94" s="10"/>
      <c r="S94" s="10"/>
      <c r="T94" s="10"/>
      <c r="U94" s="70"/>
    </row>
    <row r="95" spans="7:21" ht="15" customHeight="1" x14ac:dyDescent="0.2">
      <c r="H95" s="531"/>
      <c r="O95" s="693"/>
      <c r="Q95" s="8"/>
      <c r="R95" s="10"/>
      <c r="S95" s="10"/>
      <c r="T95" s="10"/>
      <c r="U95" s="70"/>
    </row>
    <row r="96" spans="7:21" ht="15" customHeight="1" x14ac:dyDescent="0.2">
      <c r="J96" s="494"/>
      <c r="O96" s="693"/>
      <c r="Q96" s="8"/>
      <c r="R96" s="10"/>
      <c r="S96" s="10"/>
      <c r="T96" s="10"/>
      <c r="U96" s="70"/>
    </row>
    <row r="97" spans="7:21" ht="15" customHeight="1" x14ac:dyDescent="0.2">
      <c r="J97" s="20"/>
      <c r="O97" s="693"/>
      <c r="Q97" s="8"/>
      <c r="R97" s="10"/>
      <c r="S97" s="10"/>
      <c r="T97" s="10"/>
      <c r="U97" s="70"/>
    </row>
    <row r="98" spans="7:21" ht="15" customHeight="1" x14ac:dyDescent="0.2">
      <c r="H98" s="531"/>
      <c r="O98" s="693"/>
      <c r="Q98" s="8"/>
      <c r="R98" s="10"/>
      <c r="S98" s="10"/>
      <c r="T98" s="10"/>
      <c r="U98" s="70"/>
    </row>
    <row r="99" spans="7:21" ht="15" customHeight="1" x14ac:dyDescent="0.2">
      <c r="G99" s="422"/>
      <c r="J99" s="494"/>
      <c r="L99" s="22"/>
      <c r="N99" s="22"/>
      <c r="Q99" s="8"/>
      <c r="R99" s="10"/>
      <c r="S99" s="10"/>
      <c r="T99" s="10"/>
      <c r="U99" s="70"/>
    </row>
    <row r="100" spans="7:21" ht="15" customHeight="1" x14ac:dyDescent="0.2">
      <c r="G100" s="1082"/>
      <c r="H100" s="1082"/>
      <c r="I100" s="1082"/>
      <c r="R100" s="10"/>
      <c r="S100" s="10"/>
      <c r="T100" s="10"/>
      <c r="U100" s="70"/>
    </row>
    <row r="101" spans="7:21" ht="15" customHeight="1" x14ac:dyDescent="0.2">
      <c r="G101" s="1082"/>
      <c r="H101" s="1082"/>
      <c r="I101" s="1082"/>
      <c r="R101" s="10"/>
      <c r="S101" s="10"/>
      <c r="T101" s="10"/>
      <c r="U101" s="70"/>
    </row>
    <row r="102" spans="7:21" ht="15" customHeight="1" x14ac:dyDescent="0.2">
      <c r="G102" s="7"/>
      <c r="R102" s="10"/>
      <c r="S102" s="10"/>
      <c r="T102" s="10"/>
      <c r="U102" s="70"/>
    </row>
    <row r="103" spans="7:21" ht="15" customHeight="1" x14ac:dyDescent="0.2">
      <c r="N103" s="690"/>
      <c r="O103" s="690"/>
      <c r="P103" s="690"/>
      <c r="R103" s="10"/>
      <c r="S103" s="10"/>
      <c r="T103" s="10"/>
      <c r="U103" s="70"/>
    </row>
    <row r="104" spans="7:21" ht="15" customHeight="1" x14ac:dyDescent="0.2">
      <c r="O104" s="693"/>
      <c r="R104" s="10"/>
      <c r="S104" s="10"/>
      <c r="T104" s="10"/>
      <c r="U104" s="70"/>
    </row>
    <row r="105" spans="7:21" ht="15" customHeight="1" x14ac:dyDescent="0.2">
      <c r="O105" s="693"/>
      <c r="R105" s="10"/>
      <c r="U105" s="70"/>
    </row>
    <row r="106" spans="7:21" ht="15" customHeight="1" x14ac:dyDescent="0.2">
      <c r="O106" s="693"/>
      <c r="R106" s="10"/>
      <c r="U106" s="70"/>
    </row>
    <row r="107" spans="7:21" ht="15" customHeight="1" x14ac:dyDescent="0.2">
      <c r="O107" s="693"/>
      <c r="R107" s="10"/>
      <c r="U107" s="70"/>
    </row>
    <row r="108" spans="7:21" ht="15" customHeight="1" x14ac:dyDescent="0.2">
      <c r="R108" s="10"/>
      <c r="U108" s="70"/>
    </row>
    <row r="109" spans="7:21" ht="15" customHeight="1" x14ac:dyDescent="0.2">
      <c r="G109" s="7"/>
      <c r="R109" s="10"/>
      <c r="U109" s="70"/>
    </row>
    <row r="110" spans="7:21" ht="15" customHeight="1" x14ac:dyDescent="0.2">
      <c r="N110" s="690"/>
      <c r="O110" s="690"/>
      <c r="P110" s="690"/>
      <c r="R110" s="10"/>
      <c r="U110" s="70"/>
    </row>
    <row r="111" spans="7:21" ht="15" customHeight="1" x14ac:dyDescent="0.2">
      <c r="O111" s="693"/>
      <c r="R111" s="10"/>
      <c r="U111" s="70"/>
    </row>
    <row r="112" spans="7:21" ht="15" customHeight="1" x14ac:dyDescent="0.2">
      <c r="O112" s="693"/>
      <c r="R112" s="10"/>
      <c r="U112" s="70"/>
    </row>
    <row r="113" spans="7:21" ht="15" customHeight="1" x14ac:dyDescent="0.2">
      <c r="O113" s="693"/>
      <c r="R113" s="10"/>
      <c r="U113" s="70"/>
    </row>
    <row r="114" spans="7:21" ht="15" customHeight="1" x14ac:dyDescent="0.2">
      <c r="O114" s="693"/>
      <c r="R114" s="10"/>
      <c r="U114" s="70"/>
    </row>
    <row r="115" spans="7:21" ht="15" customHeight="1" x14ac:dyDescent="0.2">
      <c r="U115" s="70"/>
    </row>
    <row r="116" spans="7:21" ht="15" customHeight="1" x14ac:dyDescent="0.2">
      <c r="G116" s="1083"/>
      <c r="H116" s="1083"/>
      <c r="I116" s="1083"/>
      <c r="J116" s="694"/>
      <c r="K116" s="694"/>
      <c r="R116" s="10"/>
      <c r="S116" s="10"/>
      <c r="T116" s="10"/>
      <c r="U116" s="70"/>
    </row>
    <row r="117" spans="7:21" ht="15" customHeight="1" x14ac:dyDescent="0.2">
      <c r="G117" s="1083"/>
      <c r="H117" s="1083"/>
      <c r="I117" s="1083"/>
      <c r="J117" s="694"/>
      <c r="K117" s="694"/>
      <c r="R117" s="10"/>
      <c r="S117" s="10"/>
      <c r="T117" s="10"/>
      <c r="U117" s="70"/>
    </row>
    <row r="118" spans="7:21" ht="15" customHeight="1" x14ac:dyDescent="0.2">
      <c r="G118" s="7"/>
      <c r="H118" s="694"/>
      <c r="I118" s="694"/>
      <c r="J118" s="694"/>
      <c r="K118" s="694"/>
      <c r="R118" s="10"/>
      <c r="S118" s="10"/>
      <c r="T118" s="10"/>
      <c r="U118" s="70"/>
    </row>
    <row r="119" spans="7:21" ht="15" customHeight="1" x14ac:dyDescent="0.2">
      <c r="N119" s="690"/>
      <c r="O119" s="695"/>
      <c r="P119" s="696"/>
      <c r="Q119" s="8"/>
      <c r="R119" s="10"/>
      <c r="S119" s="10"/>
      <c r="T119" s="10"/>
      <c r="U119" s="70"/>
    </row>
    <row r="120" spans="7:21" ht="15" customHeight="1" x14ac:dyDescent="0.2">
      <c r="O120" s="693"/>
      <c r="Q120" s="8"/>
      <c r="R120" s="10"/>
      <c r="S120" s="10"/>
      <c r="T120" s="10"/>
      <c r="U120" s="70"/>
    </row>
    <row r="121" spans="7:21" ht="15" customHeight="1" x14ac:dyDescent="0.2">
      <c r="O121" s="693"/>
      <c r="Q121" s="8"/>
      <c r="R121" s="10"/>
      <c r="S121" s="10"/>
      <c r="T121" s="10"/>
      <c r="U121" s="70"/>
    </row>
    <row r="122" spans="7:21" ht="15" customHeight="1" x14ac:dyDescent="0.2">
      <c r="O122" s="693"/>
      <c r="Q122" s="8"/>
      <c r="R122" s="10"/>
      <c r="S122" s="10"/>
      <c r="T122" s="10"/>
      <c r="U122" s="70"/>
    </row>
    <row r="123" spans="7:21" ht="15" customHeight="1" x14ac:dyDescent="0.2">
      <c r="O123" s="693"/>
      <c r="Q123" s="8"/>
      <c r="R123" s="10"/>
      <c r="S123" s="10"/>
      <c r="T123" s="10"/>
      <c r="U123" s="70"/>
    </row>
    <row r="124" spans="7:21" ht="15" customHeight="1" x14ac:dyDescent="0.2">
      <c r="O124" s="693"/>
      <c r="Q124" s="8"/>
      <c r="R124" s="10"/>
      <c r="S124" s="10"/>
      <c r="T124" s="10"/>
      <c r="U124" s="70"/>
    </row>
    <row r="125" spans="7:21" ht="15" customHeight="1" x14ac:dyDescent="0.2">
      <c r="O125" s="693"/>
      <c r="Q125" s="8"/>
      <c r="R125" s="10"/>
      <c r="S125" s="10"/>
      <c r="T125" s="10"/>
      <c r="U125" s="70"/>
    </row>
    <row r="126" spans="7:21" ht="15" customHeight="1" x14ac:dyDescent="0.2">
      <c r="O126" s="693"/>
      <c r="Q126" s="8"/>
      <c r="R126" s="10"/>
      <c r="S126" s="10"/>
      <c r="T126" s="10"/>
      <c r="U126" s="70"/>
    </row>
    <row r="127" spans="7:21" ht="15" customHeight="1" x14ac:dyDescent="0.2">
      <c r="O127" s="8"/>
      <c r="Q127" s="8"/>
      <c r="R127" s="10"/>
      <c r="S127" s="10"/>
      <c r="T127" s="10"/>
      <c r="U127" s="70"/>
    </row>
    <row r="128" spans="7:21" ht="15" customHeight="1" x14ac:dyDescent="0.2">
      <c r="G128" s="7"/>
      <c r="O128" s="8"/>
      <c r="Q128" s="8"/>
      <c r="R128" s="10"/>
      <c r="S128" s="10"/>
      <c r="T128" s="10"/>
      <c r="U128" s="70"/>
    </row>
    <row r="129" spans="7:21" ht="15" customHeight="1" x14ac:dyDescent="0.2">
      <c r="N129" s="690"/>
      <c r="O129" s="695"/>
      <c r="P129" s="696"/>
      <c r="Q129" s="8"/>
      <c r="R129" s="10"/>
      <c r="S129" s="10"/>
      <c r="T129" s="10"/>
      <c r="U129" s="70"/>
    </row>
    <row r="130" spans="7:21" ht="15" customHeight="1" x14ac:dyDescent="0.2">
      <c r="O130" s="67"/>
      <c r="Q130" s="8"/>
      <c r="R130" s="10"/>
      <c r="S130" s="10"/>
      <c r="T130" s="10"/>
      <c r="U130" s="70"/>
    </row>
    <row r="131" spans="7:21" ht="15" customHeight="1" x14ac:dyDescent="0.2">
      <c r="O131" s="67"/>
      <c r="Q131" s="8"/>
      <c r="R131" s="10"/>
      <c r="S131" s="10"/>
      <c r="T131" s="10"/>
      <c r="U131" s="70"/>
    </row>
    <row r="132" spans="7:21" ht="15" customHeight="1" x14ac:dyDescent="0.2">
      <c r="O132" s="67"/>
      <c r="Q132" s="8"/>
      <c r="R132" s="10"/>
      <c r="S132" s="10"/>
      <c r="T132" s="10"/>
      <c r="U132" s="70"/>
    </row>
    <row r="133" spans="7:21" ht="15" customHeight="1" x14ac:dyDescent="0.2">
      <c r="O133" s="67"/>
      <c r="Q133" s="8"/>
      <c r="R133" s="10"/>
      <c r="S133" s="10"/>
      <c r="T133" s="10"/>
      <c r="U133" s="70"/>
    </row>
    <row r="134" spans="7:21" ht="15" customHeight="1" x14ac:dyDescent="0.2">
      <c r="O134" s="67"/>
      <c r="Q134" s="8"/>
      <c r="R134" s="10"/>
      <c r="S134" s="10"/>
      <c r="T134" s="10"/>
      <c r="U134" s="70"/>
    </row>
    <row r="135" spans="7:21" ht="15" customHeight="1" x14ac:dyDescent="0.2">
      <c r="O135" s="67"/>
      <c r="Q135" s="8"/>
      <c r="R135" s="10"/>
      <c r="S135" s="10"/>
      <c r="T135" s="10"/>
      <c r="U135" s="70"/>
    </row>
    <row r="136" spans="7:21" ht="15" customHeight="1" x14ac:dyDescent="0.2">
      <c r="O136" s="67"/>
      <c r="Q136" s="8"/>
      <c r="R136" s="10"/>
      <c r="S136" s="10"/>
      <c r="T136" s="10"/>
      <c r="U136" s="70"/>
    </row>
    <row r="137" spans="7:21" ht="15" customHeight="1" x14ac:dyDescent="0.2">
      <c r="S137" s="10"/>
      <c r="T137" s="10"/>
      <c r="U137" s="70"/>
    </row>
    <row r="138" spans="7:21" ht="15" customHeight="1" x14ac:dyDescent="0.2">
      <c r="G138" s="7"/>
      <c r="S138" s="10"/>
      <c r="T138" s="10"/>
      <c r="U138" s="70"/>
    </row>
    <row r="139" spans="7:21" ht="15" customHeight="1" x14ac:dyDescent="0.2">
      <c r="O139" s="697"/>
      <c r="Q139" s="8"/>
      <c r="R139" s="10"/>
      <c r="S139" s="10"/>
      <c r="T139" s="10"/>
      <c r="U139" s="70"/>
    </row>
    <row r="140" spans="7:21" ht="15" customHeight="1" x14ac:dyDescent="0.2">
      <c r="O140" s="697"/>
      <c r="Q140" s="8"/>
      <c r="R140" s="10"/>
      <c r="S140" s="10"/>
      <c r="T140" s="10"/>
      <c r="U140" s="70"/>
    </row>
    <row r="141" spans="7:21" ht="15" customHeight="1" x14ac:dyDescent="0.2">
      <c r="O141" s="697"/>
      <c r="Q141" s="8"/>
      <c r="R141" s="10"/>
      <c r="S141" s="10"/>
      <c r="T141" s="10"/>
      <c r="U141" s="70"/>
    </row>
    <row r="142" spans="7:21" ht="15" customHeight="1" x14ac:dyDescent="0.2">
      <c r="S142" s="10"/>
      <c r="T142" s="10"/>
      <c r="U142" s="70"/>
    </row>
    <row r="143" spans="7:21" ht="15" customHeight="1" x14ac:dyDescent="0.2">
      <c r="O143" s="697"/>
      <c r="R143" s="10"/>
      <c r="S143" s="10"/>
      <c r="T143" s="10"/>
      <c r="U143" s="70"/>
    </row>
    <row r="144" spans="7:21" ht="15" customHeight="1" x14ac:dyDescent="0.2">
      <c r="O144" s="697"/>
      <c r="R144" s="10"/>
      <c r="S144" s="10"/>
      <c r="T144" s="10"/>
      <c r="U144" s="70"/>
    </row>
    <row r="145" spans="7:21" ht="15" customHeight="1" x14ac:dyDescent="0.2">
      <c r="O145" s="697"/>
      <c r="R145" s="10"/>
      <c r="S145" s="10"/>
      <c r="T145" s="10"/>
      <c r="U145" s="70"/>
    </row>
    <row r="146" spans="7:21" ht="15" customHeight="1" x14ac:dyDescent="0.2">
      <c r="O146" s="697"/>
      <c r="Q146" s="8"/>
      <c r="R146" s="10"/>
      <c r="S146" s="10"/>
      <c r="T146" s="10"/>
      <c r="U146" s="70"/>
    </row>
    <row r="147" spans="7:21" ht="15" customHeight="1" x14ac:dyDescent="0.2">
      <c r="O147" s="697"/>
      <c r="Q147" s="8"/>
      <c r="R147" s="10"/>
      <c r="S147" s="10"/>
      <c r="T147" s="10"/>
      <c r="U147" s="70"/>
    </row>
    <row r="148" spans="7:21" ht="15" customHeight="1" x14ac:dyDescent="0.2">
      <c r="O148" s="8"/>
      <c r="Q148" s="8"/>
      <c r="R148" s="10"/>
      <c r="S148" s="10"/>
      <c r="T148" s="10"/>
      <c r="U148" s="70"/>
    </row>
    <row r="149" spans="7:21" ht="15" customHeight="1" x14ac:dyDescent="0.2">
      <c r="G149" s="7"/>
      <c r="O149" s="8"/>
      <c r="Q149" s="8"/>
      <c r="R149" s="10"/>
      <c r="S149" s="10"/>
      <c r="T149" s="10"/>
      <c r="U149" s="70"/>
    </row>
    <row r="150" spans="7:21" ht="15" customHeight="1" x14ac:dyDescent="0.2">
      <c r="O150" s="697"/>
      <c r="R150" s="10"/>
      <c r="S150" s="10"/>
      <c r="T150" s="10"/>
      <c r="U150" s="70"/>
    </row>
    <row r="151" spans="7:21" ht="15" customHeight="1" x14ac:dyDescent="0.2">
      <c r="O151" s="697"/>
      <c r="R151" s="10"/>
      <c r="S151" s="10"/>
      <c r="T151" s="10"/>
      <c r="U151" s="70"/>
    </row>
    <row r="152" spans="7:21" ht="15" customHeight="1" x14ac:dyDescent="0.2">
      <c r="R152" s="10"/>
      <c r="S152" s="10"/>
      <c r="T152" s="10"/>
      <c r="U152" s="70"/>
    </row>
    <row r="153" spans="7:21" ht="15" customHeight="1" x14ac:dyDescent="0.2">
      <c r="G153" s="1082"/>
      <c r="H153" s="1082"/>
      <c r="I153" s="1082"/>
      <c r="J153" s="698"/>
      <c r="K153" s="698"/>
      <c r="R153" s="10"/>
      <c r="S153" s="10"/>
      <c r="T153" s="10"/>
      <c r="U153" s="70"/>
    </row>
    <row r="154" spans="7:21" ht="15" customHeight="1" x14ac:dyDescent="0.2">
      <c r="G154" s="1082"/>
      <c r="H154" s="1082"/>
      <c r="I154" s="1082"/>
      <c r="J154" s="698"/>
      <c r="K154" s="698"/>
      <c r="R154" s="10"/>
      <c r="S154" s="10"/>
      <c r="T154" s="10"/>
      <c r="U154" s="70"/>
    </row>
    <row r="155" spans="7:21" ht="15" customHeight="1" x14ac:dyDescent="0.2">
      <c r="G155" s="7"/>
      <c r="H155" s="698"/>
      <c r="I155" s="698"/>
      <c r="J155" s="698"/>
      <c r="K155" s="698"/>
      <c r="R155" s="10"/>
      <c r="S155" s="10"/>
      <c r="T155" s="10"/>
      <c r="U155" s="70"/>
    </row>
    <row r="156" spans="7:21" ht="15" customHeight="1" x14ac:dyDescent="0.2">
      <c r="H156" s="698"/>
      <c r="I156" s="698"/>
      <c r="J156" s="698"/>
      <c r="K156" s="698"/>
      <c r="N156" s="690"/>
      <c r="O156" s="690"/>
      <c r="P156" s="690"/>
      <c r="R156" s="10"/>
      <c r="S156" s="10"/>
      <c r="T156" s="10"/>
      <c r="U156" s="70"/>
    </row>
    <row r="157" spans="7:21" ht="15" customHeight="1" x14ac:dyDescent="0.2">
      <c r="H157" s="698"/>
      <c r="I157" s="698"/>
      <c r="J157" s="698"/>
      <c r="K157" s="698"/>
      <c r="O157" s="697"/>
      <c r="R157" s="10"/>
      <c r="S157" s="10"/>
      <c r="T157" s="10"/>
      <c r="U157" s="10"/>
    </row>
    <row r="158" spans="7:21" ht="15" customHeight="1" x14ac:dyDescent="0.2">
      <c r="H158" s="698"/>
      <c r="I158" s="698"/>
      <c r="J158" s="698"/>
      <c r="K158" s="698"/>
      <c r="O158" s="697"/>
      <c r="R158" s="10"/>
      <c r="S158" s="10"/>
      <c r="T158" s="10"/>
      <c r="U158" s="10"/>
    </row>
    <row r="159" spans="7:21" ht="15" customHeight="1" x14ac:dyDescent="0.2">
      <c r="H159" s="698"/>
      <c r="I159" s="698"/>
      <c r="J159" s="698"/>
      <c r="K159" s="698"/>
      <c r="O159" s="697"/>
      <c r="R159" s="10"/>
      <c r="S159" s="10"/>
      <c r="T159" s="10"/>
      <c r="U159" s="10"/>
    </row>
    <row r="160" spans="7:21" ht="15" customHeight="1" x14ac:dyDescent="0.2">
      <c r="H160" s="10"/>
      <c r="I160" s="10"/>
      <c r="J160" s="10"/>
      <c r="K160" s="10"/>
      <c r="L160" s="10"/>
      <c r="M160" s="10"/>
      <c r="N160" s="10"/>
      <c r="O160" s="10"/>
      <c r="R160" s="10"/>
      <c r="S160" s="10"/>
      <c r="T160" s="10"/>
      <c r="U160" s="70"/>
    </row>
    <row r="161" spans="7:21" ht="15" customHeight="1" x14ac:dyDescent="0.2">
      <c r="G161" s="7"/>
      <c r="H161" s="10"/>
      <c r="I161" s="10"/>
      <c r="J161" s="10"/>
      <c r="K161" s="10"/>
      <c r="L161" s="10"/>
      <c r="M161" s="10"/>
      <c r="N161" s="10"/>
      <c r="O161" s="10"/>
      <c r="R161" s="10"/>
      <c r="S161" s="10"/>
      <c r="T161" s="10"/>
      <c r="U161" s="70"/>
    </row>
    <row r="162" spans="7:21" ht="15" customHeight="1" x14ac:dyDescent="0.2">
      <c r="O162" s="697"/>
      <c r="R162" s="10"/>
      <c r="S162" s="10"/>
      <c r="T162" s="10"/>
      <c r="U162" s="70"/>
    </row>
    <row r="163" spans="7:21" ht="15" customHeight="1" x14ac:dyDescent="0.2">
      <c r="O163" s="697"/>
      <c r="R163" s="10"/>
      <c r="S163" s="10"/>
      <c r="T163" s="10"/>
      <c r="U163" s="70"/>
    </row>
    <row r="164" spans="7:21" ht="15" customHeight="1" x14ac:dyDescent="0.2">
      <c r="O164" s="697"/>
      <c r="R164" s="10"/>
      <c r="S164" s="10"/>
      <c r="T164" s="10"/>
      <c r="U164" s="70"/>
    </row>
    <row r="165" spans="7:21" ht="15" customHeight="1" x14ac:dyDescent="0.2">
      <c r="O165" s="697"/>
      <c r="R165" s="10"/>
      <c r="S165" s="10"/>
      <c r="T165" s="10"/>
      <c r="U165" s="70"/>
    </row>
    <row r="166" spans="7:21" ht="15" customHeight="1" x14ac:dyDescent="0.2">
      <c r="R166" s="10"/>
      <c r="S166" s="10"/>
      <c r="T166" s="10"/>
      <c r="U166" s="70"/>
    </row>
    <row r="167" spans="7:21" ht="15" customHeight="1" x14ac:dyDescent="0.2">
      <c r="G167" s="1079"/>
      <c r="H167" s="1079"/>
      <c r="I167" s="1079"/>
      <c r="R167" s="10"/>
      <c r="S167" s="10"/>
      <c r="T167" s="10"/>
      <c r="U167" s="70"/>
    </row>
    <row r="168" spans="7:21" ht="15" customHeight="1" x14ac:dyDescent="0.2">
      <c r="G168" s="1079"/>
      <c r="H168" s="1079"/>
      <c r="I168" s="1079"/>
      <c r="O168" s="699"/>
      <c r="Q168" s="8"/>
      <c r="R168" s="10"/>
      <c r="S168" s="10"/>
      <c r="T168" s="10"/>
      <c r="U168" s="70"/>
    </row>
    <row r="169" spans="7:21" ht="15" customHeight="1" x14ac:dyDescent="0.2">
      <c r="G169" s="7"/>
      <c r="O169" s="699"/>
      <c r="Q169" s="8"/>
      <c r="R169" s="10"/>
      <c r="S169" s="10"/>
      <c r="T169" s="10"/>
      <c r="U169" s="70"/>
    </row>
    <row r="170" spans="7:21" ht="15" customHeight="1" x14ac:dyDescent="0.2">
      <c r="O170" s="689"/>
      <c r="Q170" s="8"/>
      <c r="R170" s="10"/>
      <c r="S170" s="10"/>
      <c r="U170" s="10"/>
    </row>
    <row r="171" spans="7:21" ht="15" customHeight="1" x14ac:dyDescent="0.2">
      <c r="O171" s="697"/>
      <c r="Q171" s="8"/>
      <c r="R171" s="10"/>
      <c r="S171" s="10"/>
      <c r="U171" s="10"/>
    </row>
    <row r="172" spans="7:21" ht="15" customHeight="1" x14ac:dyDescent="0.2">
      <c r="L172" s="20"/>
      <c r="O172" s="697"/>
      <c r="Q172" s="8"/>
      <c r="R172" s="10"/>
      <c r="S172" s="10"/>
      <c r="U172" s="10"/>
    </row>
    <row r="173" spans="7:21" ht="15" customHeight="1" x14ac:dyDescent="0.2">
      <c r="L173" s="20"/>
      <c r="O173" s="697"/>
      <c r="Q173" s="8"/>
      <c r="R173" s="10"/>
      <c r="S173" s="10"/>
      <c r="U173" s="10"/>
    </row>
    <row r="174" spans="7:21" ht="15" customHeight="1" x14ac:dyDescent="0.2">
      <c r="L174" s="494"/>
      <c r="O174" s="697"/>
      <c r="Q174" s="8"/>
      <c r="R174" s="10"/>
      <c r="S174" s="10"/>
      <c r="U174" s="10"/>
    </row>
    <row r="175" spans="7:21" ht="15" customHeight="1" x14ac:dyDescent="0.2">
      <c r="R175" s="10"/>
      <c r="S175" s="10"/>
      <c r="U175" s="10"/>
    </row>
    <row r="176" spans="7:21" ht="15" customHeight="1" x14ac:dyDescent="0.2">
      <c r="G176" s="7"/>
      <c r="R176" s="10"/>
      <c r="S176" s="10"/>
      <c r="U176" s="10"/>
    </row>
    <row r="177" spans="7:21" ht="15" customHeight="1" x14ac:dyDescent="0.2">
      <c r="J177" s="20"/>
      <c r="L177" s="20"/>
      <c r="O177" s="689"/>
      <c r="Q177" s="8"/>
      <c r="R177" s="10"/>
      <c r="S177" s="10"/>
      <c r="U177" s="10"/>
    </row>
    <row r="178" spans="7:21" ht="15" customHeight="1" x14ac:dyDescent="0.2">
      <c r="J178" s="20"/>
      <c r="L178" s="20"/>
      <c r="O178" s="697"/>
      <c r="Q178" s="8"/>
      <c r="R178" s="10"/>
      <c r="S178" s="10"/>
      <c r="U178" s="10"/>
    </row>
    <row r="179" spans="7:21" ht="15" customHeight="1" x14ac:dyDescent="0.2">
      <c r="J179" s="494"/>
      <c r="K179" s="700"/>
      <c r="O179" s="697"/>
      <c r="Q179" s="8"/>
      <c r="R179" s="10"/>
      <c r="S179" s="10"/>
      <c r="U179" s="10"/>
    </row>
    <row r="180" spans="7:21" ht="15" customHeight="1" x14ac:dyDescent="0.2">
      <c r="L180" s="20"/>
      <c r="O180" s="697"/>
      <c r="Q180" s="8"/>
      <c r="R180" s="10"/>
      <c r="S180" s="10"/>
      <c r="U180" s="10"/>
    </row>
    <row r="181" spans="7:21" ht="15" customHeight="1" x14ac:dyDescent="0.2">
      <c r="H181" s="531"/>
      <c r="K181" s="700"/>
      <c r="O181" s="697"/>
      <c r="Q181" s="8"/>
      <c r="R181" s="10"/>
      <c r="S181" s="10"/>
      <c r="U181" s="10"/>
    </row>
    <row r="182" spans="7:21" ht="15" customHeight="1" x14ac:dyDescent="0.2">
      <c r="U182" s="8"/>
    </row>
    <row r="183" spans="7:21" ht="15" customHeight="1" x14ac:dyDescent="0.2">
      <c r="O183" s="699"/>
      <c r="Q183" s="8"/>
      <c r="R183" s="10"/>
      <c r="S183" s="10"/>
      <c r="U183" s="10"/>
    </row>
    <row r="184" spans="7:21" ht="15" customHeight="1" x14ac:dyDescent="0.2">
      <c r="R184" s="10"/>
      <c r="S184" s="10"/>
      <c r="U184" s="10"/>
    </row>
    <row r="185" spans="7:21" ht="15" customHeight="1" x14ac:dyDescent="0.2">
      <c r="G185" s="7"/>
      <c r="R185" s="10"/>
      <c r="S185" s="10"/>
      <c r="U185" s="10"/>
    </row>
    <row r="186" spans="7:21" ht="15" customHeight="1" x14ac:dyDescent="0.2">
      <c r="O186" s="697"/>
      <c r="Q186" s="8"/>
      <c r="R186" s="10"/>
      <c r="S186" s="10"/>
      <c r="U186" s="10"/>
    </row>
    <row r="187" spans="7:21" ht="15" customHeight="1" x14ac:dyDescent="0.2">
      <c r="O187" s="8"/>
      <c r="Q187" s="8"/>
      <c r="R187" s="10"/>
      <c r="S187" s="10"/>
      <c r="U187" s="10"/>
    </row>
    <row r="188" spans="7:21" ht="15" customHeight="1" x14ac:dyDescent="0.2">
      <c r="O188" s="701"/>
      <c r="Q188" s="8"/>
      <c r="R188" s="10"/>
      <c r="S188" s="10"/>
      <c r="U188" s="10"/>
    </row>
    <row r="189" spans="7:21" ht="15" customHeight="1" x14ac:dyDescent="0.2">
      <c r="O189" s="701"/>
      <c r="Q189" s="8"/>
      <c r="R189" s="10"/>
      <c r="S189" s="10"/>
      <c r="U189" s="10"/>
    </row>
    <row r="190" spans="7:21" ht="15" customHeight="1" x14ac:dyDescent="0.2">
      <c r="O190" s="701"/>
      <c r="Q190" s="8"/>
      <c r="R190" s="10"/>
      <c r="S190" s="10"/>
      <c r="U190" s="10"/>
    </row>
    <row r="191" spans="7:21" ht="15" customHeight="1" x14ac:dyDescent="0.2">
      <c r="O191" s="701"/>
      <c r="Q191" s="8"/>
      <c r="R191" s="10"/>
      <c r="S191" s="10"/>
      <c r="U191" s="10"/>
    </row>
    <row r="192" spans="7:21" ht="15" customHeight="1" x14ac:dyDescent="0.2">
      <c r="O192" s="701"/>
      <c r="Q192" s="8"/>
      <c r="R192" s="10"/>
      <c r="S192" s="10"/>
      <c r="U192" s="10"/>
    </row>
    <row r="193" spans="7:21" ht="15" customHeight="1" x14ac:dyDescent="0.2">
      <c r="O193" s="8"/>
      <c r="Q193" s="8"/>
      <c r="R193" s="10"/>
      <c r="S193" s="10"/>
      <c r="U193" s="10"/>
    </row>
    <row r="194" spans="7:21" ht="15" customHeight="1" x14ac:dyDescent="0.2">
      <c r="O194" s="701"/>
      <c r="Q194" s="8"/>
      <c r="R194" s="10"/>
      <c r="S194" s="10"/>
      <c r="U194" s="10"/>
    </row>
    <row r="195" spans="7:21" ht="15" customHeight="1" x14ac:dyDescent="0.2">
      <c r="O195" s="8"/>
      <c r="Q195" s="8"/>
      <c r="R195" s="10"/>
      <c r="S195" s="10"/>
      <c r="U195" s="10"/>
    </row>
    <row r="196" spans="7:21" ht="15" customHeight="1" x14ac:dyDescent="0.2">
      <c r="O196" s="701"/>
      <c r="Q196" s="8"/>
      <c r="R196" s="10"/>
      <c r="S196" s="10"/>
      <c r="U196" s="10"/>
    </row>
    <row r="197" spans="7:21" ht="15" customHeight="1" x14ac:dyDescent="0.2">
      <c r="O197" s="697"/>
      <c r="Q197" s="8"/>
      <c r="R197" s="10"/>
      <c r="S197" s="10"/>
      <c r="U197" s="10"/>
    </row>
    <row r="198" spans="7:21" ht="15" customHeight="1" x14ac:dyDescent="0.2">
      <c r="O198" s="701"/>
      <c r="Q198" s="8"/>
      <c r="R198" s="10"/>
      <c r="S198" s="10"/>
      <c r="U198" s="10"/>
    </row>
    <row r="199" spans="7:21" ht="15" customHeight="1" x14ac:dyDescent="0.2">
      <c r="O199" s="701"/>
      <c r="Q199" s="8"/>
      <c r="R199" s="10"/>
      <c r="S199" s="10"/>
      <c r="U199" s="10"/>
    </row>
    <row r="200" spans="7:21" ht="15" customHeight="1" x14ac:dyDescent="0.2">
      <c r="O200" s="701"/>
      <c r="Q200" s="8"/>
      <c r="R200" s="10"/>
      <c r="S200" s="10"/>
      <c r="U200" s="10"/>
    </row>
    <row r="201" spans="7:21" ht="15" customHeight="1" x14ac:dyDescent="0.2">
      <c r="O201" s="8"/>
      <c r="Q201" s="8"/>
      <c r="R201" s="10"/>
      <c r="S201" s="10"/>
      <c r="U201" s="10"/>
    </row>
    <row r="202" spans="7:21" ht="15" customHeight="1" x14ac:dyDescent="0.2">
      <c r="O202" s="701"/>
      <c r="Q202" s="8"/>
      <c r="R202" s="10"/>
      <c r="S202" s="10"/>
      <c r="U202" s="10"/>
    </row>
    <row r="203" spans="7:21" ht="15" customHeight="1" x14ac:dyDescent="0.2">
      <c r="R203" s="10"/>
      <c r="S203" s="10"/>
      <c r="U203" s="10"/>
    </row>
    <row r="204" spans="7:21" ht="15" customHeight="1" x14ac:dyDescent="0.2">
      <c r="G204" s="7"/>
      <c r="R204" s="10"/>
      <c r="S204" s="10"/>
      <c r="U204" s="10"/>
    </row>
    <row r="205" spans="7:21" ht="15" customHeight="1" x14ac:dyDescent="0.2">
      <c r="O205" s="67"/>
      <c r="R205" s="10"/>
      <c r="S205" s="10"/>
      <c r="U205" s="10"/>
    </row>
  </sheetData>
  <mergeCells count="15">
    <mergeCell ref="B52:D52"/>
    <mergeCell ref="G85:I86"/>
    <mergeCell ref="G100:I101"/>
    <mergeCell ref="G116:I117"/>
    <mergeCell ref="G153:I154"/>
    <mergeCell ref="H33:K33"/>
    <mergeCell ref="H34:K34"/>
    <mergeCell ref="H35:K35"/>
    <mergeCell ref="H36:K36"/>
    <mergeCell ref="G167:I168"/>
    <mergeCell ref="A1:E3"/>
    <mergeCell ref="G1:I3"/>
    <mergeCell ref="G5:H7"/>
    <mergeCell ref="B7:D7"/>
    <mergeCell ref="B12:D12"/>
  </mergeCells>
  <conditionalFormatting sqref="G85">
    <cfRule type="expression" dxfId="10" priority="5">
      <formula>#REF!="No"</formula>
    </cfRule>
  </conditionalFormatting>
  <conditionalFormatting sqref="G100">
    <cfRule type="expression" dxfId="9" priority="1">
      <formula>#REF!="No"</formula>
    </cfRule>
  </conditionalFormatting>
  <conditionalFormatting sqref="G116">
    <cfRule type="expression" dxfId="8" priority="4">
      <formula>#REF!="No"</formula>
    </cfRule>
  </conditionalFormatting>
  <conditionalFormatting sqref="G153">
    <cfRule type="expression" dxfId="7" priority="3">
      <formula>#REF!="No"</formula>
    </cfRule>
  </conditionalFormatting>
  <conditionalFormatting sqref="G167">
    <cfRule type="expression" dxfId="6" priority="2">
      <formula>#REF!="No"</formula>
    </cfRule>
  </conditionalFormatting>
  <dataValidations count="1">
    <dataValidation type="list" allowBlank="1" showInputMessage="1" showErrorMessage="1" sqref="H181 H83 H95 H98" xr:uid="{00000000-0002-0000-1100-000000000000}">
      <formula1>"TBC, A, B, C"</formula1>
    </dataValidation>
  </dataValidations>
  <hyperlinks>
    <hyperlink ref="G5:H7" location="ComplexStep3!A1" display="Back" xr:uid="{00000000-0004-0000-1100-000000000000}"/>
  </hyperlinks>
  <pageMargins left="0.25" right="0.25" top="0.75" bottom="0.75" header="0.3" footer="0.3"/>
  <pageSetup paperSize="8" scale="44"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pageSetUpPr fitToPage="1"/>
  </sheetPr>
  <dimension ref="A1:AB206"/>
  <sheetViews>
    <sheetView showGridLines="0" zoomScale="70" zoomScaleNormal="70" zoomScaleSheetLayoutView="115" workbookViewId="0">
      <selection activeCell="AD180" sqref="AD180"/>
    </sheetView>
  </sheetViews>
  <sheetFormatPr defaultColWidth="8.7109375" defaultRowHeight="15" customHeight="1" x14ac:dyDescent="0.2"/>
  <cols>
    <col min="1" max="1" width="3.7109375" style="47" customWidth="1"/>
    <col min="2" max="2" width="8.85546875" style="62" customWidth="1"/>
    <col min="3" max="3" width="8.7109375" style="481" customWidth="1"/>
    <col min="4" max="4" width="8.7109375" style="49" customWidth="1"/>
    <col min="5" max="5" width="3.7109375" style="48" customWidth="1"/>
    <col min="6" max="6" width="8.7109375" style="8"/>
    <col min="7" max="7" width="8.7109375" style="10"/>
    <col min="8" max="10" width="8.7109375" style="8"/>
    <col min="11" max="11" width="8.7109375" style="45"/>
    <col min="12" max="15" width="8.7109375" style="8"/>
    <col min="16" max="16" width="8.7109375" style="87"/>
    <col min="17" max="17" width="8.7109375" style="8"/>
    <col min="18" max="18" width="8.7109375" style="9"/>
    <col min="19" max="21" width="8.7109375" style="8"/>
    <col min="22" max="16384" width="8.7109375" style="1"/>
  </cols>
  <sheetData>
    <row r="1" spans="1:28" ht="15" customHeight="1" x14ac:dyDescent="0.2">
      <c r="A1" s="1022"/>
      <c r="B1" s="1022"/>
      <c r="C1" s="1022"/>
      <c r="D1" s="1022"/>
      <c r="E1" s="1022"/>
      <c r="G1" s="1085" t="s">
        <v>616</v>
      </c>
      <c r="H1" s="1085"/>
      <c r="I1" s="1085"/>
    </row>
    <row r="2" spans="1:28" ht="15" customHeight="1" x14ac:dyDescent="0.2">
      <c r="A2" s="1022"/>
      <c r="B2" s="1022"/>
      <c r="C2" s="1022"/>
      <c r="D2" s="1022"/>
      <c r="E2" s="1022"/>
      <c r="G2" s="1085"/>
      <c r="H2" s="1085"/>
      <c r="I2" s="1085"/>
      <c r="J2" s="63"/>
      <c r="K2" s="116"/>
      <c r="L2" s="476"/>
      <c r="M2" s="477"/>
      <c r="N2" s="63"/>
      <c r="O2" s="63"/>
      <c r="P2" s="478"/>
      <c r="Q2" s="21"/>
    </row>
    <row r="3" spans="1:28" ht="15" customHeight="1" x14ac:dyDescent="0.2">
      <c r="A3" s="1022"/>
      <c r="B3" s="1022"/>
      <c r="C3" s="1022"/>
      <c r="D3" s="1022"/>
      <c r="E3" s="1022"/>
      <c r="G3" s="1085"/>
      <c r="H3" s="1085"/>
      <c r="I3" s="1085"/>
    </row>
    <row r="4" spans="1:28" ht="15" customHeight="1" x14ac:dyDescent="0.2">
      <c r="A4" s="618"/>
      <c r="B4" s="618"/>
      <c r="C4" s="618"/>
      <c r="D4" s="618"/>
      <c r="E4" s="618"/>
      <c r="G4" s="619"/>
      <c r="H4" s="619"/>
      <c r="I4" s="619"/>
    </row>
    <row r="5" spans="1:28" ht="15" customHeight="1" x14ac:dyDescent="0.2">
      <c r="A5" s="669"/>
      <c r="B5" s="62" t="s">
        <v>251</v>
      </c>
      <c r="C5" s="669"/>
      <c r="D5" s="669"/>
      <c r="E5" s="669"/>
      <c r="G5" s="1020" t="str">
        <f>HYPERLINK(CONCATENATE("#",Step1!$J$13,"Step3!A1"),"Back")</f>
        <v>Back</v>
      </c>
      <c r="H5" s="1020"/>
    </row>
    <row r="6" spans="1:28" ht="15" customHeight="1" x14ac:dyDescent="0.2">
      <c r="A6" s="669"/>
      <c r="C6" s="48"/>
      <c r="E6" s="669"/>
      <c r="G6" s="1020"/>
      <c r="H6" s="1020"/>
      <c r="K6" s="8"/>
      <c r="W6" s="479"/>
      <c r="X6" s="479"/>
    </row>
    <row r="7" spans="1:28" ht="15" customHeight="1" x14ac:dyDescent="0.2">
      <c r="A7" s="669"/>
      <c r="B7" s="1023" t="str">
        <f>IF(Step1!K12="New building",Step1!Q12,Step1!K15)</f>
        <v>1-19 Torrington Place</v>
      </c>
      <c r="C7" s="1023"/>
      <c r="D7" s="1023"/>
      <c r="E7" s="669"/>
      <c r="G7" s="1020"/>
      <c r="H7" s="1020"/>
      <c r="I7" s="22"/>
      <c r="J7" s="22"/>
      <c r="K7" s="8"/>
      <c r="W7" s="479"/>
      <c r="X7" s="479"/>
    </row>
    <row r="8" spans="1:28" ht="15" customHeight="1" x14ac:dyDescent="0.2">
      <c r="B8" s="89"/>
      <c r="C8" s="48"/>
      <c r="G8" s="285"/>
      <c r="R8" s="8"/>
    </row>
    <row r="9" spans="1:28" ht="15" customHeight="1" x14ac:dyDescent="0.2">
      <c r="B9" s="89"/>
      <c r="C9" s="48"/>
      <c r="G9" s="285"/>
      <c r="R9" s="8"/>
    </row>
    <row r="10" spans="1:28" ht="15" customHeight="1" x14ac:dyDescent="0.3">
      <c r="B10" s="1039" t="s">
        <v>329</v>
      </c>
      <c r="C10" s="1039"/>
      <c r="D10" s="1039"/>
      <c r="G10" s="811" t="s">
        <v>521</v>
      </c>
      <c r="H10" s="811"/>
      <c r="I10" s="811"/>
      <c r="J10" s="811"/>
      <c r="K10" s="812"/>
      <c r="L10" s="811"/>
      <c r="M10" s="811"/>
      <c r="N10" s="811"/>
      <c r="O10" s="811"/>
      <c r="P10" s="813" t="s">
        <v>280</v>
      </c>
      <c r="Q10" s="811"/>
      <c r="R10" s="811"/>
      <c r="S10" s="811" t="s">
        <v>281</v>
      </c>
      <c r="T10" s="811"/>
      <c r="U10" s="811"/>
      <c r="V10" s="811" t="s">
        <v>282</v>
      </c>
      <c r="W10" s="814"/>
      <c r="X10" s="814"/>
      <c r="Y10" s="308"/>
      <c r="Z10" s="308"/>
      <c r="AA10" s="308"/>
      <c r="AB10" s="308"/>
    </row>
    <row r="11" spans="1:28" ht="15" customHeight="1" x14ac:dyDescent="0.3">
      <c r="B11" s="588"/>
      <c r="C11" s="593"/>
      <c r="D11" s="594"/>
      <c r="G11" s="1"/>
      <c r="H11" s="1"/>
      <c r="I11" s="1"/>
      <c r="J11" s="1"/>
      <c r="K11" s="1"/>
      <c r="L11" s="1"/>
      <c r="M11" s="1"/>
      <c r="N11" s="1"/>
      <c r="O11" s="1"/>
      <c r="P11" s="1"/>
      <c r="Q11" s="1"/>
      <c r="R11" s="1"/>
      <c r="S11" s="1"/>
      <c r="T11" s="1"/>
      <c r="U11" s="1"/>
    </row>
    <row r="12" spans="1:28" ht="15" customHeight="1" x14ac:dyDescent="0.3">
      <c r="B12" s="199" t="s">
        <v>575</v>
      </c>
      <c r="C12" s="595"/>
      <c r="D12" s="594"/>
      <c r="G12" s="17"/>
      <c r="H12" s="13"/>
      <c r="I12" s="13"/>
      <c r="J12" s="13"/>
      <c r="K12" s="117"/>
      <c r="L12" s="13"/>
      <c r="M12" s="13"/>
      <c r="N12" s="13"/>
      <c r="O12" s="13"/>
      <c r="P12" s="630"/>
      <c r="Q12" s="13"/>
      <c r="R12" s="28"/>
      <c r="S12" s="13"/>
      <c r="T12" s="13"/>
      <c r="U12" s="13"/>
      <c r="V12" s="60"/>
      <c r="W12" s="60"/>
      <c r="X12" s="60"/>
      <c r="Y12" s="60"/>
      <c r="Z12" s="60"/>
      <c r="AA12" s="60"/>
      <c r="AB12" s="60"/>
    </row>
    <row r="13" spans="1:28" ht="15" customHeight="1" x14ac:dyDescent="0.3">
      <c r="B13" s="588"/>
      <c r="C13" s="597"/>
      <c r="D13" s="594"/>
      <c r="G13" s="15" t="s">
        <v>467</v>
      </c>
      <c r="H13" s="60"/>
      <c r="I13" s="60"/>
      <c r="J13" s="60"/>
      <c r="K13" s="60"/>
      <c r="L13" s="60"/>
      <c r="M13" s="60"/>
      <c r="N13" s="60"/>
      <c r="O13" s="60"/>
      <c r="P13" s="482"/>
      <c r="Q13" s="60"/>
      <c r="R13" s="60"/>
      <c r="S13" s="60"/>
      <c r="T13" s="60"/>
      <c r="U13" s="60"/>
      <c r="V13" s="60"/>
      <c r="W13" s="60"/>
      <c r="X13" s="60"/>
      <c r="Y13" s="60"/>
      <c r="Z13" s="60"/>
      <c r="AA13" s="60"/>
      <c r="AB13" s="60"/>
    </row>
    <row r="14" spans="1:28" ht="15" customHeight="1" x14ac:dyDescent="0.3">
      <c r="B14" s="199" t="str">
        <f>IF(AND(Step1!$J$13="Complex",Step1!$K$14=1),"",HYPERLINK(CONCATENATE("#",Step1!$J$13,IF(Step1!$J$13="Simple","",CONCATENATE("at",Step1!$K$14)),"Step2!A1"),"STEP 2:CALCULATE"))</f>
        <v>STEP 2:CALCULATE</v>
      </c>
      <c r="C14" s="593"/>
      <c r="D14" s="594"/>
      <c r="G14" s="17" t="s">
        <v>359</v>
      </c>
      <c r="H14" s="60"/>
      <c r="I14" s="60"/>
      <c r="J14" s="60"/>
      <c r="K14" s="60"/>
      <c r="L14" s="60"/>
      <c r="M14" s="60"/>
      <c r="N14" s="60"/>
      <c r="O14" s="60"/>
      <c r="P14" s="259"/>
      <c r="Q14" s="60"/>
      <c r="R14" s="60"/>
      <c r="S14" s="14" t="s">
        <v>413</v>
      </c>
      <c r="T14" s="60"/>
      <c r="U14" s="60"/>
      <c r="V14" s="60"/>
      <c r="W14" s="60"/>
      <c r="X14" s="60"/>
      <c r="Y14" s="60"/>
      <c r="Z14" s="60"/>
      <c r="AA14" s="60"/>
      <c r="AB14" s="60"/>
    </row>
    <row r="15" spans="1:28" ht="15" customHeight="1" x14ac:dyDescent="0.3">
      <c r="B15" s="589"/>
      <c r="C15" s="593"/>
      <c r="D15" s="617"/>
      <c r="G15" s="17" t="s">
        <v>360</v>
      </c>
      <c r="H15" s="60"/>
      <c r="I15" s="60"/>
      <c r="J15" s="60"/>
      <c r="K15" s="60"/>
      <c r="L15" s="60"/>
      <c r="M15" s="60"/>
      <c r="N15" s="60"/>
      <c r="O15" s="60"/>
      <c r="P15" s="259"/>
      <c r="Q15" s="60"/>
      <c r="R15" s="60"/>
      <c r="S15" s="14" t="s">
        <v>413</v>
      </c>
      <c r="T15" s="60"/>
      <c r="U15" s="60"/>
      <c r="V15" s="60"/>
      <c r="W15" s="60"/>
      <c r="X15" s="60"/>
      <c r="Y15" s="60"/>
      <c r="Z15" s="60"/>
      <c r="AA15" s="60"/>
      <c r="AB15" s="60"/>
    </row>
    <row r="16" spans="1:28" ht="15" customHeight="1" x14ac:dyDescent="0.3">
      <c r="B16" s="204" t="str">
        <f>HYPERLINK(CONCATENATE("#",Step1!$J$13,"Step3!A1"),"STEP 3:RESULTS")</f>
        <v>STEP 3:RESULTS</v>
      </c>
      <c r="C16" s="593"/>
      <c r="D16" s="617"/>
      <c r="G16" s="17" t="s">
        <v>361</v>
      </c>
      <c r="H16" s="60"/>
      <c r="I16" s="60"/>
      <c r="J16" s="60"/>
      <c r="K16" s="60"/>
      <c r="L16" s="60"/>
      <c r="M16" s="60"/>
      <c r="N16" s="60"/>
      <c r="O16" s="60"/>
      <c r="P16" s="259"/>
      <c r="Q16" s="60"/>
      <c r="R16" s="60"/>
      <c r="S16" s="14" t="s">
        <v>413</v>
      </c>
      <c r="T16" s="60"/>
      <c r="U16" s="60"/>
      <c r="V16" s="60"/>
      <c r="W16" s="60"/>
      <c r="X16" s="60"/>
      <c r="Y16" s="60"/>
      <c r="Z16" s="60"/>
      <c r="AA16" s="60"/>
      <c r="AB16" s="60"/>
    </row>
    <row r="17" spans="1:28" ht="15" customHeight="1" x14ac:dyDescent="0.3">
      <c r="B17" s="590"/>
      <c r="C17" s="593"/>
      <c r="D17" s="617"/>
      <c r="G17" s="17" t="s">
        <v>362</v>
      </c>
      <c r="H17" s="60"/>
      <c r="I17" s="60"/>
      <c r="J17" s="60"/>
      <c r="K17" s="60"/>
      <c r="L17" s="60"/>
      <c r="M17" s="60"/>
      <c r="N17" s="60"/>
      <c r="O17" s="60"/>
      <c r="P17" s="259"/>
      <c r="Q17" s="60"/>
      <c r="R17" s="60"/>
      <c r="S17" s="14" t="s">
        <v>413</v>
      </c>
      <c r="T17" s="60"/>
      <c r="U17" s="60"/>
      <c r="V17" s="60"/>
      <c r="W17" s="60"/>
      <c r="X17" s="60"/>
      <c r="Y17" s="60"/>
      <c r="Z17" s="60"/>
      <c r="AA17" s="60"/>
      <c r="AB17" s="60"/>
    </row>
    <row r="18" spans="1:28" ht="15" customHeight="1" x14ac:dyDescent="0.3">
      <c r="A18" s="483" t="s">
        <v>330</v>
      </c>
      <c r="B18" s="201" t="s">
        <v>331</v>
      </c>
      <c r="C18" s="593"/>
      <c r="D18" s="617"/>
      <c r="G18" s="17" t="s">
        <v>363</v>
      </c>
      <c r="H18" s="60"/>
      <c r="I18" s="60"/>
      <c r="J18" s="60"/>
      <c r="K18" s="60"/>
      <c r="L18" s="60"/>
      <c r="M18" s="60"/>
      <c r="N18" s="60"/>
      <c r="O18" s="60"/>
      <c r="P18" s="259"/>
      <c r="Q18" s="60"/>
      <c r="R18" s="60"/>
      <c r="S18" s="14" t="s">
        <v>413</v>
      </c>
      <c r="T18" s="60"/>
      <c r="U18" s="60"/>
      <c r="V18" s="60"/>
      <c r="W18" s="60"/>
      <c r="X18" s="60"/>
      <c r="Y18" s="60"/>
      <c r="Z18" s="60"/>
      <c r="AA18" s="60"/>
      <c r="AB18" s="60"/>
    </row>
    <row r="19" spans="1:28" ht="15" customHeight="1" x14ac:dyDescent="0.2">
      <c r="B19" s="120"/>
      <c r="C19" s="48"/>
      <c r="G19" s="17" t="s">
        <v>364</v>
      </c>
      <c r="H19" s="60"/>
      <c r="I19" s="60"/>
      <c r="J19" s="60"/>
      <c r="K19" s="60"/>
      <c r="L19" s="60"/>
      <c r="M19" s="60"/>
      <c r="N19" s="60"/>
      <c r="O19" s="60"/>
      <c r="P19" s="259"/>
      <c r="Q19" s="60"/>
      <c r="R19" s="60"/>
      <c r="S19" s="14" t="s">
        <v>413</v>
      </c>
      <c r="T19" s="60"/>
      <c r="U19" s="60"/>
      <c r="V19" s="60"/>
      <c r="W19" s="60"/>
      <c r="X19" s="60"/>
      <c r="Y19" s="60"/>
      <c r="Z19" s="60"/>
      <c r="AA19" s="60"/>
      <c r="AB19" s="60"/>
    </row>
    <row r="20" spans="1:28" ht="15" customHeight="1" x14ac:dyDescent="0.2">
      <c r="B20" s="120"/>
      <c r="C20" s="48"/>
      <c r="G20" s="17" t="s">
        <v>188</v>
      </c>
      <c r="H20" s="13"/>
      <c r="I20" s="13"/>
      <c r="J20" s="13"/>
      <c r="K20" s="117"/>
      <c r="L20" s="13"/>
      <c r="M20" s="13"/>
      <c r="N20" s="13"/>
      <c r="O20" s="13"/>
      <c r="P20" s="259"/>
      <c r="Q20" s="13"/>
      <c r="R20" s="28"/>
      <c r="S20" s="14" t="s">
        <v>413</v>
      </c>
      <c r="T20" s="13"/>
      <c r="U20" s="13"/>
      <c r="V20" s="60"/>
      <c r="W20" s="60"/>
      <c r="X20" s="60"/>
      <c r="Y20" s="60"/>
      <c r="Z20" s="60"/>
      <c r="AA20" s="60"/>
      <c r="AB20" s="60"/>
    </row>
    <row r="21" spans="1:28" ht="15" customHeight="1" x14ac:dyDescent="0.2">
      <c r="B21" s="120"/>
      <c r="C21" s="48"/>
      <c r="G21" s="17" t="s">
        <v>20</v>
      </c>
      <c r="H21" s="13"/>
      <c r="I21" s="13"/>
      <c r="J21" s="13"/>
      <c r="K21" s="117"/>
      <c r="L21" s="13"/>
      <c r="M21" s="13"/>
      <c r="N21" s="13"/>
      <c r="O21" s="13"/>
      <c r="P21" s="259"/>
      <c r="Q21" s="13"/>
      <c r="R21" s="28"/>
      <c r="S21" s="14" t="s">
        <v>413</v>
      </c>
      <c r="T21" s="13"/>
      <c r="U21" s="13"/>
      <c r="V21" s="60"/>
      <c r="W21" s="60"/>
      <c r="X21" s="60"/>
      <c r="Y21" s="60"/>
      <c r="Z21" s="60"/>
      <c r="AA21" s="60"/>
      <c r="AB21" s="60"/>
    </row>
    <row r="22" spans="1:28" ht="15" customHeight="1" x14ac:dyDescent="0.2">
      <c r="B22" s="120"/>
      <c r="C22" s="48"/>
      <c r="G22" s="17" t="s">
        <v>433</v>
      </c>
      <c r="H22" s="13"/>
      <c r="I22" s="13"/>
      <c r="J22" s="13"/>
      <c r="K22" s="117"/>
      <c r="L22" s="13"/>
      <c r="M22" s="13"/>
      <c r="N22" s="13"/>
      <c r="O22" s="13"/>
      <c r="P22" s="259"/>
      <c r="Q22" s="13"/>
      <c r="R22" s="28"/>
      <c r="S22" s="14" t="s">
        <v>413</v>
      </c>
      <c r="T22" s="13"/>
      <c r="U22" s="13"/>
      <c r="V22" s="60"/>
      <c r="W22" s="60"/>
      <c r="X22" s="60"/>
      <c r="Y22" s="60"/>
      <c r="Z22" s="60"/>
      <c r="AA22" s="60"/>
      <c r="AB22" s="60"/>
    </row>
    <row r="23" spans="1:28" ht="15" customHeight="1" x14ac:dyDescent="0.2">
      <c r="B23" s="120"/>
      <c r="C23" s="48"/>
      <c r="G23" s="17" t="s">
        <v>366</v>
      </c>
      <c r="H23" s="13"/>
      <c r="I23" s="13"/>
      <c r="J23" s="13"/>
      <c r="K23" s="117"/>
      <c r="L23" s="13"/>
      <c r="M23" s="13"/>
      <c r="N23" s="13"/>
      <c r="O23" s="13"/>
      <c r="P23" s="259"/>
      <c r="Q23" s="13"/>
      <c r="R23" s="28"/>
      <c r="S23" s="14" t="s">
        <v>413</v>
      </c>
      <c r="T23" s="13"/>
      <c r="U23" s="13"/>
      <c r="V23" s="60"/>
      <c r="W23" s="60"/>
      <c r="X23" s="60"/>
      <c r="Y23" s="60"/>
      <c r="Z23" s="60"/>
      <c r="AA23" s="60"/>
      <c r="AB23" s="60"/>
    </row>
    <row r="24" spans="1:28" ht="15" customHeight="1" x14ac:dyDescent="0.2">
      <c r="B24" s="120"/>
      <c r="C24" s="48"/>
      <c r="G24" s="17"/>
      <c r="H24" s="13"/>
      <c r="I24" s="13"/>
      <c r="J24" s="13"/>
      <c r="K24" s="117"/>
      <c r="L24" s="13"/>
      <c r="M24" s="13"/>
      <c r="N24" s="13"/>
      <c r="O24" s="13"/>
      <c r="P24" s="13"/>
      <c r="Q24" s="13"/>
      <c r="R24" s="28"/>
      <c r="S24" s="14"/>
      <c r="T24" s="13"/>
      <c r="U24" s="13"/>
      <c r="V24" s="60"/>
      <c r="W24" s="60"/>
      <c r="X24" s="60"/>
      <c r="Y24" s="60"/>
      <c r="Z24" s="60"/>
      <c r="AA24" s="60"/>
      <c r="AB24" s="60"/>
    </row>
    <row r="25" spans="1:28" ht="15" customHeight="1" x14ac:dyDescent="0.2">
      <c r="B25" s="120"/>
      <c r="C25" s="48"/>
      <c r="G25" s="15" t="s">
        <v>538</v>
      </c>
      <c r="H25" s="13"/>
      <c r="I25" s="13"/>
      <c r="J25" s="13"/>
      <c r="K25" s="117"/>
      <c r="L25" s="13"/>
      <c r="M25" s="13"/>
      <c r="N25" s="13"/>
      <c r="O25" s="13"/>
      <c r="P25" s="13"/>
      <c r="Q25" s="13"/>
      <c r="R25" s="28"/>
      <c r="S25" s="14"/>
      <c r="T25" s="13"/>
      <c r="U25" s="13"/>
      <c r="V25" s="60"/>
      <c r="W25" s="60"/>
      <c r="X25" s="60"/>
      <c r="Y25" s="60"/>
      <c r="Z25" s="60"/>
      <c r="AA25" s="60"/>
      <c r="AB25" s="60"/>
    </row>
    <row r="26" spans="1:28" ht="15" customHeight="1" x14ac:dyDescent="0.2">
      <c r="B26" s="120"/>
      <c r="C26" s="48"/>
      <c r="G26" s="17" t="s">
        <v>359</v>
      </c>
      <c r="H26" s="60"/>
      <c r="I26" s="60"/>
      <c r="J26" s="60"/>
      <c r="K26" s="60"/>
      <c r="L26" s="60"/>
      <c r="M26" s="60"/>
      <c r="N26" s="60"/>
      <c r="O26" s="60"/>
      <c r="P26" s="259"/>
      <c r="Q26" s="60"/>
      <c r="R26" s="60"/>
      <c r="S26" s="14" t="s">
        <v>413</v>
      </c>
      <c r="T26" s="13"/>
      <c r="U26" s="13"/>
      <c r="V26" s="60"/>
      <c r="W26" s="60"/>
      <c r="X26" s="60"/>
      <c r="Y26" s="60"/>
      <c r="Z26" s="60"/>
      <c r="AA26" s="60"/>
      <c r="AB26" s="60"/>
    </row>
    <row r="27" spans="1:28" ht="15" customHeight="1" x14ac:dyDescent="0.2">
      <c r="B27" s="120"/>
      <c r="C27" s="48"/>
      <c r="G27" s="17" t="s">
        <v>360</v>
      </c>
      <c r="H27" s="60"/>
      <c r="I27" s="60"/>
      <c r="J27" s="60"/>
      <c r="K27" s="60"/>
      <c r="L27" s="60"/>
      <c r="M27" s="60"/>
      <c r="N27" s="60"/>
      <c r="O27" s="60"/>
      <c r="P27" s="259"/>
      <c r="Q27" s="60"/>
      <c r="R27" s="60"/>
      <c r="S27" s="14" t="s">
        <v>413</v>
      </c>
      <c r="T27" s="13"/>
      <c r="U27" s="13"/>
      <c r="V27" s="60"/>
      <c r="W27" s="60"/>
      <c r="X27" s="60"/>
      <c r="Y27" s="60"/>
      <c r="Z27" s="60"/>
      <c r="AA27" s="60"/>
      <c r="AB27" s="60"/>
    </row>
    <row r="28" spans="1:28" ht="15" customHeight="1" x14ac:dyDescent="0.2">
      <c r="B28" s="120"/>
      <c r="C28" s="48"/>
      <c r="G28" s="17" t="s">
        <v>361</v>
      </c>
      <c r="H28" s="60"/>
      <c r="I28" s="60"/>
      <c r="J28" s="60"/>
      <c r="K28" s="60"/>
      <c r="L28" s="60"/>
      <c r="M28" s="60"/>
      <c r="N28" s="60"/>
      <c r="O28" s="60"/>
      <c r="P28" s="259"/>
      <c r="Q28" s="60"/>
      <c r="R28" s="60"/>
      <c r="S28" s="14" t="s">
        <v>413</v>
      </c>
      <c r="T28" s="13"/>
      <c r="U28" s="13"/>
      <c r="V28" s="60"/>
      <c r="W28" s="60"/>
      <c r="X28" s="60"/>
      <c r="Y28" s="60"/>
      <c r="Z28" s="60"/>
      <c r="AA28" s="60"/>
      <c r="AB28" s="60"/>
    </row>
    <row r="29" spans="1:28" ht="15" customHeight="1" x14ac:dyDescent="0.2">
      <c r="B29" s="120"/>
      <c r="C29" s="48"/>
      <c r="G29" s="17" t="s">
        <v>362</v>
      </c>
      <c r="H29" s="60"/>
      <c r="I29" s="60"/>
      <c r="J29" s="60"/>
      <c r="K29" s="60"/>
      <c r="L29" s="60"/>
      <c r="M29" s="60"/>
      <c r="N29" s="60"/>
      <c r="O29" s="60"/>
      <c r="P29" s="259"/>
      <c r="Q29" s="60"/>
      <c r="R29" s="60"/>
      <c r="S29" s="14" t="s">
        <v>413</v>
      </c>
      <c r="T29" s="13"/>
      <c r="U29" s="13"/>
      <c r="V29" s="60"/>
      <c r="W29" s="60"/>
      <c r="X29" s="60"/>
      <c r="Y29" s="60"/>
      <c r="Z29" s="60"/>
      <c r="AA29" s="60"/>
      <c r="AB29" s="60"/>
    </row>
    <row r="30" spans="1:28" ht="15" customHeight="1" x14ac:dyDescent="0.2">
      <c r="B30" s="120"/>
      <c r="C30" s="48"/>
      <c r="G30" s="17" t="s">
        <v>363</v>
      </c>
      <c r="H30" s="60"/>
      <c r="I30" s="60"/>
      <c r="J30" s="60"/>
      <c r="K30" s="60"/>
      <c r="L30" s="60"/>
      <c r="M30" s="60"/>
      <c r="N30" s="60"/>
      <c r="O30" s="60"/>
      <c r="P30" s="259"/>
      <c r="Q30" s="60"/>
      <c r="R30" s="60"/>
      <c r="S30" s="14" t="s">
        <v>413</v>
      </c>
      <c r="T30" s="13"/>
      <c r="U30" s="13"/>
      <c r="V30" s="60"/>
      <c r="W30" s="60"/>
      <c r="X30" s="60"/>
      <c r="Y30" s="60"/>
      <c r="Z30" s="60"/>
      <c r="AA30" s="60"/>
      <c r="AB30" s="60"/>
    </row>
    <row r="31" spans="1:28" ht="15" customHeight="1" x14ac:dyDescent="0.2">
      <c r="B31" s="120"/>
      <c r="C31" s="48"/>
      <c r="G31" s="17" t="s">
        <v>364</v>
      </c>
      <c r="H31" s="60"/>
      <c r="I31" s="60"/>
      <c r="J31" s="60"/>
      <c r="K31" s="60"/>
      <c r="L31" s="60"/>
      <c r="M31" s="60"/>
      <c r="N31" s="60"/>
      <c r="O31" s="60"/>
      <c r="P31" s="259"/>
      <c r="Q31" s="60"/>
      <c r="R31" s="60"/>
      <c r="S31" s="14" t="s">
        <v>413</v>
      </c>
      <c r="T31" s="13"/>
      <c r="U31" s="13"/>
      <c r="V31" s="60"/>
      <c r="W31" s="60"/>
      <c r="X31" s="60"/>
      <c r="Y31" s="60"/>
      <c r="Z31" s="60"/>
      <c r="AA31" s="60"/>
      <c r="AB31" s="60"/>
    </row>
    <row r="32" spans="1:28" ht="15" customHeight="1" x14ac:dyDescent="0.2">
      <c r="B32" s="120"/>
      <c r="C32" s="48"/>
      <c r="G32" s="17" t="s">
        <v>188</v>
      </c>
      <c r="H32" s="13"/>
      <c r="I32" s="13"/>
      <c r="J32" s="13"/>
      <c r="K32" s="117"/>
      <c r="L32" s="13"/>
      <c r="M32" s="13"/>
      <c r="N32" s="13"/>
      <c r="O32" s="13"/>
      <c r="P32" s="259"/>
      <c r="Q32" s="13"/>
      <c r="R32" s="28"/>
      <c r="S32" s="14" t="s">
        <v>413</v>
      </c>
      <c r="T32" s="13"/>
      <c r="U32" s="13"/>
      <c r="V32" s="60"/>
      <c r="W32" s="60"/>
      <c r="X32" s="60"/>
      <c r="Y32" s="60"/>
      <c r="Z32" s="60"/>
      <c r="AA32" s="60"/>
      <c r="AB32" s="60"/>
    </row>
    <row r="33" spans="2:28" ht="15" customHeight="1" x14ac:dyDescent="0.2">
      <c r="B33" s="120"/>
      <c r="C33" s="48"/>
      <c r="G33" s="17" t="s">
        <v>20</v>
      </c>
      <c r="H33" s="13"/>
      <c r="I33" s="13"/>
      <c r="J33" s="13"/>
      <c r="K33" s="117"/>
      <c r="L33" s="13"/>
      <c r="M33" s="13"/>
      <c r="N33" s="13"/>
      <c r="O33" s="13"/>
      <c r="P33" s="259"/>
      <c r="Q33" s="13"/>
      <c r="R33" s="28"/>
      <c r="S33" s="14" t="s">
        <v>413</v>
      </c>
      <c r="T33" s="13"/>
      <c r="U33" s="13"/>
      <c r="V33" s="60"/>
      <c r="W33" s="60"/>
      <c r="X33" s="60"/>
      <c r="Y33" s="60"/>
      <c r="Z33" s="60"/>
      <c r="AA33" s="60"/>
      <c r="AB33" s="60"/>
    </row>
    <row r="34" spans="2:28" ht="15" customHeight="1" x14ac:dyDescent="0.2">
      <c r="B34" s="120"/>
      <c r="C34" s="48"/>
      <c r="G34" s="17" t="s">
        <v>433</v>
      </c>
      <c r="H34" s="13"/>
      <c r="I34" s="13"/>
      <c r="J34" s="13"/>
      <c r="K34" s="117"/>
      <c r="L34" s="13"/>
      <c r="M34" s="13"/>
      <c r="N34" s="13"/>
      <c r="O34" s="13"/>
      <c r="P34" s="259"/>
      <c r="Q34" s="13"/>
      <c r="R34" s="28"/>
      <c r="S34" s="14" t="s">
        <v>413</v>
      </c>
      <c r="T34" s="13"/>
      <c r="U34" s="13"/>
      <c r="V34" s="60"/>
      <c r="W34" s="60"/>
      <c r="X34" s="60"/>
      <c r="Y34" s="60"/>
      <c r="Z34" s="60"/>
      <c r="AA34" s="60"/>
      <c r="AB34" s="60"/>
    </row>
    <row r="35" spans="2:28" ht="15" customHeight="1" x14ac:dyDescent="0.2">
      <c r="B35" s="120"/>
      <c r="C35" s="48"/>
      <c r="G35" s="17" t="s">
        <v>366</v>
      </c>
      <c r="H35" s="13"/>
      <c r="I35" s="13"/>
      <c r="J35" s="13"/>
      <c r="K35" s="117"/>
      <c r="L35" s="13"/>
      <c r="M35" s="13"/>
      <c r="N35" s="13"/>
      <c r="O35" s="13"/>
      <c r="P35" s="259"/>
      <c r="Q35" s="13"/>
      <c r="R35" s="28"/>
      <c r="S35" s="14" t="s">
        <v>413</v>
      </c>
      <c r="T35" s="13"/>
      <c r="U35" s="13"/>
      <c r="V35" s="60"/>
      <c r="W35" s="60"/>
      <c r="X35" s="60"/>
      <c r="Y35" s="60"/>
      <c r="Z35" s="60"/>
      <c r="AA35" s="60"/>
      <c r="AB35" s="60"/>
    </row>
    <row r="36" spans="2:28" ht="15" customHeight="1" x14ac:dyDescent="0.2">
      <c r="B36" s="119"/>
    </row>
    <row r="37" spans="2:28" ht="15" customHeight="1" x14ac:dyDescent="0.2">
      <c r="B37" s="484"/>
      <c r="C37" s="114"/>
      <c r="G37" s="1099" t="s">
        <v>503</v>
      </c>
      <c r="H37" s="1099"/>
      <c r="I37" s="1099"/>
      <c r="J37" s="30"/>
      <c r="K37" s="30"/>
      <c r="L37" s="30"/>
      <c r="M37" s="13"/>
      <c r="N37" s="13"/>
      <c r="O37" s="13"/>
      <c r="P37" s="485"/>
      <c r="Q37" s="13"/>
      <c r="R37" s="28"/>
      <c r="S37" s="13"/>
      <c r="T37" s="13"/>
      <c r="U37" s="13"/>
      <c r="V37" s="60"/>
      <c r="W37" s="60"/>
      <c r="X37" s="60"/>
      <c r="Y37" s="60"/>
      <c r="Z37" s="60"/>
      <c r="AA37" s="60"/>
      <c r="AB37" s="60"/>
    </row>
    <row r="38" spans="2:28" ht="15" customHeight="1" x14ac:dyDescent="0.2">
      <c r="B38" s="119"/>
      <c r="C38" s="114"/>
      <c r="G38" s="1099"/>
      <c r="H38" s="1099"/>
      <c r="I38" s="1099"/>
      <c r="J38" s="13"/>
      <c r="K38" s="117"/>
      <c r="L38" s="13"/>
      <c r="M38" s="13"/>
      <c r="N38" s="13"/>
      <c r="O38" s="13"/>
      <c r="P38" s="485"/>
      <c r="Q38" s="13"/>
      <c r="R38" s="28"/>
      <c r="S38" s="13"/>
      <c r="T38" s="13"/>
      <c r="U38" s="13"/>
      <c r="V38" s="60"/>
      <c r="W38" s="60"/>
      <c r="X38" s="60"/>
      <c r="Y38" s="60"/>
      <c r="Z38" s="60"/>
      <c r="AA38" s="60"/>
      <c r="AB38" s="60"/>
    </row>
    <row r="39" spans="2:28" ht="15" customHeight="1" x14ac:dyDescent="0.2">
      <c r="B39" s="484"/>
      <c r="C39" s="114"/>
      <c r="G39" s="15" t="s">
        <v>209</v>
      </c>
      <c r="H39" s="15"/>
      <c r="I39" s="30"/>
      <c r="J39" s="30"/>
      <c r="K39" s="30"/>
      <c r="L39" s="30"/>
      <c r="M39" s="13"/>
      <c r="N39" s="13"/>
      <c r="O39" s="13"/>
      <c r="P39" s="485"/>
      <c r="Q39" s="13"/>
      <c r="R39" s="28"/>
      <c r="S39" s="13"/>
      <c r="T39" s="13"/>
      <c r="U39" s="13"/>
      <c r="V39" s="69"/>
      <c r="W39" s="60"/>
      <c r="X39" s="60"/>
      <c r="Y39" s="60"/>
      <c r="Z39" s="60"/>
      <c r="AA39" s="60"/>
      <c r="AB39" s="60"/>
    </row>
    <row r="40" spans="2:28" ht="15" customHeight="1" x14ac:dyDescent="0.2">
      <c r="B40" s="89"/>
      <c r="C40" s="48"/>
      <c r="G40" s="17" t="s">
        <v>309</v>
      </c>
      <c r="H40" s="17"/>
      <c r="I40" s="13"/>
      <c r="J40" s="13"/>
      <c r="K40" s="117"/>
      <c r="L40" s="13"/>
      <c r="M40" s="13"/>
      <c r="N40" s="13"/>
      <c r="O40" s="651">
        <f>SimpleF!J28</f>
        <v>0</v>
      </c>
      <c r="P40" s="651">
        <f>SimpleF!P28</f>
        <v>0</v>
      </c>
      <c r="Q40" s="651">
        <f>SimpleF!AB28</f>
        <v>0</v>
      </c>
      <c r="R40" s="13"/>
      <c r="S40" s="14" t="s">
        <v>278</v>
      </c>
      <c r="T40" s="13"/>
      <c r="U40" s="13"/>
      <c r="V40" s="69"/>
      <c r="W40" s="60"/>
      <c r="X40" s="60"/>
      <c r="Y40" s="60"/>
      <c r="Z40" s="60"/>
      <c r="AA40" s="60"/>
      <c r="AB40" s="60"/>
    </row>
    <row r="41" spans="2:28" ht="15" customHeight="1" x14ac:dyDescent="0.2">
      <c r="B41" s="89"/>
      <c r="C41" s="48"/>
      <c r="G41" s="17" t="s">
        <v>400</v>
      </c>
      <c r="H41" s="17"/>
      <c r="I41" s="13"/>
      <c r="J41" s="13"/>
      <c r="K41" s="117"/>
      <c r="L41" s="13"/>
      <c r="M41" s="13"/>
      <c r="N41" s="13"/>
      <c r="O41" s="117"/>
      <c r="P41" s="625">
        <v>4.5999999999999996</v>
      </c>
      <c r="Q41" s="117"/>
      <c r="R41" s="13"/>
      <c r="S41" s="14" t="s">
        <v>278</v>
      </c>
      <c r="T41" s="13"/>
      <c r="U41" s="13"/>
      <c r="V41" s="69" t="s">
        <v>666</v>
      </c>
      <c r="W41" s="60"/>
      <c r="X41" s="60"/>
      <c r="Y41" s="60"/>
      <c r="Z41" s="60"/>
      <c r="AA41" s="60"/>
      <c r="AB41" s="60"/>
    </row>
    <row r="42" spans="2:28" ht="15" customHeight="1" x14ac:dyDescent="0.2">
      <c r="B42" s="89"/>
      <c r="C42" s="48"/>
      <c r="G42" s="17" t="s">
        <v>678</v>
      </c>
      <c r="H42" s="17"/>
      <c r="I42" s="13"/>
      <c r="J42" s="13"/>
      <c r="K42" s="117"/>
      <c r="L42" s="13"/>
      <c r="M42" s="13"/>
      <c r="N42" s="13"/>
      <c r="O42" s="117"/>
      <c r="P42" s="625">
        <v>2.2000000000000002</v>
      </c>
      <c r="Q42" s="117"/>
      <c r="R42" s="13"/>
      <c r="S42" s="14" t="s">
        <v>278</v>
      </c>
      <c r="T42" s="13"/>
      <c r="U42" s="13"/>
      <c r="V42" s="69" t="s">
        <v>682</v>
      </c>
      <c r="W42" s="60"/>
      <c r="X42" s="60"/>
      <c r="Y42" s="60"/>
      <c r="Z42" s="60"/>
      <c r="AA42" s="60"/>
      <c r="AB42" s="60"/>
    </row>
    <row r="43" spans="2:28" ht="15" customHeight="1" x14ac:dyDescent="0.2">
      <c r="B43" s="89"/>
      <c r="C43" s="48"/>
      <c r="G43" s="17" t="s">
        <v>679</v>
      </c>
      <c r="H43" s="17"/>
      <c r="I43" s="13"/>
      <c r="J43" s="13"/>
      <c r="K43" s="117"/>
      <c r="L43" s="13"/>
      <c r="M43" s="13"/>
      <c r="N43" s="13"/>
      <c r="O43" s="117"/>
      <c r="P43" s="625">
        <v>1.6</v>
      </c>
      <c r="Q43" s="117"/>
      <c r="R43" s="13"/>
      <c r="S43" s="14" t="s">
        <v>278</v>
      </c>
      <c r="T43" s="13"/>
      <c r="U43" s="13"/>
      <c r="V43" s="69" t="s">
        <v>676</v>
      </c>
      <c r="W43" s="60"/>
      <c r="X43" s="60"/>
      <c r="Y43" s="60"/>
      <c r="Z43" s="60"/>
      <c r="AA43" s="60"/>
      <c r="AB43" s="60"/>
    </row>
    <row r="44" spans="2:28" ht="15" customHeight="1" x14ac:dyDescent="0.2">
      <c r="B44" s="89"/>
      <c r="C44" s="48"/>
      <c r="G44" s="17" t="s">
        <v>401</v>
      </c>
      <c r="H44" s="17"/>
      <c r="I44" s="13"/>
      <c r="J44" s="13"/>
      <c r="K44" s="117"/>
      <c r="L44" s="13"/>
      <c r="M44" s="13"/>
      <c r="N44" s="13"/>
      <c r="O44" s="13"/>
      <c r="P44" s="625">
        <v>0.9</v>
      </c>
      <c r="Q44" s="13"/>
      <c r="R44" s="13"/>
      <c r="S44" s="14" t="s">
        <v>278</v>
      </c>
      <c r="T44" s="14"/>
      <c r="U44" s="14"/>
      <c r="V44" s="69" t="s">
        <v>666</v>
      </c>
      <c r="W44" s="60"/>
      <c r="X44" s="60"/>
      <c r="Y44" s="60"/>
      <c r="Z44" s="60"/>
      <c r="AA44" s="60"/>
      <c r="AB44" s="60"/>
    </row>
    <row r="45" spans="2:28" ht="15" customHeight="1" x14ac:dyDescent="0.2">
      <c r="B45" s="89"/>
      <c r="C45" s="48"/>
      <c r="G45" s="17" t="s">
        <v>403</v>
      </c>
      <c r="H45" s="17"/>
      <c r="I45" s="13"/>
      <c r="J45" s="13"/>
      <c r="K45" s="117"/>
      <c r="L45" s="13"/>
      <c r="M45" s="13"/>
      <c r="N45" s="13"/>
      <c r="O45" s="13"/>
      <c r="P45" s="625">
        <v>0.85</v>
      </c>
      <c r="Q45" s="13"/>
      <c r="R45" s="13"/>
      <c r="S45" s="14" t="s">
        <v>278</v>
      </c>
      <c r="T45" s="14"/>
      <c r="U45" s="14"/>
      <c r="V45" s="69" t="s">
        <v>402</v>
      </c>
      <c r="W45" s="60"/>
      <c r="X45" s="60"/>
      <c r="Y45" s="60"/>
      <c r="Z45" s="60"/>
      <c r="AA45" s="60"/>
      <c r="AB45" s="60"/>
    </row>
    <row r="46" spans="2:28" ht="15" customHeight="1" x14ac:dyDescent="0.2">
      <c r="B46" s="89"/>
      <c r="C46" s="48"/>
      <c r="G46" s="17"/>
      <c r="H46" s="17"/>
      <c r="I46" s="13"/>
      <c r="J46" s="13"/>
      <c r="K46" s="117"/>
      <c r="L46" s="13"/>
      <c r="M46" s="13"/>
      <c r="N46" s="13"/>
      <c r="O46" s="13"/>
      <c r="P46" s="485"/>
      <c r="Q46" s="13"/>
      <c r="R46" s="28"/>
      <c r="S46" s="13"/>
      <c r="T46" s="13"/>
      <c r="U46" s="13"/>
      <c r="V46" s="69"/>
      <c r="W46" s="60"/>
      <c r="X46" s="60"/>
      <c r="Y46" s="60"/>
      <c r="Z46" s="60"/>
      <c r="AA46" s="60"/>
      <c r="AB46" s="60"/>
    </row>
    <row r="47" spans="2:28" ht="15" customHeight="1" x14ac:dyDescent="0.2">
      <c r="C47" s="48"/>
      <c r="G47" s="15" t="s">
        <v>208</v>
      </c>
      <c r="H47" s="17"/>
      <c r="I47" s="13"/>
      <c r="J47" s="13"/>
      <c r="K47" s="117"/>
      <c r="L47" s="13"/>
      <c r="M47" s="13"/>
      <c r="N47" s="13"/>
      <c r="O47" s="13"/>
      <c r="P47" s="485"/>
      <c r="Q47" s="13"/>
      <c r="R47" s="13"/>
      <c r="S47" s="14"/>
      <c r="T47" s="14"/>
      <c r="U47" s="14"/>
      <c r="V47" s="69"/>
      <c r="W47" s="60"/>
      <c r="X47" s="60"/>
      <c r="Y47" s="60"/>
      <c r="Z47" s="60"/>
      <c r="AA47" s="60"/>
      <c r="AB47" s="60"/>
    </row>
    <row r="48" spans="2:28" ht="15" customHeight="1" x14ac:dyDescent="0.2">
      <c r="B48" s="1080"/>
      <c r="C48" s="1080"/>
      <c r="D48" s="1080"/>
      <c r="G48" s="17" t="s">
        <v>309</v>
      </c>
      <c r="H48" s="17"/>
      <c r="I48" s="13"/>
      <c r="J48" s="13"/>
      <c r="K48" s="117"/>
      <c r="L48" s="13"/>
      <c r="M48" s="13"/>
      <c r="N48" s="13"/>
      <c r="O48" s="651">
        <f>SimpleF!J29</f>
        <v>0</v>
      </c>
      <c r="P48" s="651">
        <f>SimpleF!P29</f>
        <v>0</v>
      </c>
      <c r="Q48" s="651">
        <f>SimpleF!AB29</f>
        <v>0</v>
      </c>
      <c r="R48" s="13"/>
      <c r="S48" s="14" t="s">
        <v>278</v>
      </c>
      <c r="T48" s="14"/>
      <c r="U48" s="14"/>
      <c r="V48" s="69"/>
      <c r="W48" s="60"/>
      <c r="X48" s="60"/>
      <c r="Y48" s="60"/>
      <c r="Z48" s="60"/>
      <c r="AA48" s="60"/>
      <c r="AB48" s="60"/>
    </row>
    <row r="49" spans="3:28" ht="15" customHeight="1" x14ac:dyDescent="0.2">
      <c r="C49" s="62"/>
      <c r="D49" s="62"/>
      <c r="G49" s="397" t="s">
        <v>404</v>
      </c>
      <c r="H49" s="17"/>
      <c r="I49" s="13"/>
      <c r="J49" s="13"/>
      <c r="K49" s="117"/>
      <c r="L49" s="13"/>
      <c r="M49" s="13"/>
      <c r="N49" s="13"/>
      <c r="O49" s="117"/>
      <c r="P49" s="625">
        <v>2</v>
      </c>
      <c r="Q49" s="117"/>
      <c r="R49" s="13"/>
      <c r="S49" s="14" t="s">
        <v>278</v>
      </c>
      <c r="T49" s="14"/>
      <c r="U49" s="14"/>
      <c r="V49" s="69" t="s">
        <v>666</v>
      </c>
      <c r="W49" s="60"/>
      <c r="X49" s="60"/>
      <c r="Y49" s="60"/>
      <c r="Z49" s="60"/>
      <c r="AA49" s="60"/>
      <c r="AB49" s="60"/>
    </row>
    <row r="50" spans="3:28" ht="15" customHeight="1" x14ac:dyDescent="0.2">
      <c r="C50" s="62"/>
      <c r="D50" s="62"/>
      <c r="G50" s="397" t="s">
        <v>523</v>
      </c>
      <c r="H50" s="17"/>
      <c r="I50" s="13"/>
      <c r="J50" s="13"/>
      <c r="K50" s="117"/>
      <c r="L50" s="13"/>
      <c r="M50" s="13"/>
      <c r="N50" s="13"/>
      <c r="O50" s="117"/>
      <c r="P50" s="625">
        <v>1.5</v>
      </c>
      <c r="Q50" s="117"/>
      <c r="R50" s="13"/>
      <c r="S50" s="14" t="s">
        <v>278</v>
      </c>
      <c r="T50" s="14"/>
      <c r="U50" s="14"/>
      <c r="V50" s="69" t="s">
        <v>666</v>
      </c>
      <c r="W50" s="60"/>
      <c r="X50" s="60"/>
      <c r="Y50" s="60"/>
      <c r="Z50" s="60"/>
      <c r="AA50" s="60"/>
      <c r="AB50" s="60"/>
    </row>
    <row r="51" spans="3:28" ht="15" customHeight="1" x14ac:dyDescent="0.2">
      <c r="C51" s="62"/>
      <c r="D51" s="62"/>
      <c r="G51" s="397" t="s">
        <v>524</v>
      </c>
      <c r="H51" s="17"/>
      <c r="I51" s="13"/>
      <c r="J51" s="13"/>
      <c r="K51" s="117"/>
      <c r="L51" s="13"/>
      <c r="M51" s="13"/>
      <c r="N51" s="13"/>
      <c r="O51" s="117"/>
      <c r="P51" s="625">
        <v>0.5</v>
      </c>
      <c r="Q51" s="117"/>
      <c r="R51" s="13"/>
      <c r="S51" s="14" t="s">
        <v>278</v>
      </c>
      <c r="T51" s="14"/>
      <c r="U51" s="14"/>
      <c r="V51" s="69" t="s">
        <v>666</v>
      </c>
      <c r="W51" s="60"/>
      <c r="X51" s="60"/>
      <c r="Y51" s="60"/>
      <c r="Z51" s="60"/>
      <c r="AA51" s="60"/>
      <c r="AB51" s="60"/>
    </row>
    <row r="52" spans="3:28" ht="15" customHeight="1" x14ac:dyDescent="0.2">
      <c r="C52" s="62"/>
      <c r="D52" s="62"/>
      <c r="G52" s="397" t="s">
        <v>630</v>
      </c>
      <c r="H52" s="17"/>
      <c r="I52" s="13"/>
      <c r="J52" s="13"/>
      <c r="K52" s="117"/>
      <c r="L52" s="13"/>
      <c r="M52" s="13"/>
      <c r="N52" s="13"/>
      <c r="O52" s="117"/>
      <c r="P52" s="625">
        <v>0.35</v>
      </c>
      <c r="Q52" s="117"/>
      <c r="R52" s="13"/>
      <c r="S52" s="14" t="s">
        <v>278</v>
      </c>
      <c r="T52" s="14"/>
      <c r="U52" s="14"/>
      <c r="V52" s="69" t="s">
        <v>682</v>
      </c>
      <c r="W52" s="60"/>
      <c r="X52" s="60"/>
      <c r="Y52" s="60"/>
      <c r="Z52" s="60"/>
      <c r="AA52" s="60"/>
      <c r="AB52" s="60"/>
    </row>
    <row r="53" spans="3:28" ht="15" customHeight="1" x14ac:dyDescent="0.2">
      <c r="C53" s="62"/>
      <c r="D53" s="62"/>
      <c r="G53" s="397" t="s">
        <v>631</v>
      </c>
      <c r="H53" s="17"/>
      <c r="I53" s="13"/>
      <c r="J53" s="13"/>
      <c r="K53" s="117"/>
      <c r="L53" s="13"/>
      <c r="M53" s="13"/>
      <c r="N53" s="13"/>
      <c r="O53" s="117"/>
      <c r="P53" s="625">
        <v>0.26</v>
      </c>
      <c r="Q53" s="117"/>
      <c r="R53" s="13"/>
      <c r="S53" s="14" t="s">
        <v>278</v>
      </c>
      <c r="T53" s="14"/>
      <c r="U53" s="14"/>
      <c r="V53" s="69" t="s">
        <v>676</v>
      </c>
      <c r="W53" s="60"/>
      <c r="X53" s="60"/>
      <c r="Y53" s="60"/>
      <c r="Z53" s="60"/>
      <c r="AA53" s="60"/>
      <c r="AB53" s="60"/>
    </row>
    <row r="54" spans="3:28" ht="15" customHeight="1" x14ac:dyDescent="0.2">
      <c r="C54" s="62"/>
      <c r="D54" s="62"/>
      <c r="G54" s="397" t="s">
        <v>403</v>
      </c>
      <c r="H54" s="17"/>
      <c r="I54" s="13"/>
      <c r="J54" s="13"/>
      <c r="K54" s="117"/>
      <c r="L54" s="13"/>
      <c r="M54" s="13"/>
      <c r="N54" s="13"/>
      <c r="O54" s="13"/>
      <c r="P54" s="625">
        <v>0.15</v>
      </c>
      <c r="Q54" s="13"/>
      <c r="R54" s="13"/>
      <c r="S54" s="14" t="s">
        <v>278</v>
      </c>
      <c r="T54" s="14"/>
      <c r="U54" s="14"/>
      <c r="V54" s="69" t="s">
        <v>402</v>
      </c>
      <c r="W54" s="60"/>
      <c r="X54" s="60"/>
      <c r="Y54" s="60"/>
      <c r="Z54" s="60"/>
      <c r="AA54" s="60"/>
      <c r="AB54" s="60"/>
    </row>
    <row r="55" spans="3:28" ht="15" customHeight="1" x14ac:dyDescent="0.2">
      <c r="C55" s="48"/>
      <c r="G55" s="14"/>
      <c r="H55" s="13"/>
      <c r="I55" s="13"/>
      <c r="J55" s="13"/>
      <c r="K55" s="117"/>
      <c r="L55" s="13"/>
      <c r="M55" s="13"/>
      <c r="N55" s="13"/>
      <c r="O55" s="13"/>
      <c r="P55" s="630"/>
      <c r="Q55" s="13"/>
      <c r="R55" s="28"/>
      <c r="S55" s="13"/>
      <c r="T55" s="13"/>
      <c r="U55" s="13"/>
      <c r="V55" s="60"/>
      <c r="W55" s="60"/>
      <c r="X55" s="60"/>
      <c r="Y55" s="60"/>
      <c r="Z55" s="60"/>
      <c r="AA55" s="60"/>
      <c r="AB55" s="60"/>
    </row>
    <row r="56" spans="3:28" ht="15" customHeight="1" x14ac:dyDescent="0.2">
      <c r="C56" s="48"/>
      <c r="G56" s="17"/>
      <c r="H56" s="17"/>
      <c r="I56" s="13"/>
      <c r="J56" s="13"/>
      <c r="K56" s="117"/>
      <c r="L56" s="13"/>
      <c r="M56" s="13"/>
      <c r="N56" s="13"/>
      <c r="O56" s="13"/>
      <c r="P56" s="485"/>
      <c r="Q56" s="13"/>
      <c r="R56" s="28"/>
      <c r="S56" s="13"/>
      <c r="T56" s="13"/>
      <c r="U56" s="13"/>
      <c r="V56" s="69"/>
      <c r="W56" s="60"/>
      <c r="X56" s="60"/>
      <c r="Y56" s="60"/>
      <c r="Z56" s="60"/>
      <c r="AA56" s="60"/>
      <c r="AB56" s="60"/>
    </row>
    <row r="57" spans="3:28" ht="15" customHeight="1" x14ac:dyDescent="0.2">
      <c r="C57" s="486"/>
      <c r="D57" s="486"/>
      <c r="G57" s="15" t="s">
        <v>210</v>
      </c>
      <c r="H57" s="17"/>
      <c r="I57" s="13"/>
      <c r="J57" s="13"/>
      <c r="K57" s="117"/>
      <c r="L57" s="13"/>
      <c r="M57" s="13"/>
      <c r="N57" s="13"/>
      <c r="O57" s="13"/>
      <c r="P57" s="485"/>
      <c r="Q57" s="13"/>
      <c r="R57" s="28"/>
      <c r="S57" s="14"/>
      <c r="T57" s="14"/>
      <c r="U57" s="14"/>
      <c r="V57" s="69"/>
      <c r="W57" s="60"/>
      <c r="X57" s="60"/>
      <c r="Y57" s="60"/>
      <c r="Z57" s="60"/>
      <c r="AA57" s="60"/>
      <c r="AB57" s="60"/>
    </row>
    <row r="58" spans="3:28" ht="15" customHeight="1" x14ac:dyDescent="0.2">
      <c r="C58" s="487"/>
      <c r="E58" s="55"/>
      <c r="G58" s="17" t="s">
        <v>309</v>
      </c>
      <c r="H58" s="17"/>
      <c r="I58" s="13"/>
      <c r="J58" s="13"/>
      <c r="K58" s="117"/>
      <c r="L58" s="13"/>
      <c r="M58" s="13"/>
      <c r="N58" s="13"/>
      <c r="O58" s="651">
        <f>SimpleF!J30</f>
        <v>0</v>
      </c>
      <c r="P58" s="651">
        <f>SimpleF!P30</f>
        <v>0</v>
      </c>
      <c r="Q58" s="651">
        <f>SimpleF!AB30</f>
        <v>0</v>
      </c>
      <c r="R58" s="28"/>
      <c r="S58" s="14" t="s">
        <v>278</v>
      </c>
      <c r="T58" s="14"/>
      <c r="U58" s="14"/>
      <c r="V58" s="69"/>
      <c r="W58" s="60"/>
      <c r="X58" s="60"/>
      <c r="Y58" s="60"/>
      <c r="Z58" s="60"/>
      <c r="AA58" s="60"/>
      <c r="AB58" s="60"/>
    </row>
    <row r="59" spans="3:28" ht="15" customHeight="1" x14ac:dyDescent="0.2">
      <c r="C59" s="487"/>
      <c r="E59" s="55"/>
      <c r="G59" s="397" t="s">
        <v>405</v>
      </c>
      <c r="H59" s="17"/>
      <c r="I59" s="13"/>
      <c r="J59" s="13"/>
      <c r="K59" s="117"/>
      <c r="L59" s="13"/>
      <c r="M59" s="13"/>
      <c r="N59" s="13"/>
      <c r="O59" s="117"/>
      <c r="P59" s="625">
        <v>1.5</v>
      </c>
      <c r="Q59" s="117"/>
      <c r="R59" s="28"/>
      <c r="S59" s="14" t="s">
        <v>278</v>
      </c>
      <c r="T59" s="14"/>
      <c r="U59" s="14"/>
      <c r="V59" s="69" t="s">
        <v>666</v>
      </c>
      <c r="W59" s="60"/>
      <c r="X59" s="60"/>
      <c r="Y59" s="60"/>
      <c r="Z59" s="60"/>
      <c r="AA59" s="60"/>
      <c r="AB59" s="60"/>
    </row>
    <row r="60" spans="3:28" ht="15" customHeight="1" x14ac:dyDescent="0.2">
      <c r="C60" s="487"/>
      <c r="E60" s="55"/>
      <c r="G60" s="397" t="s">
        <v>406</v>
      </c>
      <c r="H60" s="17"/>
      <c r="I60" s="13"/>
      <c r="J60" s="13"/>
      <c r="K60" s="117"/>
      <c r="L60" s="13"/>
      <c r="M60" s="13"/>
      <c r="N60" s="13"/>
      <c r="O60" s="117"/>
      <c r="P60" s="625">
        <v>0.32</v>
      </c>
      <c r="Q60" s="117"/>
      <c r="R60" s="28"/>
      <c r="S60" s="14" t="s">
        <v>278</v>
      </c>
      <c r="T60" s="14"/>
      <c r="U60" s="14"/>
      <c r="V60" s="69" t="s">
        <v>666</v>
      </c>
      <c r="W60" s="60"/>
      <c r="X60" s="60"/>
      <c r="Y60" s="60"/>
      <c r="Z60" s="60"/>
      <c r="AA60" s="60"/>
      <c r="AB60" s="60"/>
    </row>
    <row r="61" spans="3:28" ht="15" customHeight="1" x14ac:dyDescent="0.2">
      <c r="C61" s="487"/>
      <c r="E61" s="55"/>
      <c r="G61" s="397" t="s">
        <v>677</v>
      </c>
      <c r="H61" s="17"/>
      <c r="I61" s="13"/>
      <c r="J61" s="13"/>
      <c r="K61" s="117"/>
      <c r="L61" s="13"/>
      <c r="M61" s="13"/>
      <c r="N61" s="13"/>
      <c r="O61" s="117"/>
      <c r="P61" s="625">
        <v>0.25</v>
      </c>
      <c r="Q61" s="117"/>
      <c r="R61" s="28"/>
      <c r="S61" s="14" t="s">
        <v>278</v>
      </c>
      <c r="T61" s="14"/>
      <c r="U61" s="14"/>
      <c r="V61" s="69" t="s">
        <v>682</v>
      </c>
      <c r="W61" s="60"/>
      <c r="X61" s="60"/>
      <c r="Y61" s="60"/>
      <c r="Z61" s="60"/>
      <c r="AA61" s="60"/>
      <c r="AB61" s="60"/>
    </row>
    <row r="62" spans="3:28" ht="15" customHeight="1" x14ac:dyDescent="0.2">
      <c r="C62" s="55"/>
      <c r="G62" s="397" t="s">
        <v>632</v>
      </c>
      <c r="H62" s="17"/>
      <c r="I62" s="13"/>
      <c r="J62" s="13"/>
      <c r="K62" s="117"/>
      <c r="L62" s="13"/>
      <c r="M62" s="13"/>
      <c r="N62" s="13"/>
      <c r="O62" s="13"/>
      <c r="P62" s="625">
        <v>0.18</v>
      </c>
      <c r="Q62" s="13"/>
      <c r="R62" s="28"/>
      <c r="S62" s="14" t="s">
        <v>278</v>
      </c>
      <c r="T62" s="14"/>
      <c r="U62" s="14"/>
      <c r="V62" s="69" t="s">
        <v>676</v>
      </c>
      <c r="W62" s="60"/>
      <c r="X62" s="60"/>
      <c r="Y62" s="60"/>
      <c r="Z62" s="60"/>
      <c r="AA62" s="60"/>
      <c r="AB62" s="60"/>
    </row>
    <row r="63" spans="3:28" ht="15" customHeight="1" x14ac:dyDescent="0.2">
      <c r="C63" s="48"/>
      <c r="G63" s="397" t="s">
        <v>403</v>
      </c>
      <c r="H63" s="17"/>
      <c r="I63" s="13"/>
      <c r="J63" s="13"/>
      <c r="K63" s="117"/>
      <c r="L63" s="13"/>
      <c r="M63" s="13"/>
      <c r="N63" s="13"/>
      <c r="O63" s="13"/>
      <c r="P63" s="625">
        <v>0.15</v>
      </c>
      <c r="Q63" s="13"/>
      <c r="R63" s="28"/>
      <c r="S63" s="14" t="s">
        <v>278</v>
      </c>
      <c r="T63" s="14"/>
      <c r="U63" s="14"/>
      <c r="V63" s="69" t="s">
        <v>402</v>
      </c>
      <c r="W63" s="60"/>
      <c r="X63" s="60"/>
      <c r="Y63" s="60"/>
      <c r="Z63" s="60"/>
      <c r="AA63" s="60"/>
      <c r="AB63" s="60"/>
    </row>
    <row r="64" spans="3:28" ht="15" customHeight="1" x14ac:dyDescent="0.2">
      <c r="C64" s="486"/>
      <c r="D64" s="486"/>
      <c r="G64" s="17"/>
      <c r="H64" s="17"/>
      <c r="I64" s="13"/>
      <c r="J64" s="13"/>
      <c r="K64" s="117"/>
      <c r="L64" s="13"/>
      <c r="M64" s="13"/>
      <c r="N64" s="13"/>
      <c r="O64" s="13"/>
      <c r="P64" s="485"/>
      <c r="Q64" s="13"/>
      <c r="R64" s="28"/>
      <c r="S64" s="13"/>
      <c r="T64" s="13"/>
      <c r="U64" s="13"/>
      <c r="V64" s="69"/>
      <c r="W64" s="60"/>
      <c r="X64" s="60"/>
      <c r="Y64" s="60"/>
      <c r="Z64" s="60"/>
      <c r="AA64" s="60"/>
      <c r="AB64" s="60"/>
    </row>
    <row r="65" spans="2:28" ht="15" customHeight="1" x14ac:dyDescent="0.2">
      <c r="B65" s="89"/>
      <c r="C65" s="48"/>
      <c r="G65" s="15" t="s">
        <v>407</v>
      </c>
      <c r="H65" s="17"/>
      <c r="I65" s="13"/>
      <c r="J65" s="13"/>
      <c r="K65" s="117"/>
      <c r="L65" s="13"/>
      <c r="M65" s="13"/>
      <c r="N65" s="13"/>
      <c r="O65" s="13"/>
      <c r="P65" s="485"/>
      <c r="Q65" s="13"/>
      <c r="R65" s="28"/>
      <c r="S65" s="14"/>
      <c r="T65" s="14"/>
      <c r="U65" s="14"/>
      <c r="V65" s="69"/>
      <c r="W65" s="60"/>
      <c r="X65" s="60"/>
      <c r="Y65" s="60"/>
      <c r="Z65" s="60"/>
      <c r="AA65" s="60"/>
      <c r="AB65" s="60"/>
    </row>
    <row r="66" spans="2:28" ht="15" customHeight="1" x14ac:dyDescent="0.2">
      <c r="C66" s="48"/>
      <c r="G66" s="17" t="s">
        <v>309</v>
      </c>
      <c r="H66" s="488"/>
      <c r="I66" s="13"/>
      <c r="J66" s="13"/>
      <c r="K66" s="117"/>
      <c r="L66" s="13"/>
      <c r="M66" s="13"/>
      <c r="N66" s="13"/>
      <c r="O66" s="651">
        <f>SimpleF!J31</f>
        <v>0</v>
      </c>
      <c r="P66" s="651">
        <f>SimpleF!P31</f>
        <v>0</v>
      </c>
      <c r="Q66" s="651">
        <f>SimpleF!AB31</f>
        <v>0</v>
      </c>
      <c r="R66" s="28"/>
      <c r="S66" s="14" t="s">
        <v>278</v>
      </c>
      <c r="T66" s="14"/>
      <c r="U66" s="14"/>
      <c r="V66" s="69"/>
      <c r="W66" s="60"/>
      <c r="X66" s="60"/>
      <c r="Y66" s="60"/>
      <c r="Z66" s="60"/>
      <c r="AA66" s="60"/>
      <c r="AB66" s="60"/>
    </row>
    <row r="67" spans="2:28" ht="15" customHeight="1" x14ac:dyDescent="0.2">
      <c r="C67" s="48"/>
      <c r="G67" s="397" t="s">
        <v>408</v>
      </c>
      <c r="H67" s="488"/>
      <c r="I67" s="13"/>
      <c r="J67" s="13"/>
      <c r="K67" s="117"/>
      <c r="L67" s="13"/>
      <c r="M67" s="13"/>
      <c r="N67" s="13"/>
      <c r="O67" s="117"/>
      <c r="P67" s="625">
        <v>0.7</v>
      </c>
      <c r="Q67" s="117"/>
      <c r="R67" s="28"/>
      <c r="S67" s="14" t="s">
        <v>278</v>
      </c>
      <c r="T67" s="14"/>
      <c r="U67" s="14"/>
      <c r="V67" s="69" t="s">
        <v>666</v>
      </c>
      <c r="W67" s="60"/>
      <c r="X67" s="60"/>
      <c r="Y67" s="60"/>
      <c r="Z67" s="60"/>
      <c r="AA67" s="60"/>
      <c r="AB67" s="60"/>
    </row>
    <row r="68" spans="2:28" ht="15" customHeight="1" x14ac:dyDescent="0.2">
      <c r="C68" s="48"/>
      <c r="G68" s="397" t="s">
        <v>409</v>
      </c>
      <c r="H68" s="488"/>
      <c r="I68" s="13"/>
      <c r="J68" s="13"/>
      <c r="K68" s="117"/>
      <c r="L68" s="13"/>
      <c r="M68" s="13"/>
      <c r="N68" s="13"/>
      <c r="O68" s="117"/>
      <c r="P68" s="625">
        <v>0.4</v>
      </c>
      <c r="Q68" s="117"/>
      <c r="R68" s="28"/>
      <c r="S68" s="14" t="s">
        <v>278</v>
      </c>
      <c r="T68" s="14"/>
      <c r="U68" s="14"/>
      <c r="V68" s="69" t="s">
        <v>666</v>
      </c>
      <c r="W68" s="60"/>
      <c r="X68" s="60"/>
      <c r="Y68" s="60"/>
      <c r="Z68" s="60"/>
      <c r="AA68" s="60"/>
      <c r="AB68" s="60"/>
    </row>
    <row r="69" spans="2:28" ht="15" customHeight="1" x14ac:dyDescent="0.2">
      <c r="C69" s="48"/>
      <c r="G69" s="397" t="s">
        <v>680</v>
      </c>
      <c r="H69" s="488"/>
      <c r="I69" s="13"/>
      <c r="J69" s="13"/>
      <c r="K69" s="117"/>
      <c r="L69" s="13"/>
      <c r="M69" s="13"/>
      <c r="N69" s="13"/>
      <c r="O69" s="117"/>
      <c r="P69" s="625">
        <v>0.25</v>
      </c>
      <c r="Q69" s="117"/>
      <c r="R69" s="28"/>
      <c r="S69" s="14" t="s">
        <v>278</v>
      </c>
      <c r="T69" s="14"/>
      <c r="U69" s="14"/>
      <c r="V69" s="69" t="s">
        <v>682</v>
      </c>
      <c r="W69" s="60"/>
      <c r="X69" s="60"/>
      <c r="Y69" s="60"/>
      <c r="Z69" s="60"/>
      <c r="AA69" s="60"/>
      <c r="AB69" s="60"/>
    </row>
    <row r="70" spans="2:28" ht="15" customHeight="1" x14ac:dyDescent="0.2">
      <c r="C70" s="486"/>
      <c r="D70" s="486"/>
      <c r="G70" s="397" t="s">
        <v>681</v>
      </c>
      <c r="H70" s="17"/>
      <c r="I70" s="13"/>
      <c r="J70" s="13"/>
      <c r="K70" s="117"/>
      <c r="L70" s="13"/>
      <c r="M70" s="13"/>
      <c r="N70" s="13"/>
      <c r="O70" s="13"/>
      <c r="P70" s="625">
        <v>0.22</v>
      </c>
      <c r="Q70" s="13"/>
      <c r="R70" s="28"/>
      <c r="S70" s="14" t="s">
        <v>278</v>
      </c>
      <c r="T70" s="14"/>
      <c r="U70" s="14"/>
      <c r="V70" s="69" t="s">
        <v>676</v>
      </c>
      <c r="W70" s="60"/>
      <c r="X70" s="60"/>
      <c r="Y70" s="60"/>
      <c r="Z70" s="60"/>
      <c r="AA70" s="60"/>
      <c r="AB70" s="60"/>
    </row>
    <row r="71" spans="2:28" ht="15" customHeight="1" x14ac:dyDescent="0.2">
      <c r="B71" s="89"/>
      <c r="C71" s="48"/>
      <c r="G71" s="397" t="s">
        <v>403</v>
      </c>
      <c r="H71" s="17"/>
      <c r="I71" s="13"/>
      <c r="J71" s="13"/>
      <c r="K71" s="117"/>
      <c r="L71" s="13"/>
      <c r="M71" s="13"/>
      <c r="N71" s="13"/>
      <c r="O71" s="13"/>
      <c r="P71" s="625">
        <v>0.15</v>
      </c>
      <c r="Q71" s="13"/>
      <c r="R71" s="28"/>
      <c r="S71" s="14" t="s">
        <v>278</v>
      </c>
      <c r="T71" s="14"/>
      <c r="U71" s="14"/>
      <c r="V71" s="69" t="s">
        <v>402</v>
      </c>
      <c r="W71" s="60"/>
      <c r="X71" s="60"/>
      <c r="Y71" s="60"/>
      <c r="Z71" s="60"/>
      <c r="AA71" s="60"/>
      <c r="AB71" s="60"/>
    </row>
    <row r="72" spans="2:28" ht="15" customHeight="1" x14ac:dyDescent="0.2">
      <c r="B72" s="89"/>
      <c r="C72" s="48"/>
      <c r="G72" s="17"/>
      <c r="H72" s="17"/>
      <c r="I72" s="13"/>
      <c r="J72" s="13"/>
      <c r="K72" s="117"/>
      <c r="L72" s="13"/>
      <c r="M72" s="13"/>
      <c r="N72" s="13"/>
      <c r="O72" s="13"/>
      <c r="P72" s="485"/>
      <c r="Q72" s="13"/>
      <c r="R72" s="28"/>
      <c r="S72" s="13"/>
      <c r="T72" s="13"/>
      <c r="U72" s="13"/>
      <c r="V72" s="69"/>
      <c r="W72" s="60"/>
      <c r="X72" s="60"/>
      <c r="Y72" s="60"/>
      <c r="Z72" s="60"/>
      <c r="AA72" s="60"/>
      <c r="AB72" s="60"/>
    </row>
    <row r="73" spans="2:28" ht="15" customHeight="1" x14ac:dyDescent="0.2">
      <c r="B73" s="89"/>
      <c r="C73" s="48"/>
      <c r="G73" s="532" t="s">
        <v>623</v>
      </c>
      <c r="H73" s="17"/>
      <c r="I73" s="13"/>
      <c r="J73" s="13"/>
      <c r="K73" s="117"/>
      <c r="L73" s="13"/>
      <c r="M73" s="13"/>
      <c r="N73" s="13"/>
      <c r="O73" s="13"/>
      <c r="P73" s="485"/>
      <c r="Q73" s="13"/>
      <c r="R73" s="28"/>
      <c r="S73" s="14"/>
      <c r="T73" s="14"/>
      <c r="U73" s="14"/>
      <c r="V73" s="69"/>
      <c r="W73" s="60"/>
      <c r="X73" s="60"/>
      <c r="Y73" s="60"/>
      <c r="Z73" s="60"/>
      <c r="AA73" s="60"/>
      <c r="AB73" s="60"/>
    </row>
    <row r="74" spans="2:28" ht="15" customHeight="1" x14ac:dyDescent="0.2">
      <c r="G74" s="17" t="s">
        <v>309</v>
      </c>
      <c r="H74" s="17"/>
      <c r="I74" s="13"/>
      <c r="J74" s="490"/>
      <c r="K74" s="117"/>
      <c r="L74" s="13"/>
      <c r="M74" s="13"/>
      <c r="N74" s="13"/>
      <c r="O74" s="651">
        <f>SimpleF!J34</f>
        <v>0</v>
      </c>
      <c r="P74" s="651">
        <f>SimpleF!P34</f>
        <v>0</v>
      </c>
      <c r="Q74" s="651">
        <f>SimpleF!AB34</f>
        <v>0</v>
      </c>
      <c r="R74" s="28"/>
      <c r="S74" s="14" t="s">
        <v>411</v>
      </c>
      <c r="T74" s="14"/>
      <c r="U74" s="14"/>
      <c r="V74" s="69"/>
      <c r="W74" s="60"/>
      <c r="X74" s="60"/>
      <c r="Y74" s="60"/>
      <c r="Z74" s="60"/>
      <c r="AA74" s="60"/>
      <c r="AB74" s="60"/>
    </row>
    <row r="75" spans="2:28" ht="15" customHeight="1" x14ac:dyDescent="0.2">
      <c r="G75" s="488" t="s">
        <v>410</v>
      </c>
      <c r="H75" s="17"/>
      <c r="I75" s="13"/>
      <c r="J75" s="490"/>
      <c r="K75" s="117"/>
      <c r="L75" s="13"/>
      <c r="M75" s="13"/>
      <c r="N75" s="13"/>
      <c r="O75" s="117"/>
      <c r="P75" s="626">
        <v>0.56000000000000005</v>
      </c>
      <c r="Q75" s="13"/>
      <c r="R75" s="28"/>
      <c r="S75" s="14" t="s">
        <v>411</v>
      </c>
      <c r="T75" s="14"/>
      <c r="U75" s="14"/>
      <c r="V75" s="69" t="s">
        <v>412</v>
      </c>
      <c r="W75" s="60"/>
      <c r="X75" s="60"/>
      <c r="Y75" s="60"/>
      <c r="Z75" s="60"/>
      <c r="AA75" s="60"/>
      <c r="AB75" s="60"/>
    </row>
    <row r="76" spans="2:28" ht="15" customHeight="1" x14ac:dyDescent="0.2">
      <c r="G76" s="488" t="s">
        <v>624</v>
      </c>
      <c r="H76" s="17"/>
      <c r="I76" s="13"/>
      <c r="J76" s="490"/>
      <c r="K76" s="117"/>
      <c r="L76" s="13"/>
      <c r="M76" s="13"/>
      <c r="N76" s="13"/>
      <c r="O76" s="117"/>
      <c r="P76" s="626">
        <v>0.28000000000000003</v>
      </c>
      <c r="Q76" s="13"/>
      <c r="R76" s="28"/>
      <c r="S76" s="14" t="s">
        <v>411</v>
      </c>
      <c r="T76" s="14"/>
      <c r="U76" s="14"/>
      <c r="V76" s="69" t="s">
        <v>412</v>
      </c>
      <c r="W76" s="60"/>
      <c r="X76" s="60"/>
      <c r="Y76" s="60"/>
      <c r="Z76" s="60"/>
      <c r="AA76" s="60"/>
      <c r="AB76" s="60"/>
    </row>
    <row r="77" spans="2:28" ht="15" customHeight="1" x14ac:dyDescent="0.2">
      <c r="G77" s="488" t="s">
        <v>625</v>
      </c>
      <c r="H77" s="17"/>
      <c r="I77" s="13"/>
      <c r="J77" s="490"/>
      <c r="K77" s="117"/>
      <c r="L77" s="13"/>
      <c r="M77" s="13"/>
      <c r="N77" s="13"/>
      <c r="O77" s="117"/>
      <c r="P77" s="626">
        <v>0.19600000000000001</v>
      </c>
      <c r="Q77" s="13"/>
      <c r="R77" s="28"/>
      <c r="S77" s="14" t="s">
        <v>411</v>
      </c>
      <c r="T77" s="14"/>
      <c r="U77" s="14"/>
      <c r="V77" s="69" t="s">
        <v>412</v>
      </c>
      <c r="W77" s="60"/>
      <c r="X77" s="60"/>
      <c r="Y77" s="60"/>
      <c r="Z77" s="60"/>
      <c r="AA77" s="60"/>
      <c r="AB77" s="60"/>
    </row>
    <row r="78" spans="2:28" ht="15" customHeight="1" x14ac:dyDescent="0.2">
      <c r="G78" s="488">
        <v>5</v>
      </c>
      <c r="H78" s="17"/>
      <c r="I78" s="13"/>
      <c r="J78" s="490"/>
      <c r="K78" s="117"/>
      <c r="L78" s="13"/>
      <c r="M78" s="13"/>
      <c r="N78" s="13"/>
      <c r="O78" s="13"/>
      <c r="P78" s="626">
        <v>0.14000000000000001</v>
      </c>
      <c r="Q78" s="13"/>
      <c r="R78" s="28"/>
      <c r="S78" s="14" t="s">
        <v>411</v>
      </c>
      <c r="T78" s="14"/>
      <c r="U78" s="14"/>
      <c r="V78" s="69" t="s">
        <v>412</v>
      </c>
      <c r="W78" s="60"/>
      <c r="X78" s="60"/>
      <c r="Y78" s="60"/>
      <c r="Z78" s="60"/>
      <c r="AA78" s="60"/>
      <c r="AB78" s="60"/>
    </row>
    <row r="79" spans="2:28" ht="15" customHeight="1" x14ac:dyDescent="0.2">
      <c r="G79" s="488">
        <v>3</v>
      </c>
      <c r="H79" s="488"/>
      <c r="I79" s="13"/>
      <c r="J79" s="13"/>
      <c r="K79" s="117"/>
      <c r="L79" s="13"/>
      <c r="M79" s="13"/>
      <c r="N79" s="13"/>
      <c r="O79" s="13"/>
      <c r="P79" s="626">
        <v>8.4000000000000005E-2</v>
      </c>
      <c r="Q79" s="13"/>
      <c r="R79" s="28"/>
      <c r="S79" s="14" t="s">
        <v>411</v>
      </c>
      <c r="T79" s="14"/>
      <c r="U79" s="14"/>
      <c r="V79" s="69" t="s">
        <v>412</v>
      </c>
      <c r="W79" s="60"/>
      <c r="X79" s="60"/>
      <c r="Y79" s="60"/>
      <c r="Z79" s="60"/>
      <c r="AA79" s="60"/>
      <c r="AB79" s="60"/>
    </row>
    <row r="80" spans="2:28" ht="15" customHeight="1" x14ac:dyDescent="0.2">
      <c r="S80" s="10"/>
      <c r="T80" s="10"/>
      <c r="U80" s="10"/>
      <c r="V80" s="70"/>
    </row>
    <row r="81" spans="7:28" ht="15" customHeight="1" x14ac:dyDescent="0.2">
      <c r="G81" s="1087" t="s">
        <v>502</v>
      </c>
      <c r="H81" s="1087"/>
      <c r="I81" s="1087"/>
      <c r="J81" s="491"/>
      <c r="K81" s="491"/>
      <c r="L81" s="491"/>
      <c r="M81" s="13"/>
      <c r="N81" s="13"/>
      <c r="O81" s="13"/>
      <c r="P81" s="485"/>
      <c r="Q81" s="13"/>
      <c r="R81" s="13"/>
      <c r="S81" s="14"/>
      <c r="T81" s="14"/>
      <c r="U81" s="14"/>
      <c r="V81" s="69"/>
      <c r="W81" s="60"/>
      <c r="X81" s="60"/>
      <c r="Y81" s="60"/>
      <c r="Z81" s="60"/>
      <c r="AA81" s="60"/>
      <c r="AB81" s="60"/>
    </row>
    <row r="82" spans="7:28" ht="15" customHeight="1" x14ac:dyDescent="0.2">
      <c r="G82" s="1087"/>
      <c r="H82" s="1087"/>
      <c r="I82" s="1087"/>
      <c r="J82" s="491"/>
      <c r="K82" s="491"/>
      <c r="L82" s="491"/>
      <c r="M82" s="13"/>
      <c r="N82" s="13"/>
      <c r="O82" s="13"/>
      <c r="P82" s="485"/>
      <c r="Q82" s="13"/>
      <c r="R82" s="13"/>
      <c r="S82" s="14"/>
      <c r="T82" s="14"/>
      <c r="U82" s="14"/>
      <c r="V82" s="69"/>
      <c r="W82" s="60"/>
      <c r="X82" s="60"/>
      <c r="Y82" s="60"/>
      <c r="Z82" s="60"/>
      <c r="AA82" s="60"/>
      <c r="AB82" s="60"/>
    </row>
    <row r="83" spans="7:28" ht="15" customHeight="1" x14ac:dyDescent="0.2">
      <c r="G83" s="15" t="s">
        <v>643</v>
      </c>
      <c r="H83" s="491"/>
      <c r="I83" s="491"/>
      <c r="J83" s="491"/>
      <c r="K83" s="491"/>
      <c r="L83" s="491"/>
      <c r="M83" s="13"/>
      <c r="N83" s="13"/>
      <c r="O83" s="13"/>
      <c r="P83" s="485"/>
      <c r="Q83" s="13"/>
      <c r="R83" s="13"/>
      <c r="S83" s="14"/>
      <c r="T83" s="14"/>
      <c r="U83" s="14"/>
      <c r="V83" s="69"/>
      <c r="W83" s="60"/>
      <c r="X83" s="60"/>
      <c r="Y83" s="60"/>
      <c r="Z83" s="60"/>
      <c r="AA83" s="60"/>
      <c r="AB83" s="60"/>
    </row>
    <row r="84" spans="7:28" ht="15" customHeight="1" x14ac:dyDescent="0.2">
      <c r="G84" s="17" t="s">
        <v>645</v>
      </c>
      <c r="H84" s="13"/>
      <c r="I84" s="13"/>
      <c r="J84" s="13"/>
      <c r="K84" s="117"/>
      <c r="L84" s="13"/>
      <c r="M84" s="13"/>
      <c r="N84" s="13"/>
      <c r="O84" s="13"/>
      <c r="P84" s="215">
        <v>1.5</v>
      </c>
      <c r="Q84" s="13"/>
      <c r="R84" s="28"/>
      <c r="S84" s="14" t="s">
        <v>29</v>
      </c>
      <c r="T84" s="14"/>
      <c r="U84" s="14"/>
      <c r="V84" s="14" t="s">
        <v>639</v>
      </c>
      <c r="W84" s="60"/>
      <c r="X84" s="60"/>
      <c r="Y84" s="60"/>
      <c r="Z84" s="60"/>
      <c r="AA84" s="60"/>
      <c r="AB84" s="60"/>
    </row>
    <row r="85" spans="7:28" ht="15" customHeight="1" x14ac:dyDescent="0.2">
      <c r="G85" s="17" t="s">
        <v>272</v>
      </c>
      <c r="H85" s="13"/>
      <c r="I85" s="13"/>
      <c r="J85" s="13"/>
      <c r="K85" s="117"/>
      <c r="L85" s="13"/>
      <c r="M85" s="13"/>
      <c r="N85" s="13"/>
      <c r="O85" s="13"/>
      <c r="P85" s="215">
        <v>2</v>
      </c>
      <c r="Q85" s="13"/>
      <c r="R85" s="28"/>
      <c r="S85" s="14" t="s">
        <v>29</v>
      </c>
      <c r="T85" s="14"/>
      <c r="U85" s="14"/>
      <c r="V85" s="14" t="s">
        <v>639</v>
      </c>
      <c r="W85" s="60"/>
      <c r="X85" s="60"/>
      <c r="Y85" s="60"/>
      <c r="Z85" s="60"/>
      <c r="AA85" s="60"/>
      <c r="AB85" s="60"/>
    </row>
    <row r="86" spans="7:28" ht="15" customHeight="1" x14ac:dyDescent="0.2">
      <c r="G86" s="17" t="s">
        <v>204</v>
      </c>
      <c r="H86" s="13"/>
      <c r="I86" s="13"/>
      <c r="J86" s="13"/>
      <c r="K86" s="117"/>
      <c r="L86" s="13"/>
      <c r="M86" s="13"/>
      <c r="N86" s="13"/>
      <c r="O86" s="13"/>
      <c r="P86" s="215">
        <v>2</v>
      </c>
      <c r="Q86" s="13"/>
      <c r="R86" s="28"/>
      <c r="S86" s="14" t="s">
        <v>29</v>
      </c>
      <c r="T86" s="14"/>
      <c r="U86" s="14"/>
      <c r="V86" s="14" t="s">
        <v>639</v>
      </c>
      <c r="W86" s="60"/>
      <c r="X86" s="60"/>
      <c r="Y86" s="60"/>
      <c r="Z86" s="60"/>
      <c r="AA86" s="60"/>
      <c r="AB86" s="60"/>
    </row>
    <row r="87" spans="7:28" ht="15" customHeight="1" x14ac:dyDescent="0.2">
      <c r="G87" s="17" t="s">
        <v>213</v>
      </c>
      <c r="H87" s="13"/>
      <c r="I87" s="13"/>
      <c r="J87" s="13"/>
      <c r="K87" s="117"/>
      <c r="L87" s="13"/>
      <c r="M87" s="13"/>
      <c r="N87" s="13"/>
      <c r="O87" s="13"/>
      <c r="P87" s="215">
        <v>4</v>
      </c>
      <c r="Q87" s="13"/>
      <c r="R87" s="28"/>
      <c r="S87" s="14" t="s">
        <v>29</v>
      </c>
      <c r="T87" s="14"/>
      <c r="U87" s="14"/>
      <c r="V87" s="14" t="s">
        <v>639</v>
      </c>
      <c r="W87" s="60"/>
      <c r="X87" s="60"/>
      <c r="Y87" s="60"/>
      <c r="Z87" s="60"/>
      <c r="AA87" s="60"/>
      <c r="AB87" s="60"/>
    </row>
    <row r="88" spans="7:28" ht="15" customHeight="1" x14ac:dyDescent="0.2">
      <c r="G88" s="17"/>
      <c r="H88" s="13"/>
      <c r="I88" s="13"/>
      <c r="J88" s="13"/>
      <c r="K88" s="117"/>
      <c r="L88" s="13"/>
      <c r="M88" s="13"/>
      <c r="N88" s="13"/>
      <c r="O88" s="13"/>
      <c r="P88" s="485"/>
      <c r="Q88" s="13"/>
      <c r="R88" s="28"/>
      <c r="S88" s="13"/>
      <c r="T88" s="14"/>
      <c r="U88" s="14"/>
      <c r="V88" s="69"/>
      <c r="W88" s="60"/>
      <c r="X88" s="60"/>
      <c r="Y88" s="60"/>
      <c r="Z88" s="60"/>
      <c r="AA88" s="60"/>
      <c r="AB88" s="60"/>
    </row>
    <row r="89" spans="7:28" ht="15" customHeight="1" x14ac:dyDescent="0.2">
      <c r="G89" s="15" t="s">
        <v>657</v>
      </c>
      <c r="H89" s="13"/>
      <c r="I89" s="13"/>
      <c r="J89" s="13"/>
      <c r="K89" s="117"/>
      <c r="L89" s="13"/>
      <c r="M89" s="13"/>
      <c r="N89" s="13"/>
      <c r="O89" s="13"/>
      <c r="P89" s="485"/>
      <c r="Q89" s="13"/>
      <c r="R89" s="28"/>
      <c r="S89" s="13"/>
      <c r="T89" s="14"/>
      <c r="U89" s="14"/>
      <c r="V89" s="69"/>
      <c r="W89" s="60"/>
      <c r="X89" s="60"/>
      <c r="Y89" s="60"/>
      <c r="Z89" s="60"/>
      <c r="AA89" s="60"/>
      <c r="AB89" s="60"/>
    </row>
    <row r="90" spans="7:28" ht="15" customHeight="1" x14ac:dyDescent="0.2">
      <c r="G90" s="17" t="s">
        <v>309</v>
      </c>
      <c r="H90" s="13"/>
      <c r="I90" s="13"/>
      <c r="J90" s="13"/>
      <c r="K90" s="117"/>
      <c r="L90" s="13"/>
      <c r="M90" s="13"/>
      <c r="N90" s="13"/>
      <c r="O90" s="651">
        <f>SimpleH!J37</f>
        <v>0</v>
      </c>
      <c r="P90" s="651">
        <f>SimpleH!P37</f>
        <v>0</v>
      </c>
      <c r="Q90" s="651">
        <f>SimpleH!AB37</f>
        <v>0</v>
      </c>
      <c r="R90" s="28"/>
      <c r="S90" s="14" t="s">
        <v>279</v>
      </c>
      <c r="T90" s="14"/>
      <c r="U90" s="14"/>
      <c r="V90" s="69"/>
      <c r="W90" s="60"/>
      <c r="X90" s="60"/>
      <c r="Y90" s="60"/>
      <c r="Z90" s="60"/>
      <c r="AA90" s="60"/>
      <c r="AB90" s="60"/>
    </row>
    <row r="91" spans="7:28" ht="15" customHeight="1" x14ac:dyDescent="0.2">
      <c r="G91" s="17" t="s">
        <v>207</v>
      </c>
      <c r="H91" s="488"/>
      <c r="I91" s="13"/>
      <c r="J91" s="13"/>
      <c r="K91" s="117"/>
      <c r="L91" s="13"/>
      <c r="M91" s="13"/>
      <c r="N91" s="13"/>
      <c r="O91" s="13"/>
      <c r="P91" s="215">
        <v>0.6</v>
      </c>
      <c r="Q91" s="13"/>
      <c r="R91" s="13"/>
      <c r="S91" s="14" t="s">
        <v>279</v>
      </c>
      <c r="T91" s="14"/>
      <c r="U91" s="14"/>
      <c r="V91" s="69" t="s">
        <v>640</v>
      </c>
      <c r="W91" s="60"/>
      <c r="X91" s="60"/>
      <c r="Y91" s="60"/>
      <c r="Z91" s="60"/>
      <c r="AA91" s="60"/>
      <c r="AB91" s="60"/>
    </row>
    <row r="92" spans="7:28" ht="15" customHeight="1" x14ac:dyDescent="0.2">
      <c r="G92" s="17" t="s">
        <v>211</v>
      </c>
      <c r="H92" s="13"/>
      <c r="I92" s="13"/>
      <c r="J92" s="492"/>
      <c r="K92" s="117"/>
      <c r="L92" s="13"/>
      <c r="M92" s="13"/>
      <c r="N92" s="13"/>
      <c r="O92" s="13"/>
      <c r="P92" s="215">
        <v>0.5</v>
      </c>
      <c r="Q92" s="13"/>
      <c r="R92" s="13"/>
      <c r="S92" s="14" t="s">
        <v>279</v>
      </c>
      <c r="T92" s="14"/>
      <c r="U92" s="14"/>
      <c r="V92" s="69" t="s">
        <v>640</v>
      </c>
      <c r="W92" s="60"/>
      <c r="X92" s="60"/>
      <c r="Y92" s="60"/>
      <c r="Z92" s="60"/>
      <c r="AA92" s="60"/>
      <c r="AB92" s="60"/>
    </row>
    <row r="93" spans="7:28" ht="15" customHeight="1" x14ac:dyDescent="0.2">
      <c r="G93" s="17" t="s">
        <v>212</v>
      </c>
      <c r="H93" s="13"/>
      <c r="I93" s="13"/>
      <c r="J93" s="493"/>
      <c r="K93" s="117"/>
      <c r="L93" s="13"/>
      <c r="M93" s="13"/>
      <c r="N93" s="13"/>
      <c r="O93" s="13"/>
      <c r="P93" s="215">
        <v>0.4</v>
      </c>
      <c r="Q93" s="13"/>
      <c r="R93" s="13"/>
      <c r="S93" s="14" t="s">
        <v>279</v>
      </c>
      <c r="T93" s="14"/>
      <c r="U93" s="14"/>
      <c r="V93" s="69" t="s">
        <v>640</v>
      </c>
      <c r="W93" s="60"/>
      <c r="X93" s="60"/>
      <c r="Y93" s="60"/>
      <c r="Z93" s="60"/>
      <c r="AA93" s="60"/>
      <c r="AB93" s="60"/>
    </row>
    <row r="94" spans="7:28" ht="15" customHeight="1" x14ac:dyDescent="0.2">
      <c r="G94" s="17"/>
      <c r="H94" s="488"/>
      <c r="I94" s="13"/>
      <c r="J94" s="13"/>
      <c r="K94" s="117"/>
      <c r="L94" s="13"/>
      <c r="M94" s="13"/>
      <c r="N94" s="13"/>
      <c r="O94" s="13"/>
      <c r="P94" s="13"/>
      <c r="Q94" s="13"/>
      <c r="R94" s="13"/>
      <c r="S94" s="14"/>
      <c r="T94" s="14"/>
      <c r="U94" s="14"/>
      <c r="V94" s="69"/>
      <c r="W94" s="60"/>
      <c r="X94" s="60"/>
      <c r="Y94" s="60"/>
      <c r="Z94" s="60"/>
      <c r="AA94" s="60"/>
      <c r="AB94" s="60"/>
    </row>
    <row r="95" spans="7:28" ht="15" customHeight="1" x14ac:dyDescent="0.2">
      <c r="G95" s="422"/>
      <c r="J95" s="494"/>
      <c r="M95" s="22"/>
      <c r="O95" s="22"/>
      <c r="R95" s="8"/>
      <c r="S95" s="10"/>
      <c r="T95" s="10"/>
      <c r="U95" s="10"/>
      <c r="V95" s="70"/>
    </row>
    <row r="96" spans="7:28" ht="15" customHeight="1" x14ac:dyDescent="0.2">
      <c r="G96" s="1092" t="s">
        <v>504</v>
      </c>
      <c r="H96" s="1092"/>
      <c r="I96" s="1092"/>
      <c r="J96" s="13"/>
      <c r="K96" s="117"/>
      <c r="L96" s="13"/>
      <c r="M96" s="13"/>
      <c r="N96" s="13"/>
      <c r="O96" s="13"/>
      <c r="P96" s="485"/>
      <c r="Q96" s="13"/>
      <c r="R96" s="28"/>
      <c r="S96" s="14"/>
      <c r="T96" s="14"/>
      <c r="U96" s="14"/>
      <c r="V96" s="69"/>
      <c r="W96" s="60"/>
      <c r="X96" s="60"/>
      <c r="Y96" s="60"/>
      <c r="Z96" s="60"/>
      <c r="AA96" s="60"/>
      <c r="AB96" s="60"/>
    </row>
    <row r="97" spans="7:28" ht="15" customHeight="1" x14ac:dyDescent="0.2">
      <c r="G97" s="1092"/>
      <c r="H97" s="1092"/>
      <c r="I97" s="1092"/>
      <c r="J97" s="13"/>
      <c r="K97" s="117"/>
      <c r="L97" s="13"/>
      <c r="M97" s="13"/>
      <c r="N97" s="13"/>
      <c r="O97" s="13"/>
      <c r="P97" s="485"/>
      <c r="Q97" s="13"/>
      <c r="R97" s="28"/>
      <c r="S97" s="14"/>
      <c r="T97" s="14"/>
      <c r="U97" s="14"/>
      <c r="V97" s="69"/>
      <c r="W97" s="60"/>
      <c r="X97" s="60"/>
      <c r="Y97" s="60"/>
      <c r="Z97" s="60"/>
      <c r="AA97" s="60"/>
      <c r="AB97" s="60"/>
    </row>
    <row r="98" spans="7:28" ht="15" customHeight="1" x14ac:dyDescent="0.2">
      <c r="G98" s="15" t="s">
        <v>655</v>
      </c>
      <c r="H98" s="13"/>
      <c r="I98" s="13"/>
      <c r="J98" s="13"/>
      <c r="K98" s="117"/>
      <c r="L98" s="13"/>
      <c r="M98" s="13"/>
      <c r="N98" s="13"/>
      <c r="O98" s="13"/>
      <c r="P98" s="485"/>
      <c r="Q98" s="13"/>
      <c r="R98" s="28"/>
      <c r="S98" s="14"/>
      <c r="T98" s="14"/>
      <c r="U98" s="14"/>
      <c r="V98" s="69"/>
      <c r="W98" s="60"/>
      <c r="X98" s="60"/>
      <c r="Y98" s="60"/>
      <c r="Z98" s="60"/>
      <c r="AA98" s="60"/>
      <c r="AB98" s="60"/>
    </row>
    <row r="99" spans="7:28" ht="15" customHeight="1" x14ac:dyDescent="0.2">
      <c r="G99" s="17" t="s">
        <v>309</v>
      </c>
      <c r="H99" s="13"/>
      <c r="I99" s="13"/>
      <c r="J99" s="13"/>
      <c r="K99" s="117"/>
      <c r="L99" s="13"/>
      <c r="M99" s="13"/>
      <c r="N99" s="13"/>
      <c r="O99" s="651">
        <f>SimpleC!J22</f>
        <v>0</v>
      </c>
      <c r="P99" s="651">
        <f>SimpleC!P22</f>
        <v>0</v>
      </c>
      <c r="Q99" s="651" t="str">
        <f>SimpleC!AB22</f>
        <v>NA</v>
      </c>
      <c r="R99" s="28"/>
      <c r="S99" s="14" t="s">
        <v>274</v>
      </c>
      <c r="T99" s="14"/>
      <c r="U99" s="14"/>
      <c r="V99" s="69"/>
      <c r="W99" s="60"/>
      <c r="X99" s="60"/>
      <c r="Y99" s="60"/>
      <c r="Z99" s="60"/>
      <c r="AA99" s="60"/>
      <c r="AB99" s="60"/>
    </row>
    <row r="100" spans="7:28" ht="15" customHeight="1" x14ac:dyDescent="0.2">
      <c r="G100" s="17" t="s">
        <v>656</v>
      </c>
      <c r="H100" s="13"/>
      <c r="I100" s="13"/>
      <c r="J100" s="13"/>
      <c r="K100" s="117"/>
      <c r="L100" s="13"/>
      <c r="M100" s="13"/>
      <c r="N100" s="13"/>
      <c r="O100" s="13"/>
      <c r="P100" s="215">
        <v>2.5</v>
      </c>
      <c r="Q100" s="13"/>
      <c r="R100" s="28"/>
      <c r="S100" s="14" t="s">
        <v>274</v>
      </c>
      <c r="T100" s="14"/>
      <c r="U100" s="14"/>
      <c r="V100" s="69" t="s">
        <v>666</v>
      </c>
      <c r="W100" s="60"/>
      <c r="X100" s="60"/>
      <c r="Y100" s="60"/>
      <c r="Z100" s="60"/>
      <c r="AA100" s="60"/>
      <c r="AB100" s="60"/>
    </row>
    <row r="101" spans="7:28" ht="15" customHeight="1" x14ac:dyDescent="0.2">
      <c r="G101" s="17" t="s">
        <v>228</v>
      </c>
      <c r="H101" s="13"/>
      <c r="I101" s="13"/>
      <c r="J101" s="13"/>
      <c r="K101" s="117"/>
      <c r="L101" s="13"/>
      <c r="M101" s="13"/>
      <c r="N101" s="13"/>
      <c r="O101" s="13"/>
      <c r="P101" s="215">
        <v>3.2</v>
      </c>
      <c r="Q101" s="13"/>
      <c r="R101" s="28"/>
      <c r="S101" s="14" t="s">
        <v>274</v>
      </c>
      <c r="T101" s="13"/>
      <c r="U101" s="13"/>
      <c r="V101" s="69" t="s">
        <v>666</v>
      </c>
      <c r="W101" s="60"/>
      <c r="X101" s="60"/>
      <c r="Y101" s="60"/>
      <c r="Z101" s="60"/>
      <c r="AA101" s="60"/>
      <c r="AB101" s="60"/>
    </row>
    <row r="102" spans="7:28" ht="15" customHeight="1" x14ac:dyDescent="0.2">
      <c r="G102" s="17" t="s">
        <v>271</v>
      </c>
      <c r="H102" s="13"/>
      <c r="I102" s="13"/>
      <c r="J102" s="13"/>
      <c r="K102" s="117"/>
      <c r="L102" s="13"/>
      <c r="M102" s="13"/>
      <c r="N102" s="13"/>
      <c r="O102" s="13"/>
      <c r="P102" s="215">
        <v>3.6</v>
      </c>
      <c r="Q102" s="13"/>
      <c r="R102" s="28"/>
      <c r="S102" s="14" t="s">
        <v>274</v>
      </c>
      <c r="T102" s="13"/>
      <c r="U102" s="13"/>
      <c r="V102" s="69" t="s">
        <v>666</v>
      </c>
      <c r="W102" s="60"/>
      <c r="X102" s="60"/>
      <c r="Y102" s="60"/>
      <c r="Z102" s="60"/>
      <c r="AA102" s="60"/>
      <c r="AB102" s="60"/>
    </row>
    <row r="103" spans="7:28" ht="15" customHeight="1" x14ac:dyDescent="0.2">
      <c r="G103" s="17" t="s">
        <v>229</v>
      </c>
      <c r="H103" s="13"/>
      <c r="I103" s="13"/>
      <c r="J103" s="13"/>
      <c r="K103" s="117"/>
      <c r="L103" s="13"/>
      <c r="M103" s="13"/>
      <c r="N103" s="13"/>
      <c r="O103" s="13"/>
      <c r="P103" s="215">
        <v>5</v>
      </c>
      <c r="Q103" s="13"/>
      <c r="R103" s="28"/>
      <c r="S103" s="14" t="s">
        <v>274</v>
      </c>
      <c r="T103" s="13"/>
      <c r="U103" s="13"/>
      <c r="V103" s="69" t="s">
        <v>666</v>
      </c>
      <c r="W103" s="60"/>
      <c r="X103" s="60"/>
      <c r="Y103" s="60"/>
      <c r="Z103" s="60"/>
      <c r="AA103" s="60"/>
      <c r="AB103" s="60"/>
    </row>
    <row r="104" spans="7:28" ht="15" customHeight="1" x14ac:dyDescent="0.2">
      <c r="G104" s="17"/>
      <c r="H104" s="13"/>
      <c r="I104" s="13"/>
      <c r="J104" s="13"/>
      <c r="K104" s="117"/>
      <c r="L104" s="13"/>
      <c r="M104" s="13"/>
      <c r="N104" s="13"/>
      <c r="O104" s="13"/>
      <c r="P104" s="485"/>
      <c r="Q104" s="13"/>
      <c r="R104" s="28"/>
      <c r="S104" s="14"/>
      <c r="T104" s="13"/>
      <c r="U104" s="13"/>
      <c r="V104" s="69"/>
      <c r="W104" s="60"/>
      <c r="X104" s="60"/>
      <c r="Y104" s="60"/>
      <c r="Z104" s="60"/>
      <c r="AA104" s="60"/>
      <c r="AB104" s="60"/>
    </row>
    <row r="105" spans="7:28" ht="15" customHeight="1" x14ac:dyDescent="0.2">
      <c r="G105" s="15" t="s">
        <v>658</v>
      </c>
      <c r="H105" s="13"/>
      <c r="I105" s="13"/>
      <c r="J105" s="13"/>
      <c r="K105" s="117"/>
      <c r="L105" s="13"/>
      <c r="M105" s="13"/>
      <c r="N105" s="13"/>
      <c r="O105" s="13"/>
      <c r="P105" s="485"/>
      <c r="Q105" s="13"/>
      <c r="R105" s="28"/>
      <c r="S105" s="14"/>
      <c r="T105" s="13"/>
      <c r="U105" s="13"/>
      <c r="V105" s="69"/>
      <c r="W105" s="60"/>
      <c r="X105" s="60"/>
      <c r="Y105" s="60"/>
      <c r="Z105" s="60"/>
      <c r="AA105" s="60"/>
      <c r="AB105" s="60"/>
    </row>
    <row r="106" spans="7:28" ht="15" customHeight="1" x14ac:dyDescent="0.2">
      <c r="G106" s="17" t="s">
        <v>309</v>
      </c>
      <c r="H106" s="13"/>
      <c r="I106" s="13"/>
      <c r="J106" s="13"/>
      <c r="K106" s="117"/>
      <c r="L106" s="13"/>
      <c r="M106" s="13"/>
      <c r="N106" s="13"/>
      <c r="O106" s="651">
        <f>SimpleC!J31</f>
        <v>0</v>
      </c>
      <c r="P106" s="651">
        <f>SimpleC!P31</f>
        <v>0</v>
      </c>
      <c r="Q106" s="651">
        <f>SimpleC!AB31</f>
        <v>0</v>
      </c>
      <c r="R106" s="28"/>
      <c r="S106" s="14" t="s">
        <v>279</v>
      </c>
      <c r="T106" s="13"/>
      <c r="U106" s="13"/>
      <c r="V106" s="69"/>
      <c r="W106" s="60"/>
      <c r="X106" s="60"/>
      <c r="Y106" s="60"/>
      <c r="Z106" s="60"/>
      <c r="AA106" s="60"/>
      <c r="AB106" s="60"/>
    </row>
    <row r="107" spans="7:28" ht="15" customHeight="1" x14ac:dyDescent="0.2">
      <c r="G107" s="17" t="s">
        <v>207</v>
      </c>
      <c r="H107" s="13"/>
      <c r="I107" s="13"/>
      <c r="J107" s="13"/>
      <c r="K107" s="117"/>
      <c r="L107" s="13"/>
      <c r="M107" s="13"/>
      <c r="N107" s="13"/>
      <c r="O107" s="13"/>
      <c r="P107" s="215">
        <v>1.2</v>
      </c>
      <c r="Q107" s="13"/>
      <c r="R107" s="28"/>
      <c r="S107" s="14" t="s">
        <v>279</v>
      </c>
      <c r="T107" s="13"/>
      <c r="U107" s="13"/>
      <c r="V107" s="69" t="s">
        <v>640</v>
      </c>
      <c r="W107" s="60"/>
      <c r="X107" s="60"/>
      <c r="Y107" s="60"/>
      <c r="Z107" s="60"/>
      <c r="AA107" s="60"/>
      <c r="AB107" s="60"/>
    </row>
    <row r="108" spans="7:28" ht="15" customHeight="1" x14ac:dyDescent="0.2">
      <c r="G108" s="17" t="s">
        <v>211</v>
      </c>
      <c r="H108" s="13"/>
      <c r="I108" s="13"/>
      <c r="J108" s="13"/>
      <c r="K108" s="117"/>
      <c r="L108" s="13"/>
      <c r="M108" s="13"/>
      <c r="N108" s="13"/>
      <c r="O108" s="13"/>
      <c r="P108" s="215">
        <v>1</v>
      </c>
      <c r="Q108" s="13"/>
      <c r="R108" s="28"/>
      <c r="S108" s="14" t="s">
        <v>279</v>
      </c>
      <c r="T108" s="13"/>
      <c r="U108" s="13"/>
      <c r="V108" s="69" t="s">
        <v>640</v>
      </c>
      <c r="W108" s="60"/>
      <c r="X108" s="60"/>
      <c r="Y108" s="60"/>
      <c r="Z108" s="60"/>
      <c r="AA108" s="60"/>
      <c r="AB108" s="60"/>
    </row>
    <row r="109" spans="7:28" ht="15" customHeight="1" x14ac:dyDescent="0.2">
      <c r="G109" s="17" t="s">
        <v>212</v>
      </c>
      <c r="H109" s="13"/>
      <c r="I109" s="13"/>
      <c r="J109" s="13"/>
      <c r="K109" s="117"/>
      <c r="L109" s="13"/>
      <c r="M109" s="13"/>
      <c r="N109" s="13"/>
      <c r="O109" s="13"/>
      <c r="P109" s="215">
        <v>0.70000000000000007</v>
      </c>
      <c r="Q109" s="13"/>
      <c r="R109" s="28"/>
      <c r="S109" s="14" t="s">
        <v>279</v>
      </c>
      <c r="T109" s="13"/>
      <c r="U109" s="13"/>
      <c r="V109" s="69" t="s">
        <v>640</v>
      </c>
      <c r="W109" s="60"/>
      <c r="X109" s="60"/>
      <c r="Y109" s="60"/>
      <c r="Z109" s="60"/>
      <c r="AA109" s="60"/>
      <c r="AB109" s="60"/>
    </row>
    <row r="110" spans="7:28" ht="15" customHeight="1" x14ac:dyDescent="0.2">
      <c r="G110" s="17"/>
      <c r="H110" s="13"/>
      <c r="I110" s="13"/>
      <c r="J110" s="13"/>
      <c r="K110" s="117"/>
      <c r="L110" s="13"/>
      <c r="M110" s="13"/>
      <c r="N110" s="13"/>
      <c r="O110" s="13"/>
      <c r="P110" s="13"/>
      <c r="Q110" s="13"/>
      <c r="R110" s="28"/>
      <c r="S110" s="14"/>
      <c r="T110" s="13"/>
      <c r="U110" s="13"/>
      <c r="V110" s="69"/>
      <c r="W110" s="60"/>
      <c r="X110" s="60"/>
      <c r="Y110" s="60"/>
      <c r="Z110" s="60"/>
      <c r="AA110" s="60"/>
      <c r="AB110" s="60"/>
    </row>
    <row r="111" spans="7:28" ht="15" customHeight="1" x14ac:dyDescent="0.2">
      <c r="V111" s="70"/>
    </row>
    <row r="112" spans="7:28" ht="15" customHeight="1" x14ac:dyDescent="0.2">
      <c r="G112" s="1093" t="s">
        <v>505</v>
      </c>
      <c r="H112" s="1093"/>
      <c r="I112" s="1093"/>
      <c r="J112" s="495"/>
      <c r="K112" s="495"/>
      <c r="L112" s="495"/>
      <c r="M112" s="13"/>
      <c r="N112" s="13"/>
      <c r="O112" s="13"/>
      <c r="P112" s="485"/>
      <c r="Q112" s="13"/>
      <c r="R112" s="28"/>
      <c r="S112" s="14"/>
      <c r="T112" s="14"/>
      <c r="U112" s="14"/>
      <c r="V112" s="69"/>
      <c r="W112" s="60"/>
      <c r="X112" s="60"/>
      <c r="Y112" s="60"/>
      <c r="Z112" s="60"/>
      <c r="AA112" s="60"/>
      <c r="AB112" s="60"/>
    </row>
    <row r="113" spans="7:28" ht="15" customHeight="1" x14ac:dyDescent="0.2">
      <c r="G113" s="1093"/>
      <c r="H113" s="1093"/>
      <c r="I113" s="1093"/>
      <c r="J113" s="495"/>
      <c r="K113" s="495"/>
      <c r="L113" s="495"/>
      <c r="M113" s="13"/>
      <c r="N113" s="13"/>
      <c r="O113" s="13"/>
      <c r="P113" s="485"/>
      <c r="Q113" s="13"/>
      <c r="R113" s="28"/>
      <c r="S113" s="14"/>
      <c r="T113" s="14"/>
      <c r="U113" s="14"/>
      <c r="V113" s="69"/>
      <c r="W113" s="60"/>
      <c r="X113" s="60"/>
      <c r="Y113" s="60"/>
      <c r="Z113" s="60"/>
      <c r="AA113" s="60"/>
      <c r="AB113" s="60"/>
    </row>
    <row r="114" spans="7:28" ht="15" customHeight="1" x14ac:dyDescent="0.2">
      <c r="G114" s="15" t="s">
        <v>462</v>
      </c>
      <c r="H114" s="495"/>
      <c r="I114" s="495"/>
      <c r="J114" s="495"/>
      <c r="K114" s="495"/>
      <c r="L114" s="495"/>
      <c r="M114" s="13"/>
      <c r="N114" s="13"/>
      <c r="O114" s="13"/>
      <c r="P114" s="485"/>
      <c r="Q114" s="13"/>
      <c r="R114" s="28"/>
      <c r="S114" s="14"/>
      <c r="T114" s="14"/>
      <c r="U114" s="14"/>
      <c r="V114" s="69"/>
      <c r="W114" s="60"/>
      <c r="X114" s="60"/>
      <c r="Y114" s="60"/>
      <c r="Z114" s="60"/>
      <c r="AA114" s="60"/>
      <c r="AB114" s="60"/>
    </row>
    <row r="115" spans="7:28" ht="15" customHeight="1" x14ac:dyDescent="0.2">
      <c r="G115" s="17" t="s">
        <v>618</v>
      </c>
      <c r="H115" s="13"/>
      <c r="I115" s="13"/>
      <c r="J115" s="13"/>
      <c r="K115" s="117"/>
      <c r="L115" s="13"/>
      <c r="M115" s="13"/>
      <c r="N115" s="13"/>
      <c r="O115" s="651">
        <f>SimpleL!J15</f>
        <v>0</v>
      </c>
      <c r="P115" s="651">
        <f>SimpleL!P15</f>
        <v>0</v>
      </c>
      <c r="Q115" s="651">
        <f>SimpleL!AB15</f>
        <v>0</v>
      </c>
      <c r="R115" s="13"/>
      <c r="S115" s="14" t="s">
        <v>28</v>
      </c>
      <c r="T115" s="14"/>
      <c r="U115" s="14"/>
      <c r="V115" s="69"/>
      <c r="W115" s="60"/>
      <c r="X115" s="60"/>
      <c r="Y115" s="60"/>
      <c r="Z115" s="60"/>
      <c r="AA115" s="60"/>
      <c r="AB115" s="60"/>
    </row>
    <row r="116" spans="7:28" ht="15" customHeight="1" x14ac:dyDescent="0.2">
      <c r="G116" s="17" t="s">
        <v>617</v>
      </c>
      <c r="H116" s="13"/>
      <c r="I116" s="13"/>
      <c r="J116" s="13"/>
      <c r="K116" s="117"/>
      <c r="L116" s="13"/>
      <c r="M116" s="13"/>
      <c r="N116" s="13"/>
      <c r="O116" s="651">
        <f>SimpleL!J16</f>
        <v>0</v>
      </c>
      <c r="P116" s="651">
        <f>SimpleL!P16</f>
        <v>0</v>
      </c>
      <c r="Q116" s="651">
        <f>SimpleL!AB16</f>
        <v>0</v>
      </c>
      <c r="R116" s="13"/>
      <c r="S116" s="14" t="s">
        <v>28</v>
      </c>
      <c r="T116" s="14"/>
      <c r="U116" s="14"/>
      <c r="V116" s="69"/>
      <c r="W116" s="60"/>
      <c r="X116" s="60"/>
      <c r="Y116" s="60"/>
      <c r="Z116" s="60"/>
      <c r="AA116" s="60"/>
      <c r="AB116" s="60"/>
    </row>
    <row r="117" spans="7:28" ht="15" customHeight="1" x14ac:dyDescent="0.2">
      <c r="G117" s="17" t="s">
        <v>619</v>
      </c>
      <c r="H117" s="13"/>
      <c r="I117" s="13"/>
      <c r="J117" s="13"/>
      <c r="K117" s="117"/>
      <c r="L117" s="13"/>
      <c r="M117" s="13"/>
      <c r="N117" s="13"/>
      <c r="O117" s="651">
        <f>SimpleL!J17</f>
        <v>0</v>
      </c>
      <c r="P117" s="651">
        <f>SimpleL!P17</f>
        <v>0</v>
      </c>
      <c r="Q117" s="651">
        <f>SimpleL!AB17</f>
        <v>0</v>
      </c>
      <c r="R117" s="13"/>
      <c r="S117" s="14" t="s">
        <v>28</v>
      </c>
      <c r="T117" s="14"/>
      <c r="U117" s="14"/>
      <c r="V117" s="69"/>
      <c r="W117" s="60"/>
      <c r="X117" s="60"/>
      <c r="Y117" s="60"/>
      <c r="Z117" s="60"/>
      <c r="AA117" s="60"/>
      <c r="AB117" s="60"/>
    </row>
    <row r="118" spans="7:28" ht="15" customHeight="1" x14ac:dyDescent="0.2">
      <c r="G118" s="17" t="s">
        <v>24</v>
      </c>
      <c r="H118" s="13"/>
      <c r="I118" s="13"/>
      <c r="J118" s="13"/>
      <c r="K118" s="117"/>
      <c r="L118" s="13"/>
      <c r="M118" s="13"/>
      <c r="N118" s="13"/>
      <c r="O118" s="215">
        <v>100</v>
      </c>
      <c r="P118" s="215">
        <v>100</v>
      </c>
      <c r="Q118" s="215">
        <v>100</v>
      </c>
      <c r="R118" s="13"/>
      <c r="S118" s="14" t="s">
        <v>28</v>
      </c>
      <c r="T118" s="14"/>
      <c r="U118" s="14"/>
      <c r="V118" s="69" t="s">
        <v>666</v>
      </c>
      <c r="W118" s="60"/>
      <c r="X118" s="60"/>
      <c r="Y118" s="60"/>
      <c r="Z118" s="60"/>
      <c r="AA118" s="60"/>
      <c r="AB118" s="60"/>
    </row>
    <row r="119" spans="7:28" ht="15" customHeight="1" x14ac:dyDescent="0.2">
      <c r="G119" s="17" t="s">
        <v>25</v>
      </c>
      <c r="H119" s="13"/>
      <c r="I119" s="13"/>
      <c r="J119" s="13"/>
      <c r="K119" s="117"/>
      <c r="L119" s="13"/>
      <c r="M119" s="13"/>
      <c r="N119" s="13"/>
      <c r="O119" s="215">
        <v>87.5</v>
      </c>
      <c r="P119" s="215">
        <v>87.5</v>
      </c>
      <c r="Q119" s="215">
        <v>87.5</v>
      </c>
      <c r="R119" s="13"/>
      <c r="S119" s="14" t="s">
        <v>28</v>
      </c>
      <c r="T119" s="14"/>
      <c r="U119" s="14"/>
      <c r="V119" s="69" t="s">
        <v>666</v>
      </c>
      <c r="W119" s="60"/>
      <c r="X119" s="60"/>
      <c r="Y119" s="60"/>
      <c r="Z119" s="60"/>
      <c r="AA119" s="60"/>
      <c r="AB119" s="60"/>
    </row>
    <row r="120" spans="7:28" ht="15" customHeight="1" x14ac:dyDescent="0.2">
      <c r="G120" s="17" t="s">
        <v>26</v>
      </c>
      <c r="H120" s="13"/>
      <c r="I120" s="13"/>
      <c r="J120" s="13"/>
      <c r="K120" s="117"/>
      <c r="L120" s="13"/>
      <c r="M120" s="13"/>
      <c r="N120" s="13"/>
      <c r="O120" s="215">
        <v>39</v>
      </c>
      <c r="P120" s="215">
        <v>39</v>
      </c>
      <c r="Q120" s="215">
        <v>39</v>
      </c>
      <c r="R120" s="13"/>
      <c r="S120" s="14" t="s">
        <v>28</v>
      </c>
      <c r="T120" s="14"/>
      <c r="U120" s="14"/>
      <c r="V120" s="69" t="s">
        <v>666</v>
      </c>
      <c r="W120" s="60"/>
      <c r="X120" s="60"/>
      <c r="Y120" s="60"/>
      <c r="Z120" s="60"/>
      <c r="AA120" s="60"/>
      <c r="AB120" s="60"/>
    </row>
    <row r="121" spans="7:28" ht="15" customHeight="1" x14ac:dyDescent="0.2">
      <c r="G121" s="17" t="s">
        <v>332</v>
      </c>
      <c r="H121" s="13"/>
      <c r="I121" s="13"/>
      <c r="J121" s="13"/>
      <c r="K121" s="117"/>
      <c r="L121" s="13"/>
      <c r="M121" s="13"/>
      <c r="N121" s="13"/>
      <c r="O121" s="215">
        <v>28</v>
      </c>
      <c r="P121" s="215">
        <v>28</v>
      </c>
      <c r="Q121" s="215">
        <v>28</v>
      </c>
      <c r="R121" s="13"/>
      <c r="S121" s="14" t="s">
        <v>28</v>
      </c>
      <c r="T121" s="14"/>
      <c r="U121" s="14"/>
      <c r="V121" s="69" t="s">
        <v>666</v>
      </c>
      <c r="W121" s="60"/>
      <c r="X121" s="60"/>
      <c r="Y121" s="60"/>
      <c r="Z121" s="60"/>
      <c r="AA121" s="60"/>
      <c r="AB121" s="60"/>
    </row>
    <row r="122" spans="7:28" ht="15" customHeight="1" x14ac:dyDescent="0.2">
      <c r="G122" s="17" t="s">
        <v>333</v>
      </c>
      <c r="H122" s="13"/>
      <c r="I122" s="13"/>
      <c r="J122" s="13"/>
      <c r="K122" s="117"/>
      <c r="L122" s="13"/>
      <c r="M122" s="13"/>
      <c r="N122" s="13"/>
      <c r="O122" s="215">
        <v>32</v>
      </c>
      <c r="P122" s="215">
        <v>32</v>
      </c>
      <c r="Q122" s="215">
        <v>32</v>
      </c>
      <c r="R122" s="13"/>
      <c r="S122" s="14" t="s">
        <v>28</v>
      </c>
      <c r="T122" s="14"/>
      <c r="U122" s="14"/>
      <c r="V122" s="69" t="s">
        <v>666</v>
      </c>
      <c r="W122" s="60"/>
      <c r="X122" s="60"/>
      <c r="Y122" s="60"/>
      <c r="Z122" s="60"/>
      <c r="AA122" s="60"/>
      <c r="AB122" s="60"/>
    </row>
    <row r="123" spans="7:28" ht="15" customHeight="1" x14ac:dyDescent="0.2">
      <c r="G123" s="17" t="s">
        <v>334</v>
      </c>
      <c r="H123" s="13"/>
      <c r="I123" s="13"/>
      <c r="J123" s="13"/>
      <c r="K123" s="117"/>
      <c r="L123" s="13"/>
      <c r="M123" s="13"/>
      <c r="N123" s="13"/>
      <c r="O123" s="215">
        <v>40</v>
      </c>
      <c r="P123" s="215">
        <v>40</v>
      </c>
      <c r="Q123" s="215">
        <v>40</v>
      </c>
      <c r="R123" s="13"/>
      <c r="S123" s="14" t="s">
        <v>28</v>
      </c>
      <c r="T123" s="14"/>
      <c r="U123" s="14"/>
      <c r="V123" s="69" t="s">
        <v>666</v>
      </c>
      <c r="W123" s="60"/>
      <c r="X123" s="60"/>
      <c r="Y123" s="60"/>
      <c r="Z123" s="60"/>
      <c r="AA123" s="60"/>
      <c r="AB123" s="60"/>
    </row>
    <row r="124" spans="7:28" ht="15" customHeight="1" x14ac:dyDescent="0.2">
      <c r="G124" s="17" t="s">
        <v>27</v>
      </c>
      <c r="H124" s="13"/>
      <c r="I124" s="13"/>
      <c r="J124" s="13"/>
      <c r="K124" s="117"/>
      <c r="L124" s="13"/>
      <c r="M124" s="13"/>
      <c r="N124" s="13"/>
      <c r="O124" s="215">
        <v>19</v>
      </c>
      <c r="P124" s="215">
        <v>19</v>
      </c>
      <c r="Q124" s="215">
        <v>19</v>
      </c>
      <c r="R124" s="13"/>
      <c r="S124" s="14" t="s">
        <v>28</v>
      </c>
      <c r="T124" s="14"/>
      <c r="U124" s="14"/>
      <c r="V124" s="69" t="s">
        <v>666</v>
      </c>
      <c r="W124" s="60"/>
      <c r="X124" s="60"/>
      <c r="Y124" s="60"/>
      <c r="Z124" s="60"/>
      <c r="AA124" s="60"/>
      <c r="AB124" s="60"/>
    </row>
    <row r="125" spans="7:28" ht="15" customHeight="1" x14ac:dyDescent="0.2">
      <c r="G125" s="17"/>
      <c r="H125" s="13"/>
      <c r="I125" s="13"/>
      <c r="J125" s="13"/>
      <c r="K125" s="117"/>
      <c r="L125" s="13"/>
      <c r="M125" s="13"/>
      <c r="N125" s="13"/>
      <c r="O125" s="13"/>
      <c r="P125" s="496"/>
      <c r="Q125" s="13"/>
      <c r="R125" s="13"/>
      <c r="S125" s="14"/>
      <c r="T125" s="14"/>
      <c r="U125" s="14"/>
      <c r="V125" s="69"/>
      <c r="W125" s="60"/>
      <c r="X125" s="60"/>
      <c r="Y125" s="60"/>
      <c r="Z125" s="60"/>
      <c r="AA125" s="60"/>
      <c r="AB125" s="60"/>
    </row>
    <row r="126" spans="7:28" ht="15" customHeight="1" x14ac:dyDescent="0.2">
      <c r="G126" s="15" t="s">
        <v>463</v>
      </c>
      <c r="H126" s="13"/>
      <c r="I126" s="13"/>
      <c r="J126" s="13"/>
      <c r="K126" s="117"/>
      <c r="L126" s="13"/>
      <c r="M126" s="13"/>
      <c r="N126" s="13"/>
      <c r="O126" s="13"/>
      <c r="P126" s="496"/>
      <c r="Q126" s="13"/>
      <c r="R126" s="13"/>
      <c r="S126" s="14"/>
      <c r="T126" s="14"/>
      <c r="U126" s="14"/>
      <c r="V126" s="69"/>
      <c r="W126" s="60"/>
      <c r="X126" s="60"/>
      <c r="Y126" s="60"/>
      <c r="Z126" s="60"/>
      <c r="AA126" s="60"/>
      <c r="AB126" s="60"/>
    </row>
    <row r="127" spans="7:28" ht="15" customHeight="1" x14ac:dyDescent="0.2">
      <c r="G127" s="17" t="s">
        <v>618</v>
      </c>
      <c r="H127" s="13"/>
      <c r="I127" s="13"/>
      <c r="J127" s="13"/>
      <c r="K127" s="117"/>
      <c r="L127" s="13"/>
      <c r="M127" s="13"/>
      <c r="N127" s="13"/>
      <c r="O127" s="652"/>
      <c r="P127" s="651"/>
      <c r="Q127" s="898"/>
      <c r="R127" s="13"/>
      <c r="S127" s="14" t="s">
        <v>315</v>
      </c>
      <c r="T127" s="14"/>
      <c r="U127" s="14"/>
      <c r="V127" s="69"/>
      <c r="W127" s="60"/>
      <c r="X127" s="60"/>
      <c r="Y127" s="60"/>
      <c r="Z127" s="60"/>
      <c r="AA127" s="60"/>
      <c r="AB127" s="60"/>
    </row>
    <row r="128" spans="7:28" ht="15" customHeight="1" x14ac:dyDescent="0.2">
      <c r="G128" s="17" t="s">
        <v>617</v>
      </c>
      <c r="H128" s="13"/>
      <c r="I128" s="13"/>
      <c r="J128" s="13"/>
      <c r="K128" s="117"/>
      <c r="L128" s="13"/>
      <c r="M128" s="13"/>
      <c r="N128" s="13"/>
      <c r="O128" s="460"/>
      <c r="P128" s="651"/>
      <c r="Q128" s="916"/>
      <c r="R128" s="13"/>
      <c r="S128" s="14" t="s">
        <v>315</v>
      </c>
      <c r="T128" s="14"/>
      <c r="U128" s="14"/>
      <c r="V128" s="69"/>
      <c r="W128" s="60"/>
      <c r="X128" s="60"/>
      <c r="Y128" s="60"/>
      <c r="Z128" s="60"/>
      <c r="AA128" s="60"/>
      <c r="AB128" s="60"/>
    </row>
    <row r="129" spans="7:28" ht="15" customHeight="1" x14ac:dyDescent="0.2">
      <c r="G129" s="17" t="s">
        <v>619</v>
      </c>
      <c r="H129" s="13"/>
      <c r="I129" s="13"/>
      <c r="J129" s="13"/>
      <c r="K129" s="117"/>
      <c r="L129" s="13"/>
      <c r="M129" s="13"/>
      <c r="N129" s="13"/>
      <c r="O129" s="460"/>
      <c r="P129" s="651"/>
      <c r="Q129" s="916"/>
      <c r="R129" s="13"/>
      <c r="S129" s="14" t="s">
        <v>315</v>
      </c>
      <c r="T129" s="14"/>
      <c r="U129" s="14"/>
      <c r="V129" s="69"/>
      <c r="W129" s="60"/>
      <c r="X129" s="60"/>
      <c r="Y129" s="60"/>
      <c r="Z129" s="60"/>
      <c r="AA129" s="60"/>
      <c r="AB129" s="60"/>
    </row>
    <row r="130" spans="7:28" ht="15" customHeight="1" x14ac:dyDescent="0.2">
      <c r="G130" s="17" t="s">
        <v>24</v>
      </c>
      <c r="H130" s="13"/>
      <c r="I130" s="13"/>
      <c r="J130" s="13"/>
      <c r="K130" s="117"/>
      <c r="L130" s="13"/>
      <c r="M130" s="13"/>
      <c r="N130" s="13"/>
      <c r="O130" s="13"/>
      <c r="P130" s="260">
        <v>3000</v>
      </c>
      <c r="Q130" s="13"/>
      <c r="R130" s="13"/>
      <c r="S130" s="14" t="s">
        <v>315</v>
      </c>
      <c r="T130" s="14"/>
      <c r="U130" s="14"/>
      <c r="V130" s="69" t="s">
        <v>666</v>
      </c>
      <c r="W130" s="60"/>
      <c r="X130" s="60"/>
      <c r="Y130" s="60"/>
      <c r="Z130" s="60"/>
      <c r="AA130" s="60"/>
      <c r="AB130" s="60"/>
    </row>
    <row r="131" spans="7:28" ht="15" customHeight="1" x14ac:dyDescent="0.2">
      <c r="G131" s="17" t="s">
        <v>25</v>
      </c>
      <c r="H131" s="13"/>
      <c r="I131" s="13"/>
      <c r="J131" s="13"/>
      <c r="K131" s="117"/>
      <c r="L131" s="13"/>
      <c r="M131" s="13"/>
      <c r="N131" s="13"/>
      <c r="O131" s="13"/>
      <c r="P131" s="260">
        <v>3000</v>
      </c>
      <c r="Q131" s="13"/>
      <c r="R131" s="13"/>
      <c r="S131" s="14" t="s">
        <v>315</v>
      </c>
      <c r="T131" s="14"/>
      <c r="U131" s="14"/>
      <c r="V131" s="69" t="s">
        <v>666</v>
      </c>
      <c r="W131" s="60"/>
      <c r="X131" s="60"/>
      <c r="Y131" s="60"/>
      <c r="Z131" s="60"/>
      <c r="AA131" s="60"/>
      <c r="AB131" s="60"/>
    </row>
    <row r="132" spans="7:28" ht="15" customHeight="1" x14ac:dyDescent="0.2">
      <c r="G132" s="17" t="s">
        <v>26</v>
      </c>
      <c r="H132" s="13"/>
      <c r="I132" s="13"/>
      <c r="J132" s="13"/>
      <c r="K132" s="117"/>
      <c r="L132" s="13"/>
      <c r="M132" s="13"/>
      <c r="N132" s="13"/>
      <c r="O132" s="13"/>
      <c r="P132" s="260">
        <v>10000</v>
      </c>
      <c r="Q132" s="13"/>
      <c r="R132" s="13"/>
      <c r="S132" s="14" t="s">
        <v>315</v>
      </c>
      <c r="T132" s="14"/>
      <c r="U132" s="14"/>
      <c r="V132" s="69" t="s">
        <v>666</v>
      </c>
      <c r="W132" s="60"/>
      <c r="X132" s="60"/>
      <c r="Y132" s="60"/>
      <c r="Z132" s="60"/>
      <c r="AA132" s="60"/>
      <c r="AB132" s="60"/>
    </row>
    <row r="133" spans="7:28" ht="15" customHeight="1" x14ac:dyDescent="0.2">
      <c r="G133" s="17" t="s">
        <v>332</v>
      </c>
      <c r="H133" s="13"/>
      <c r="I133" s="13"/>
      <c r="J133" s="13"/>
      <c r="K133" s="117"/>
      <c r="L133" s="13"/>
      <c r="M133" s="13"/>
      <c r="N133" s="13"/>
      <c r="O133" s="13"/>
      <c r="P133" s="260">
        <v>10000</v>
      </c>
      <c r="Q133" s="13"/>
      <c r="R133" s="13"/>
      <c r="S133" s="14" t="s">
        <v>315</v>
      </c>
      <c r="T133" s="14"/>
      <c r="U133" s="14"/>
      <c r="V133" s="69" t="s">
        <v>666</v>
      </c>
      <c r="W133" s="60"/>
      <c r="X133" s="60"/>
      <c r="Y133" s="60"/>
      <c r="Z133" s="60"/>
      <c r="AA133" s="60"/>
      <c r="AB133" s="60"/>
    </row>
    <row r="134" spans="7:28" ht="15" customHeight="1" x14ac:dyDescent="0.2">
      <c r="G134" s="17" t="s">
        <v>333</v>
      </c>
      <c r="H134" s="13"/>
      <c r="I134" s="13"/>
      <c r="J134" s="13"/>
      <c r="K134" s="117"/>
      <c r="L134" s="13"/>
      <c r="M134" s="13"/>
      <c r="N134" s="13"/>
      <c r="O134" s="13"/>
      <c r="P134" s="260">
        <v>10000</v>
      </c>
      <c r="Q134" s="13"/>
      <c r="R134" s="13"/>
      <c r="S134" s="14" t="s">
        <v>315</v>
      </c>
      <c r="T134" s="14"/>
      <c r="U134" s="14"/>
      <c r="V134" s="69" t="s">
        <v>666</v>
      </c>
      <c r="W134" s="60"/>
      <c r="X134" s="60"/>
      <c r="Y134" s="60"/>
      <c r="Z134" s="60"/>
      <c r="AA134" s="60"/>
      <c r="AB134" s="60"/>
    </row>
    <row r="135" spans="7:28" ht="15" customHeight="1" x14ac:dyDescent="0.2">
      <c r="G135" s="17" t="s">
        <v>334</v>
      </c>
      <c r="H135" s="13"/>
      <c r="I135" s="13"/>
      <c r="J135" s="13"/>
      <c r="K135" s="117"/>
      <c r="L135" s="13"/>
      <c r="M135" s="13"/>
      <c r="N135" s="13"/>
      <c r="O135" s="13"/>
      <c r="P135" s="260">
        <v>10000</v>
      </c>
      <c r="Q135" s="13"/>
      <c r="R135" s="13"/>
      <c r="S135" s="14" t="s">
        <v>315</v>
      </c>
      <c r="T135" s="14"/>
      <c r="U135" s="14"/>
      <c r="V135" s="69" t="s">
        <v>666</v>
      </c>
      <c r="W135" s="60"/>
      <c r="X135" s="60"/>
      <c r="Y135" s="60"/>
      <c r="Z135" s="60"/>
      <c r="AA135" s="60"/>
      <c r="AB135" s="60"/>
    </row>
    <row r="136" spans="7:28" ht="15" customHeight="1" x14ac:dyDescent="0.2">
      <c r="G136" s="17" t="s">
        <v>27</v>
      </c>
      <c r="H136" s="13"/>
      <c r="I136" s="13"/>
      <c r="J136" s="13"/>
      <c r="K136" s="117"/>
      <c r="L136" s="13"/>
      <c r="M136" s="13"/>
      <c r="N136" s="13"/>
      <c r="O136" s="13"/>
      <c r="P136" s="260">
        <v>25000</v>
      </c>
      <c r="Q136" s="13"/>
      <c r="R136" s="13"/>
      <c r="S136" s="14" t="s">
        <v>315</v>
      </c>
      <c r="T136" s="14"/>
      <c r="U136" s="14"/>
      <c r="V136" s="69" t="s">
        <v>666</v>
      </c>
      <c r="W136" s="60"/>
      <c r="X136" s="60"/>
      <c r="Y136" s="60"/>
      <c r="Z136" s="60"/>
      <c r="AA136" s="60"/>
      <c r="AB136" s="60"/>
    </row>
    <row r="137" spans="7:28" ht="15" customHeight="1" x14ac:dyDescent="0.2">
      <c r="G137" s="17"/>
      <c r="H137" s="13"/>
      <c r="I137" s="13"/>
      <c r="J137" s="13"/>
      <c r="K137" s="117"/>
      <c r="L137" s="13"/>
      <c r="M137" s="13"/>
      <c r="N137" s="13"/>
      <c r="O137" s="13"/>
      <c r="P137" s="485"/>
      <c r="Q137" s="13"/>
      <c r="R137" s="28"/>
      <c r="S137" s="13"/>
      <c r="T137" s="14"/>
      <c r="U137" s="14"/>
      <c r="V137" s="69"/>
      <c r="W137" s="60"/>
      <c r="X137" s="60"/>
      <c r="Y137" s="60"/>
      <c r="Z137" s="60"/>
      <c r="AA137" s="60"/>
      <c r="AB137" s="60"/>
    </row>
    <row r="138" spans="7:28" ht="15" customHeight="1" x14ac:dyDescent="0.2">
      <c r="G138" s="15" t="s">
        <v>667</v>
      </c>
      <c r="H138" s="13"/>
      <c r="I138" s="13"/>
      <c r="J138" s="13"/>
      <c r="K138" s="117"/>
      <c r="L138" s="13"/>
      <c r="M138" s="13"/>
      <c r="N138" s="13"/>
      <c r="O138" s="13"/>
      <c r="P138" s="485"/>
      <c r="Q138" s="13"/>
      <c r="R138" s="28"/>
      <c r="S138" s="13"/>
      <c r="T138" s="14"/>
      <c r="U138" s="14"/>
      <c r="V138" s="69"/>
      <c r="W138" s="60"/>
      <c r="X138" s="60"/>
      <c r="Y138" s="60"/>
      <c r="Z138" s="60"/>
      <c r="AA138" s="60"/>
      <c r="AB138" s="60"/>
    </row>
    <row r="139" spans="7:28" ht="15" customHeight="1" x14ac:dyDescent="0.2">
      <c r="G139" s="17" t="s">
        <v>21</v>
      </c>
      <c r="H139" s="13"/>
      <c r="I139" s="13"/>
      <c r="J139" s="13"/>
      <c r="K139" s="117"/>
      <c r="L139" s="13"/>
      <c r="M139" s="13"/>
      <c r="N139" s="13"/>
      <c r="O139" s="13"/>
      <c r="P139" s="261">
        <v>1</v>
      </c>
      <c r="Q139" s="13"/>
      <c r="R139" s="13"/>
      <c r="S139" s="14" t="s">
        <v>197</v>
      </c>
      <c r="T139" s="14"/>
      <c r="U139" s="14"/>
      <c r="V139" s="14" t="s">
        <v>639</v>
      </c>
      <c r="W139" s="60"/>
      <c r="X139" s="60"/>
      <c r="Y139" s="60"/>
      <c r="Z139" s="60"/>
      <c r="AA139" s="60"/>
      <c r="AB139" s="60"/>
    </row>
    <row r="140" spans="7:28" ht="15" customHeight="1" x14ac:dyDescent="0.2">
      <c r="G140" s="17" t="s">
        <v>22</v>
      </c>
      <c r="H140" s="13"/>
      <c r="I140" s="13"/>
      <c r="J140" s="13"/>
      <c r="K140" s="117"/>
      <c r="L140" s="13"/>
      <c r="M140" s="13"/>
      <c r="N140" s="13"/>
      <c r="O140" s="13"/>
      <c r="P140" s="261">
        <v>0.9</v>
      </c>
      <c r="Q140" s="13"/>
      <c r="R140" s="13"/>
      <c r="S140" s="14" t="s">
        <v>197</v>
      </c>
      <c r="T140" s="14"/>
      <c r="U140" s="14"/>
      <c r="V140" s="14" t="s">
        <v>639</v>
      </c>
      <c r="W140" s="60"/>
      <c r="X140" s="60"/>
      <c r="Y140" s="60"/>
      <c r="Z140" s="60"/>
      <c r="AA140" s="60"/>
      <c r="AB140" s="60"/>
    </row>
    <row r="141" spans="7:28" ht="15" customHeight="1" x14ac:dyDescent="0.2">
      <c r="G141" s="17" t="s">
        <v>23</v>
      </c>
      <c r="H141" s="13"/>
      <c r="I141" s="13"/>
      <c r="J141" s="13"/>
      <c r="K141" s="117"/>
      <c r="L141" s="13"/>
      <c r="M141" s="13"/>
      <c r="N141" s="13"/>
      <c r="O141" s="13"/>
      <c r="P141" s="261">
        <v>0.85</v>
      </c>
      <c r="Q141" s="13"/>
      <c r="R141" s="13"/>
      <c r="S141" s="14" t="s">
        <v>197</v>
      </c>
      <c r="T141" s="14"/>
      <c r="U141" s="14"/>
      <c r="V141" s="14" t="s">
        <v>639</v>
      </c>
      <c r="W141" s="60"/>
      <c r="X141" s="60"/>
      <c r="Y141" s="60"/>
      <c r="Z141" s="60"/>
      <c r="AA141" s="60"/>
      <c r="AB141" s="60"/>
    </row>
    <row r="142" spans="7:28" ht="15" customHeight="1" x14ac:dyDescent="0.2">
      <c r="G142" s="17"/>
      <c r="H142" s="13"/>
      <c r="I142" s="13"/>
      <c r="J142" s="13"/>
      <c r="K142" s="117"/>
      <c r="L142" s="13"/>
      <c r="M142" s="13"/>
      <c r="N142" s="13"/>
      <c r="O142" s="13"/>
      <c r="P142" s="485"/>
      <c r="Q142" s="13"/>
      <c r="R142" s="28"/>
      <c r="S142" s="13"/>
      <c r="T142" s="14"/>
      <c r="U142" s="14"/>
      <c r="V142" s="69"/>
      <c r="W142" s="60"/>
      <c r="X142" s="60"/>
      <c r="Y142" s="60"/>
      <c r="Z142" s="60"/>
      <c r="AA142" s="60"/>
      <c r="AB142" s="60"/>
    </row>
    <row r="143" spans="7:28" ht="15" customHeight="1" x14ac:dyDescent="0.2">
      <c r="G143" s="17" t="s">
        <v>21</v>
      </c>
      <c r="H143" s="13"/>
      <c r="I143" s="13"/>
      <c r="J143" s="13"/>
      <c r="K143" s="117"/>
      <c r="L143" s="13"/>
      <c r="M143" s="13"/>
      <c r="N143" s="13"/>
      <c r="O143" s="13"/>
      <c r="P143" s="261">
        <v>1</v>
      </c>
      <c r="Q143" s="13"/>
      <c r="R143" s="28"/>
      <c r="S143" s="14" t="s">
        <v>197</v>
      </c>
      <c r="T143" s="14"/>
      <c r="U143" s="14"/>
      <c r="V143" s="69" t="s">
        <v>668</v>
      </c>
      <c r="W143" s="60"/>
      <c r="X143" s="60"/>
      <c r="Y143" s="60"/>
      <c r="Z143" s="60"/>
      <c r="AA143" s="60"/>
      <c r="AB143" s="60"/>
    </row>
    <row r="144" spans="7:28" ht="15" customHeight="1" x14ac:dyDescent="0.2">
      <c r="G144" s="17" t="s">
        <v>311</v>
      </c>
      <c r="H144" s="13"/>
      <c r="I144" s="13"/>
      <c r="J144" s="13"/>
      <c r="K144" s="117"/>
      <c r="L144" s="13"/>
      <c r="M144" s="13"/>
      <c r="N144" s="13"/>
      <c r="O144" s="13"/>
      <c r="P144" s="261">
        <v>0.95</v>
      </c>
      <c r="Q144" s="13"/>
      <c r="R144" s="28"/>
      <c r="S144" s="14" t="s">
        <v>197</v>
      </c>
      <c r="T144" s="14"/>
      <c r="U144" s="14"/>
      <c r="V144" s="69" t="s">
        <v>668</v>
      </c>
      <c r="W144" s="60"/>
      <c r="X144" s="60"/>
      <c r="Y144" s="60"/>
      <c r="Z144" s="60"/>
      <c r="AA144" s="60"/>
      <c r="AB144" s="60"/>
    </row>
    <row r="145" spans="7:28" ht="15" customHeight="1" x14ac:dyDescent="0.2">
      <c r="G145" s="17" t="s">
        <v>312</v>
      </c>
      <c r="H145" s="13"/>
      <c r="I145" s="13"/>
      <c r="J145" s="13"/>
      <c r="K145" s="117"/>
      <c r="L145" s="13"/>
      <c r="M145" s="13"/>
      <c r="N145" s="13"/>
      <c r="O145" s="13"/>
      <c r="P145" s="261">
        <v>0.9</v>
      </c>
      <c r="Q145" s="13"/>
      <c r="R145" s="28"/>
      <c r="S145" s="14" t="s">
        <v>197</v>
      </c>
      <c r="T145" s="14"/>
      <c r="U145" s="14"/>
      <c r="V145" s="69" t="s">
        <v>668</v>
      </c>
      <c r="W145" s="60"/>
      <c r="X145" s="60"/>
      <c r="Y145" s="60"/>
      <c r="Z145" s="60"/>
      <c r="AA145" s="60"/>
      <c r="AB145" s="60"/>
    </row>
    <row r="146" spans="7:28" ht="15" customHeight="1" x14ac:dyDescent="0.2">
      <c r="G146" s="17" t="s">
        <v>313</v>
      </c>
      <c r="H146" s="13"/>
      <c r="I146" s="13"/>
      <c r="J146" s="13"/>
      <c r="K146" s="117"/>
      <c r="L146" s="13"/>
      <c r="M146" s="13"/>
      <c r="N146" s="13"/>
      <c r="O146" s="13"/>
      <c r="P146" s="261">
        <v>0.9</v>
      </c>
      <c r="Q146" s="13"/>
      <c r="R146" s="13"/>
      <c r="S146" s="14" t="s">
        <v>197</v>
      </c>
      <c r="T146" s="14"/>
      <c r="U146" s="14"/>
      <c r="V146" s="69" t="s">
        <v>668</v>
      </c>
      <c r="W146" s="60"/>
      <c r="X146" s="60"/>
      <c r="Y146" s="60"/>
      <c r="Z146" s="60"/>
      <c r="AA146" s="60"/>
      <c r="AB146" s="60"/>
    </row>
    <row r="147" spans="7:28" ht="15" customHeight="1" x14ac:dyDescent="0.2">
      <c r="G147" s="17" t="s">
        <v>314</v>
      </c>
      <c r="H147" s="13"/>
      <c r="I147" s="13"/>
      <c r="J147" s="13"/>
      <c r="K147" s="117"/>
      <c r="L147" s="13"/>
      <c r="M147" s="13"/>
      <c r="N147" s="13"/>
      <c r="O147" s="13"/>
      <c r="P147" s="261">
        <v>0.82</v>
      </c>
      <c r="Q147" s="13"/>
      <c r="R147" s="13"/>
      <c r="S147" s="14" t="s">
        <v>197</v>
      </c>
      <c r="T147" s="14"/>
      <c r="U147" s="14"/>
      <c r="V147" s="69" t="s">
        <v>668</v>
      </c>
      <c r="W147" s="60"/>
      <c r="X147" s="60"/>
      <c r="Y147" s="60"/>
      <c r="Z147" s="60"/>
      <c r="AA147" s="60"/>
      <c r="AB147" s="60"/>
    </row>
    <row r="148" spans="7:28" ht="15" customHeight="1" x14ac:dyDescent="0.2">
      <c r="G148" s="17"/>
      <c r="H148" s="13"/>
      <c r="I148" s="13"/>
      <c r="J148" s="13"/>
      <c r="K148" s="117"/>
      <c r="L148" s="13"/>
      <c r="M148" s="13"/>
      <c r="N148" s="13"/>
      <c r="O148" s="13"/>
      <c r="P148" s="496"/>
      <c r="Q148" s="13"/>
      <c r="R148" s="13"/>
      <c r="S148" s="14"/>
      <c r="T148" s="14"/>
      <c r="U148" s="14"/>
      <c r="V148" s="69"/>
      <c r="W148" s="60"/>
      <c r="X148" s="60"/>
      <c r="Y148" s="60"/>
      <c r="Z148" s="60"/>
      <c r="AA148" s="60"/>
      <c r="AB148" s="60"/>
    </row>
    <row r="149" spans="7:28" ht="15" customHeight="1" x14ac:dyDescent="0.2">
      <c r="G149" s="15" t="s">
        <v>346</v>
      </c>
      <c r="H149" s="13"/>
      <c r="I149" s="13"/>
      <c r="J149" s="13"/>
      <c r="K149" s="117"/>
      <c r="L149" s="13"/>
      <c r="M149" s="13"/>
      <c r="N149" s="13"/>
      <c r="O149" s="13"/>
      <c r="P149" s="496"/>
      <c r="Q149" s="13"/>
      <c r="R149" s="13"/>
      <c r="S149" s="14"/>
      <c r="T149" s="14"/>
      <c r="U149" s="14"/>
      <c r="V149" s="69"/>
      <c r="W149" s="60"/>
      <c r="X149" s="60"/>
      <c r="Y149" s="60"/>
      <c r="Z149" s="60"/>
      <c r="AA149" s="60"/>
      <c r="AB149" s="60"/>
    </row>
    <row r="150" spans="7:28" ht="15" customHeight="1" x14ac:dyDescent="0.2">
      <c r="G150" s="17" t="s">
        <v>215</v>
      </c>
      <c r="H150" s="13"/>
      <c r="I150" s="13"/>
      <c r="J150" s="13"/>
      <c r="K150" s="117"/>
      <c r="L150" s="13"/>
      <c r="M150" s="13"/>
      <c r="N150" s="13"/>
      <c r="O150" s="13"/>
      <c r="P150" s="261">
        <v>0.3</v>
      </c>
      <c r="Q150" s="13"/>
      <c r="R150" s="28"/>
      <c r="S150" s="14" t="s">
        <v>214</v>
      </c>
      <c r="T150" s="14"/>
      <c r="U150" s="14"/>
      <c r="V150" s="69" t="s">
        <v>640</v>
      </c>
      <c r="W150" s="60"/>
      <c r="X150" s="60"/>
      <c r="Y150" s="60"/>
      <c r="Z150" s="60"/>
      <c r="AA150" s="60"/>
      <c r="AB150" s="60"/>
    </row>
    <row r="151" spans="7:28" ht="15" customHeight="1" x14ac:dyDescent="0.2">
      <c r="G151" s="17" t="s">
        <v>215</v>
      </c>
      <c r="H151" s="13"/>
      <c r="I151" s="13"/>
      <c r="J151" s="13"/>
      <c r="K151" s="117"/>
      <c r="L151" s="13"/>
      <c r="M151" s="13"/>
      <c r="N151" s="13"/>
      <c r="O151" s="13"/>
      <c r="P151" s="261">
        <v>0.03</v>
      </c>
      <c r="Q151" s="13"/>
      <c r="R151" s="28"/>
      <c r="S151" s="14" t="s">
        <v>669</v>
      </c>
      <c r="T151" s="14"/>
      <c r="U151" s="14"/>
      <c r="V151" s="69" t="s">
        <v>640</v>
      </c>
      <c r="W151" s="60"/>
      <c r="X151" s="60"/>
      <c r="Y151" s="60"/>
      <c r="Z151" s="60"/>
      <c r="AA151" s="60"/>
      <c r="AB151" s="60"/>
    </row>
    <row r="152" spans="7:28" ht="15" customHeight="1" x14ac:dyDescent="0.2">
      <c r="S152" s="10"/>
      <c r="T152" s="10"/>
      <c r="U152" s="10"/>
      <c r="V152" s="70"/>
    </row>
    <row r="153" spans="7:28" ht="15" customHeight="1" x14ac:dyDescent="0.2">
      <c r="G153" s="1092" t="s">
        <v>506</v>
      </c>
      <c r="H153" s="1092"/>
      <c r="I153" s="1092"/>
      <c r="J153" s="497"/>
      <c r="K153" s="497"/>
      <c r="L153" s="497"/>
      <c r="M153" s="13"/>
      <c r="N153" s="13"/>
      <c r="O153" s="13"/>
      <c r="P153" s="485"/>
      <c r="Q153" s="13"/>
      <c r="R153" s="28"/>
      <c r="S153" s="14"/>
      <c r="T153" s="14"/>
      <c r="U153" s="14"/>
      <c r="V153" s="69"/>
      <c r="W153" s="60"/>
      <c r="X153" s="60"/>
      <c r="Y153" s="60"/>
      <c r="Z153" s="60"/>
      <c r="AA153" s="60"/>
      <c r="AB153" s="60"/>
    </row>
    <row r="154" spans="7:28" ht="15" customHeight="1" x14ac:dyDescent="0.2">
      <c r="G154" s="1092"/>
      <c r="H154" s="1092"/>
      <c r="I154" s="1092"/>
      <c r="J154" s="497"/>
      <c r="K154" s="497"/>
      <c r="L154" s="497"/>
      <c r="M154" s="13"/>
      <c r="N154" s="13"/>
      <c r="O154" s="13"/>
      <c r="P154" s="485"/>
      <c r="Q154" s="13"/>
      <c r="R154" s="28"/>
      <c r="S154" s="14"/>
      <c r="T154" s="14"/>
      <c r="U154" s="14"/>
      <c r="V154" s="69"/>
      <c r="W154" s="60"/>
      <c r="X154" s="60"/>
      <c r="Y154" s="60"/>
      <c r="Z154" s="60"/>
      <c r="AA154" s="60"/>
      <c r="AB154" s="60"/>
    </row>
    <row r="155" spans="7:28" ht="15" customHeight="1" x14ac:dyDescent="0.2">
      <c r="G155" s="15" t="s">
        <v>638</v>
      </c>
      <c r="H155" s="497"/>
      <c r="I155" s="497"/>
      <c r="J155" s="497"/>
      <c r="K155" s="497"/>
      <c r="L155" s="497"/>
      <c r="M155" s="13"/>
      <c r="N155" s="13"/>
      <c r="O155" s="13"/>
      <c r="P155" s="485"/>
      <c r="Q155" s="13"/>
      <c r="R155" s="28"/>
      <c r="S155" s="14"/>
      <c r="T155" s="14"/>
      <c r="U155" s="14"/>
      <c r="V155" s="69"/>
      <c r="W155" s="60"/>
      <c r="X155" s="60"/>
      <c r="Y155" s="60"/>
      <c r="Z155" s="60"/>
      <c r="AA155" s="60"/>
      <c r="AB155" s="60"/>
    </row>
    <row r="156" spans="7:28" ht="15" customHeight="1" x14ac:dyDescent="0.2">
      <c r="G156" s="17" t="s">
        <v>309</v>
      </c>
      <c r="H156" s="497"/>
      <c r="I156" s="497"/>
      <c r="J156" s="497"/>
      <c r="K156" s="497"/>
      <c r="L156" s="497"/>
      <c r="M156" s="13"/>
      <c r="N156" s="13"/>
      <c r="O156" s="651">
        <f>SimpleV!J32</f>
        <v>0</v>
      </c>
      <c r="P156" s="651">
        <f>SimpleV!P315</f>
        <v>0</v>
      </c>
      <c r="Q156" s="651">
        <f>SimpleV!AB315</f>
        <v>0</v>
      </c>
      <c r="R156" s="28"/>
      <c r="S156" s="14" t="s">
        <v>445</v>
      </c>
      <c r="T156" s="14"/>
      <c r="U156" s="14"/>
      <c r="V156" s="69"/>
      <c r="W156" s="60"/>
      <c r="X156" s="60"/>
      <c r="Y156" s="60"/>
      <c r="Z156" s="60"/>
      <c r="AA156" s="60"/>
      <c r="AB156" s="60"/>
    </row>
    <row r="157" spans="7:28" ht="15" customHeight="1" x14ac:dyDescent="0.2">
      <c r="G157" s="17" t="s">
        <v>635</v>
      </c>
      <c r="H157" s="497"/>
      <c r="I157" s="497"/>
      <c r="J157" s="497"/>
      <c r="K157" s="497"/>
      <c r="L157" s="497"/>
      <c r="M157" s="13"/>
      <c r="N157" s="13"/>
      <c r="O157" s="13"/>
      <c r="P157" s="261">
        <v>1.8</v>
      </c>
      <c r="Q157" s="13"/>
      <c r="R157" s="28"/>
      <c r="S157" s="14" t="s">
        <v>445</v>
      </c>
      <c r="T157" s="14"/>
      <c r="U157" s="14"/>
      <c r="V157" s="14" t="s">
        <v>639</v>
      </c>
      <c r="W157" s="60"/>
      <c r="X157" s="60"/>
      <c r="Y157" s="60"/>
      <c r="Z157" s="60"/>
      <c r="AA157" s="60"/>
      <c r="AB157" s="60"/>
    </row>
    <row r="158" spans="7:28" ht="15" customHeight="1" x14ac:dyDescent="0.2">
      <c r="G158" s="17" t="s">
        <v>637</v>
      </c>
      <c r="H158" s="497"/>
      <c r="I158" s="497"/>
      <c r="J158" s="497"/>
      <c r="K158" s="497"/>
      <c r="L158" s="497"/>
      <c r="M158" s="13"/>
      <c r="N158" s="13"/>
      <c r="O158" s="13"/>
      <c r="P158" s="261">
        <v>2.1</v>
      </c>
      <c r="Q158" s="13"/>
      <c r="R158" s="28"/>
      <c r="S158" s="14" t="s">
        <v>445</v>
      </c>
      <c r="T158" s="14"/>
      <c r="U158" s="14"/>
      <c r="V158" s="14" t="s">
        <v>639</v>
      </c>
      <c r="W158" s="60"/>
      <c r="X158" s="60"/>
      <c r="Y158" s="60"/>
      <c r="Z158" s="60"/>
      <c r="AA158" s="60"/>
      <c r="AB158" s="60"/>
    </row>
    <row r="159" spans="7:28" ht="15" customHeight="1" x14ac:dyDescent="0.2">
      <c r="G159" s="17" t="s">
        <v>636</v>
      </c>
      <c r="H159" s="497"/>
      <c r="I159" s="497"/>
      <c r="J159" s="497"/>
      <c r="K159" s="497"/>
      <c r="L159" s="497"/>
      <c r="M159" s="13"/>
      <c r="N159" s="13"/>
      <c r="O159" s="13"/>
      <c r="P159" s="261">
        <v>1.6</v>
      </c>
      <c r="Q159" s="13"/>
      <c r="R159" s="28"/>
      <c r="S159" s="14" t="s">
        <v>445</v>
      </c>
      <c r="T159" s="14"/>
      <c r="U159" s="14"/>
      <c r="V159" s="14" t="s">
        <v>639</v>
      </c>
      <c r="W159" s="60"/>
      <c r="X159" s="60"/>
      <c r="Y159" s="60"/>
      <c r="Z159" s="60"/>
      <c r="AA159" s="60"/>
      <c r="AB159" s="60"/>
    </row>
    <row r="160" spans="7:28" ht="15" customHeight="1" x14ac:dyDescent="0.2">
      <c r="G160" s="17"/>
      <c r="H160" s="14"/>
      <c r="I160" s="14"/>
      <c r="J160" s="14"/>
      <c r="K160" s="14"/>
      <c r="L160" s="14"/>
      <c r="M160" s="14"/>
      <c r="N160" s="14"/>
      <c r="O160" s="14"/>
      <c r="P160" s="14"/>
      <c r="Q160" s="13"/>
      <c r="R160" s="28"/>
      <c r="S160" s="14"/>
      <c r="T160" s="14"/>
      <c r="U160" s="14"/>
      <c r="V160" s="69"/>
      <c r="W160" s="60"/>
      <c r="X160" s="60"/>
      <c r="Y160" s="60"/>
      <c r="Z160" s="60"/>
      <c r="AA160" s="60"/>
      <c r="AB160" s="60"/>
    </row>
    <row r="161" spans="7:28" ht="15" customHeight="1" x14ac:dyDescent="0.2">
      <c r="G161" s="15" t="s">
        <v>634</v>
      </c>
      <c r="H161" s="14"/>
      <c r="I161" s="14"/>
      <c r="J161" s="14"/>
      <c r="K161" s="14"/>
      <c r="L161" s="14"/>
      <c r="M161" s="14"/>
      <c r="N161" s="14"/>
      <c r="O161" s="14"/>
      <c r="P161" s="14"/>
      <c r="Q161" s="13"/>
      <c r="R161" s="28"/>
      <c r="S161" s="14"/>
      <c r="T161" s="14"/>
      <c r="U161" s="14"/>
      <c r="V161" s="69"/>
      <c r="W161" s="60"/>
      <c r="X161" s="60"/>
      <c r="Y161" s="60"/>
      <c r="Z161" s="60"/>
      <c r="AA161" s="60"/>
      <c r="AB161" s="60"/>
    </row>
    <row r="162" spans="7:28" ht="15" customHeight="1" x14ac:dyDescent="0.2">
      <c r="G162" s="17" t="s">
        <v>21</v>
      </c>
      <c r="H162" s="13"/>
      <c r="I162" s="13"/>
      <c r="J162" s="13"/>
      <c r="K162" s="117"/>
      <c r="L162" s="13"/>
      <c r="M162" s="13"/>
      <c r="N162" s="13"/>
      <c r="O162" s="13"/>
      <c r="P162" s="261">
        <v>0</v>
      </c>
      <c r="Q162" s="13"/>
      <c r="R162" s="28"/>
      <c r="S162" s="14" t="s">
        <v>197</v>
      </c>
      <c r="T162" s="14"/>
      <c r="U162" s="14"/>
      <c r="V162" s="69" t="s">
        <v>640</v>
      </c>
      <c r="W162" s="60"/>
      <c r="X162" s="60"/>
      <c r="Y162" s="60"/>
      <c r="Z162" s="60"/>
      <c r="AA162" s="60"/>
      <c r="AB162" s="60"/>
    </row>
    <row r="163" spans="7:28" ht="15" customHeight="1" x14ac:dyDescent="0.2">
      <c r="G163" s="17" t="s">
        <v>633</v>
      </c>
      <c r="H163" s="13"/>
      <c r="I163" s="13"/>
      <c r="J163" s="13"/>
      <c r="K163" s="117"/>
      <c r="L163" s="13"/>
      <c r="M163" s="13"/>
      <c r="N163" s="13"/>
      <c r="O163" s="13"/>
      <c r="P163" s="261">
        <v>0.95</v>
      </c>
      <c r="Q163" s="13"/>
      <c r="R163" s="28"/>
      <c r="S163" s="14" t="s">
        <v>197</v>
      </c>
      <c r="T163" s="14"/>
      <c r="U163" s="14"/>
      <c r="V163" s="69" t="s">
        <v>640</v>
      </c>
      <c r="W163" s="60"/>
      <c r="X163" s="60"/>
      <c r="Y163" s="60"/>
      <c r="Z163" s="60"/>
      <c r="AA163" s="60"/>
      <c r="AB163" s="60"/>
    </row>
    <row r="164" spans="7:28" ht="15" customHeight="1" x14ac:dyDescent="0.2">
      <c r="G164" s="17" t="s">
        <v>21</v>
      </c>
      <c r="H164" s="13"/>
      <c r="I164" s="13"/>
      <c r="J164" s="13"/>
      <c r="K164" s="117"/>
      <c r="L164" s="13"/>
      <c r="M164" s="13"/>
      <c r="N164" s="13"/>
      <c r="O164" s="13"/>
      <c r="P164" s="261">
        <v>0</v>
      </c>
      <c r="Q164" s="13"/>
      <c r="R164" s="28"/>
      <c r="S164" s="14" t="s">
        <v>197</v>
      </c>
      <c r="T164" s="14"/>
      <c r="U164" s="14"/>
      <c r="V164" s="69" t="s">
        <v>640</v>
      </c>
      <c r="W164" s="60"/>
      <c r="X164" s="60"/>
      <c r="Y164" s="60"/>
      <c r="Z164" s="60"/>
      <c r="AA164" s="60"/>
      <c r="AB164" s="60"/>
    </row>
    <row r="165" spans="7:28" ht="15" customHeight="1" x14ac:dyDescent="0.2">
      <c r="G165" s="17" t="s">
        <v>221</v>
      </c>
      <c r="H165" s="13"/>
      <c r="I165" s="13"/>
      <c r="J165" s="13"/>
      <c r="K165" s="117"/>
      <c r="L165" s="13"/>
      <c r="M165" s="13"/>
      <c r="N165" s="13"/>
      <c r="O165" s="13"/>
      <c r="P165" s="261">
        <v>0.5</v>
      </c>
      <c r="Q165" s="13"/>
      <c r="R165" s="28"/>
      <c r="S165" s="14" t="s">
        <v>197</v>
      </c>
      <c r="T165" s="14"/>
      <c r="U165" s="14"/>
      <c r="V165" s="69" t="s">
        <v>640</v>
      </c>
      <c r="W165" s="60"/>
      <c r="X165" s="60"/>
      <c r="Y165" s="60"/>
      <c r="Z165" s="60"/>
      <c r="AA165" s="60"/>
      <c r="AB165" s="60"/>
    </row>
    <row r="166" spans="7:28" ht="15" customHeight="1" x14ac:dyDescent="0.2">
      <c r="S166" s="10"/>
      <c r="T166" s="10"/>
      <c r="U166" s="10"/>
      <c r="V166" s="70"/>
    </row>
    <row r="167" spans="7:28" ht="15" customHeight="1" x14ac:dyDescent="0.2">
      <c r="G167" s="1100" t="s">
        <v>539</v>
      </c>
      <c r="H167" s="1100"/>
      <c r="I167" s="1100"/>
      <c r="J167" s="13"/>
      <c r="K167" s="117"/>
      <c r="L167" s="13"/>
      <c r="M167" s="13"/>
      <c r="N167" s="13"/>
      <c r="O167" s="13"/>
      <c r="P167" s="485"/>
      <c r="Q167" s="13"/>
      <c r="R167" s="28"/>
      <c r="S167" s="14"/>
      <c r="T167" s="14"/>
      <c r="U167" s="14"/>
      <c r="V167" s="69"/>
      <c r="W167" s="60"/>
      <c r="X167" s="60"/>
      <c r="Y167" s="60"/>
      <c r="Z167" s="60"/>
      <c r="AA167" s="60"/>
      <c r="AB167" s="60"/>
    </row>
    <row r="168" spans="7:28" ht="15" customHeight="1" x14ac:dyDescent="0.2">
      <c r="G168" s="1100"/>
      <c r="H168" s="1100"/>
      <c r="I168" s="1100"/>
      <c r="J168" s="13"/>
      <c r="K168" s="117"/>
      <c r="L168" s="13"/>
      <c r="M168" s="13"/>
      <c r="N168" s="13"/>
      <c r="O168" s="13"/>
      <c r="P168" s="217"/>
      <c r="Q168" s="13"/>
      <c r="R168" s="13"/>
      <c r="S168" s="14"/>
      <c r="T168" s="14"/>
      <c r="U168" s="14"/>
      <c r="V168" s="69"/>
      <c r="W168" s="60"/>
      <c r="X168" s="60"/>
      <c r="Y168" s="60"/>
      <c r="Z168" s="60"/>
      <c r="AA168" s="60"/>
      <c r="AB168" s="60"/>
    </row>
    <row r="169" spans="7:28" ht="15" customHeight="1" x14ac:dyDescent="0.2">
      <c r="G169" s="15" t="s">
        <v>459</v>
      </c>
      <c r="H169" s="13"/>
      <c r="I169" s="13"/>
      <c r="J169" s="13"/>
      <c r="K169" s="117"/>
      <c r="L169" s="13"/>
      <c r="M169" s="13"/>
      <c r="N169" s="13"/>
      <c r="O169" s="13"/>
      <c r="P169" s="217"/>
      <c r="Q169" s="13"/>
      <c r="R169" s="13"/>
      <c r="S169" s="14"/>
      <c r="T169" s="14"/>
      <c r="U169" s="14"/>
      <c r="V169" s="69"/>
      <c r="W169" s="60"/>
      <c r="X169" s="60"/>
      <c r="Y169" s="60"/>
      <c r="Z169" s="60"/>
      <c r="AA169" s="60"/>
      <c r="AB169" s="60"/>
    </row>
    <row r="170" spans="7:28" ht="15" customHeight="1" x14ac:dyDescent="0.2">
      <c r="G170" s="17" t="s">
        <v>309</v>
      </c>
      <c r="H170" s="13"/>
      <c r="I170" s="13"/>
      <c r="J170" s="13"/>
      <c r="K170" s="117"/>
      <c r="L170" s="13"/>
      <c r="M170" s="13"/>
      <c r="N170" s="13"/>
      <c r="O170" s="13"/>
      <c r="P170" s="259"/>
      <c r="Q170" s="13"/>
      <c r="R170" s="13"/>
      <c r="S170" s="14" t="s">
        <v>216</v>
      </c>
      <c r="T170" s="14"/>
      <c r="U170" s="13"/>
      <c r="V170" s="14"/>
      <c r="W170" s="60"/>
      <c r="X170" s="60"/>
      <c r="Y170" s="60"/>
      <c r="Z170" s="60"/>
      <c r="AA170" s="60"/>
      <c r="AB170" s="60"/>
    </row>
    <row r="171" spans="7:28" ht="15" customHeight="1" x14ac:dyDescent="0.2">
      <c r="G171" s="17" t="s">
        <v>284</v>
      </c>
      <c r="H171" s="13"/>
      <c r="I171" s="13"/>
      <c r="J171" s="13"/>
      <c r="K171" s="117"/>
      <c r="L171" s="13"/>
      <c r="M171" s="13"/>
      <c r="N171" s="13"/>
      <c r="O171" s="13"/>
      <c r="P171" s="261">
        <v>0.184</v>
      </c>
      <c r="Q171" s="13"/>
      <c r="R171" s="13"/>
      <c r="S171" s="14" t="s">
        <v>216</v>
      </c>
      <c r="T171" s="14"/>
      <c r="U171" s="13"/>
      <c r="V171" s="14" t="s">
        <v>32</v>
      </c>
      <c r="W171" s="60"/>
      <c r="X171" s="60"/>
      <c r="Y171" s="60"/>
      <c r="Z171" s="60"/>
      <c r="AA171" s="60"/>
      <c r="AB171" s="60"/>
    </row>
    <row r="172" spans="7:28" ht="15" customHeight="1" x14ac:dyDescent="0.2">
      <c r="G172" s="17" t="s">
        <v>259</v>
      </c>
      <c r="H172" s="13"/>
      <c r="I172" s="13"/>
      <c r="J172" s="13"/>
      <c r="K172" s="117"/>
      <c r="L172" s="13"/>
      <c r="M172" s="493"/>
      <c r="N172" s="13"/>
      <c r="O172" s="13"/>
      <c r="P172" s="261">
        <v>0.17072999999999999</v>
      </c>
      <c r="Q172" s="13"/>
      <c r="R172" s="13"/>
      <c r="S172" s="14" t="s">
        <v>216</v>
      </c>
      <c r="T172" s="14"/>
      <c r="U172" s="13"/>
      <c r="V172" s="14" t="s">
        <v>477</v>
      </c>
      <c r="W172" s="60"/>
      <c r="X172" s="60"/>
      <c r="Y172" s="60"/>
      <c r="Z172" s="60"/>
      <c r="AA172" s="60"/>
      <c r="AB172" s="60"/>
    </row>
    <row r="173" spans="7:28" ht="15" customHeight="1" x14ac:dyDescent="0.2">
      <c r="G173" s="17" t="s">
        <v>320</v>
      </c>
      <c r="H173" s="13"/>
      <c r="I173" s="13"/>
      <c r="J173" s="13"/>
      <c r="K173" s="117"/>
      <c r="L173" s="13"/>
      <c r="M173" s="493"/>
      <c r="N173" s="13"/>
      <c r="O173" s="13"/>
      <c r="P173" s="261">
        <f>VLOOKUP(Step1!$K$15,Buildings!$B$2:$AD$153,10,FALSE)</f>
        <v>0.17072999999999999</v>
      </c>
      <c r="Q173" s="13"/>
      <c r="R173" s="13"/>
      <c r="S173" s="14" t="s">
        <v>216</v>
      </c>
      <c r="T173" s="14"/>
      <c r="U173" s="13"/>
      <c r="V173" s="14" t="s">
        <v>197</v>
      </c>
      <c r="W173" s="60"/>
      <c r="X173" s="60"/>
      <c r="Y173" s="60"/>
      <c r="Z173" s="60"/>
      <c r="AA173" s="60"/>
      <c r="AB173" s="60"/>
    </row>
    <row r="174" spans="7:28" ht="15" customHeight="1" x14ac:dyDescent="0.2">
      <c r="G174" s="17" t="s">
        <v>252</v>
      </c>
      <c r="H174" s="13"/>
      <c r="I174" s="13"/>
      <c r="J174" s="13"/>
      <c r="K174" s="117"/>
      <c r="L174" s="13"/>
      <c r="M174" s="492"/>
      <c r="N174" s="13"/>
      <c r="O174" s="13"/>
      <c r="P174" s="261">
        <v>0.19338</v>
      </c>
      <c r="Q174" s="13"/>
      <c r="R174" s="13"/>
      <c r="S174" s="14" t="s">
        <v>216</v>
      </c>
      <c r="T174" s="14"/>
      <c r="U174" s="13"/>
      <c r="V174" s="14" t="s">
        <v>32</v>
      </c>
      <c r="W174" s="60"/>
      <c r="X174" s="60"/>
      <c r="Y174" s="60"/>
      <c r="Z174" s="60"/>
      <c r="AA174" s="60"/>
      <c r="AB174" s="60"/>
    </row>
    <row r="175" spans="7:28" ht="15" customHeight="1" x14ac:dyDescent="0.2">
      <c r="G175" s="17"/>
      <c r="H175" s="13"/>
      <c r="I175" s="13"/>
      <c r="J175" s="13"/>
      <c r="K175" s="117"/>
      <c r="L175" s="13"/>
      <c r="M175" s="13"/>
      <c r="N175" s="13"/>
      <c r="O175" s="13"/>
      <c r="P175" s="485"/>
      <c r="Q175" s="13"/>
      <c r="R175" s="28"/>
      <c r="S175" s="14"/>
      <c r="T175" s="14"/>
      <c r="U175" s="13"/>
      <c r="V175" s="14"/>
      <c r="W175" s="60"/>
      <c r="X175" s="60"/>
      <c r="Y175" s="60"/>
      <c r="Z175" s="60"/>
      <c r="AA175" s="60"/>
      <c r="AB175" s="60"/>
    </row>
    <row r="176" spans="7:28" ht="15" customHeight="1" x14ac:dyDescent="0.2">
      <c r="G176" s="15" t="s">
        <v>460</v>
      </c>
      <c r="H176" s="13"/>
      <c r="I176" s="13"/>
      <c r="J176" s="13"/>
      <c r="K176" s="117"/>
      <c r="L176" s="13"/>
      <c r="M176" s="13"/>
      <c r="N176" s="13"/>
      <c r="O176" s="13"/>
      <c r="P176" s="485"/>
      <c r="Q176" s="13"/>
      <c r="R176" s="28"/>
      <c r="S176" s="14"/>
      <c r="T176" s="14"/>
      <c r="U176" s="13"/>
      <c r="V176" s="14"/>
      <c r="W176" s="60"/>
      <c r="X176" s="60"/>
      <c r="Y176" s="60"/>
      <c r="Z176" s="60"/>
      <c r="AA176" s="60"/>
      <c r="AB176" s="60"/>
    </row>
    <row r="177" spans="7:28" ht="15" customHeight="1" x14ac:dyDescent="0.2">
      <c r="G177" s="17" t="s">
        <v>309</v>
      </c>
      <c r="H177" s="13"/>
      <c r="I177" s="13"/>
      <c r="J177" s="493"/>
      <c r="K177" s="117"/>
      <c r="L177" s="13"/>
      <c r="M177" s="493"/>
      <c r="N177" s="13"/>
      <c r="O177" s="13"/>
      <c r="P177" s="259"/>
      <c r="Q177" s="13"/>
      <c r="R177" s="13"/>
      <c r="S177" s="14" t="s">
        <v>30</v>
      </c>
      <c r="T177" s="14"/>
      <c r="U177" s="13"/>
      <c r="V177" s="14"/>
      <c r="W177" s="60"/>
      <c r="X177" s="60"/>
      <c r="Y177" s="60"/>
      <c r="Z177" s="60"/>
      <c r="AA177" s="60"/>
      <c r="AB177" s="60"/>
    </row>
    <row r="178" spans="7:28" ht="15" customHeight="1" x14ac:dyDescent="0.2">
      <c r="G178" s="17" t="s">
        <v>284</v>
      </c>
      <c r="H178" s="13"/>
      <c r="I178" s="13"/>
      <c r="J178" s="493"/>
      <c r="K178" s="117"/>
      <c r="L178" s="13"/>
      <c r="M178" s="493"/>
      <c r="N178" s="13"/>
      <c r="O178" s="13"/>
      <c r="P178" s="261">
        <v>0.09</v>
      </c>
      <c r="Q178" s="13"/>
      <c r="R178" s="13"/>
      <c r="S178" s="14" t="s">
        <v>30</v>
      </c>
      <c r="T178" s="14"/>
      <c r="U178" s="13"/>
      <c r="V178" s="14" t="s">
        <v>477</v>
      </c>
      <c r="W178" s="60"/>
      <c r="X178" s="60"/>
      <c r="Y178" s="60"/>
      <c r="Z178" s="60"/>
      <c r="AA178" s="60"/>
      <c r="AB178" s="60"/>
    </row>
    <row r="179" spans="7:28" ht="15" customHeight="1" x14ac:dyDescent="0.2">
      <c r="G179" s="17" t="s">
        <v>259</v>
      </c>
      <c r="H179" s="13"/>
      <c r="I179" s="13"/>
      <c r="J179" s="492"/>
      <c r="K179" s="118"/>
      <c r="L179" s="13"/>
      <c r="M179" s="13"/>
      <c r="N179" s="13"/>
      <c r="O179" s="13"/>
      <c r="P179" s="261">
        <v>0.09</v>
      </c>
      <c r="Q179" s="13"/>
      <c r="R179" s="13"/>
      <c r="S179" s="14" t="s">
        <v>30</v>
      </c>
      <c r="T179" s="14"/>
      <c r="U179" s="13"/>
      <c r="V179" s="14" t="s">
        <v>477</v>
      </c>
      <c r="W179" s="60"/>
      <c r="X179" s="60"/>
      <c r="Y179" s="60"/>
      <c r="Z179" s="60"/>
      <c r="AA179" s="60"/>
      <c r="AB179" s="60"/>
    </row>
    <row r="180" spans="7:28" ht="15" customHeight="1" x14ac:dyDescent="0.2">
      <c r="G180" s="17" t="s">
        <v>320</v>
      </c>
      <c r="H180" s="13"/>
      <c r="I180" s="13"/>
      <c r="J180" s="13"/>
      <c r="K180" s="117"/>
      <c r="L180" s="13"/>
      <c r="M180" s="493"/>
      <c r="N180" s="13"/>
      <c r="O180" s="13"/>
      <c r="P180" s="261">
        <f>VLOOKUP(Step1!$K$15,Buildings!$B$2:$AD$153,11,FALSE)</f>
        <v>0.16463429999999998</v>
      </c>
      <c r="Q180" s="13"/>
      <c r="R180" s="13"/>
      <c r="S180" s="14" t="s">
        <v>30</v>
      </c>
      <c r="T180" s="14"/>
      <c r="U180" s="13"/>
      <c r="V180" s="14" t="s">
        <v>32</v>
      </c>
      <c r="W180" s="60"/>
      <c r="X180" s="60"/>
      <c r="Y180" s="60"/>
      <c r="Z180" s="60"/>
      <c r="AA180" s="60"/>
      <c r="AB180" s="60"/>
    </row>
    <row r="181" spans="7:28" ht="15" customHeight="1" x14ac:dyDescent="0.2">
      <c r="G181" s="17" t="s">
        <v>252</v>
      </c>
      <c r="H181" s="488"/>
      <c r="I181" s="13"/>
      <c r="J181" s="13"/>
      <c r="K181" s="118"/>
      <c r="L181" s="13"/>
      <c r="M181" s="13"/>
      <c r="N181" s="13"/>
      <c r="O181" s="13"/>
      <c r="P181" s="261">
        <v>0.31</v>
      </c>
      <c r="Q181" s="13"/>
      <c r="R181" s="13"/>
      <c r="S181" s="14" t="s">
        <v>30</v>
      </c>
      <c r="T181" s="14"/>
      <c r="U181" s="13"/>
      <c r="V181" s="14" t="s">
        <v>477</v>
      </c>
      <c r="W181" s="60"/>
      <c r="X181" s="60"/>
      <c r="Y181" s="60"/>
      <c r="Z181" s="60"/>
      <c r="AA181" s="60"/>
      <c r="AB181" s="60"/>
    </row>
    <row r="182" spans="7:28" ht="15" customHeight="1" x14ac:dyDescent="0.2">
      <c r="G182" s="17"/>
      <c r="H182" s="13"/>
      <c r="I182" s="13"/>
      <c r="J182" s="13"/>
      <c r="K182" s="117"/>
      <c r="L182" s="13"/>
      <c r="M182" s="13"/>
      <c r="N182" s="13"/>
      <c r="O182" s="13"/>
      <c r="P182" s="485"/>
      <c r="Q182" s="13"/>
      <c r="R182" s="28"/>
      <c r="S182" s="13"/>
      <c r="T182" s="13"/>
      <c r="U182" s="13"/>
      <c r="V182" s="13"/>
      <c r="W182" s="60"/>
      <c r="X182" s="60"/>
      <c r="Y182" s="60"/>
      <c r="Z182" s="60"/>
      <c r="AA182" s="60"/>
      <c r="AB182" s="60"/>
    </row>
    <row r="183" spans="7:28" ht="15" customHeight="1" x14ac:dyDescent="0.2">
      <c r="G183" s="17" t="s">
        <v>285</v>
      </c>
      <c r="H183" s="13"/>
      <c r="I183" s="13"/>
      <c r="J183" s="13"/>
      <c r="K183" s="117"/>
      <c r="L183" s="13"/>
      <c r="M183" s="13"/>
      <c r="N183" s="13"/>
      <c r="O183" s="13"/>
      <c r="P183" s="216">
        <v>0.1</v>
      </c>
      <c r="Q183" s="13"/>
      <c r="R183" s="13"/>
      <c r="S183" s="14" t="s">
        <v>31</v>
      </c>
      <c r="T183" s="14"/>
      <c r="U183" s="13"/>
      <c r="V183" s="14"/>
      <c r="W183" s="60"/>
      <c r="X183" s="60"/>
      <c r="Y183" s="60"/>
      <c r="Z183" s="60"/>
      <c r="AA183" s="60"/>
      <c r="AB183" s="60"/>
    </row>
    <row r="184" spans="7:28" ht="15" customHeight="1" x14ac:dyDescent="0.2">
      <c r="G184" s="17"/>
      <c r="H184" s="13"/>
      <c r="I184" s="13"/>
      <c r="J184" s="13"/>
      <c r="K184" s="117"/>
      <c r="L184" s="13"/>
      <c r="M184" s="13"/>
      <c r="N184" s="13"/>
      <c r="O184" s="13"/>
      <c r="P184" s="485"/>
      <c r="Q184" s="13"/>
      <c r="R184" s="28"/>
      <c r="S184" s="14"/>
      <c r="T184" s="14"/>
      <c r="U184" s="13"/>
      <c r="V184" s="14"/>
      <c r="W184" s="60"/>
      <c r="X184" s="60"/>
      <c r="Y184" s="60"/>
      <c r="Z184" s="60"/>
      <c r="AA184" s="60"/>
      <c r="AB184" s="60"/>
    </row>
    <row r="185" spans="7:28" ht="15" customHeight="1" x14ac:dyDescent="0.2">
      <c r="G185" s="15" t="s">
        <v>461</v>
      </c>
      <c r="H185" s="13"/>
      <c r="I185" s="13"/>
      <c r="J185" s="13"/>
      <c r="K185" s="117"/>
      <c r="L185" s="13"/>
      <c r="M185" s="13"/>
      <c r="N185" s="13"/>
      <c r="O185" s="13"/>
      <c r="P185" s="485"/>
      <c r="Q185" s="13"/>
      <c r="R185" s="28"/>
      <c r="S185" s="14"/>
      <c r="T185" s="14"/>
      <c r="U185" s="13"/>
      <c r="V185" s="14"/>
      <c r="W185" s="60"/>
      <c r="X185" s="60"/>
      <c r="Y185" s="60"/>
      <c r="Z185" s="60"/>
      <c r="AA185" s="60"/>
      <c r="AB185" s="60"/>
    </row>
    <row r="186" spans="7:28" ht="15" customHeight="1" x14ac:dyDescent="0.2">
      <c r="G186" s="17" t="s">
        <v>18</v>
      </c>
      <c r="H186" s="13"/>
      <c r="I186" s="13"/>
      <c r="J186" s="13"/>
      <c r="K186" s="117"/>
      <c r="L186" s="13"/>
      <c r="M186" s="13"/>
      <c r="N186" s="13"/>
      <c r="O186" s="13"/>
      <c r="P186" s="261">
        <v>3.5</v>
      </c>
      <c r="Q186" s="13"/>
      <c r="R186" s="13"/>
      <c r="S186" s="14" t="s">
        <v>29</v>
      </c>
      <c r="T186" s="14"/>
      <c r="U186" s="13"/>
      <c r="V186" s="14" t="s">
        <v>672</v>
      </c>
      <c r="W186" s="60"/>
      <c r="X186" s="60"/>
      <c r="Y186" s="60"/>
      <c r="Z186" s="60"/>
      <c r="AA186" s="60"/>
      <c r="AB186" s="60"/>
    </row>
    <row r="187" spans="7:28" ht="15" customHeight="1" x14ac:dyDescent="0.2">
      <c r="G187" s="17"/>
      <c r="H187" s="13"/>
      <c r="I187" s="13"/>
      <c r="J187" s="13"/>
      <c r="K187" s="117"/>
      <c r="L187" s="13"/>
      <c r="M187" s="13"/>
      <c r="N187" s="13"/>
      <c r="O187" s="13"/>
      <c r="P187" s="13"/>
      <c r="Q187" s="13"/>
      <c r="R187" s="13"/>
      <c r="S187" s="14"/>
      <c r="T187" s="14"/>
      <c r="U187" s="13"/>
      <c r="V187" s="14"/>
      <c r="W187" s="60"/>
      <c r="X187" s="60"/>
      <c r="Y187" s="60"/>
      <c r="Z187" s="60"/>
      <c r="AA187" s="60"/>
      <c r="AB187" s="60"/>
    </row>
    <row r="188" spans="7:28" ht="15" customHeight="1" x14ac:dyDescent="0.2">
      <c r="G188" s="17" t="s">
        <v>481</v>
      </c>
      <c r="H188" s="13"/>
      <c r="I188" s="13"/>
      <c r="J188" s="13"/>
      <c r="K188" s="117"/>
      <c r="L188" s="13"/>
      <c r="M188" s="13"/>
      <c r="N188" s="13"/>
      <c r="O188" s="13"/>
      <c r="P188" s="393"/>
      <c r="Q188" s="13"/>
      <c r="R188" s="13"/>
      <c r="S188" s="14" t="s">
        <v>29</v>
      </c>
      <c r="T188" s="14"/>
      <c r="U188" s="13"/>
      <c r="V188" s="14"/>
      <c r="W188" s="60"/>
      <c r="X188" s="60"/>
      <c r="Y188" s="60"/>
      <c r="Z188" s="60"/>
      <c r="AA188" s="60"/>
      <c r="AB188" s="60"/>
    </row>
    <row r="189" spans="7:28" ht="15" customHeight="1" x14ac:dyDescent="0.2">
      <c r="G189" s="17" t="s">
        <v>469</v>
      </c>
      <c r="H189" s="13"/>
      <c r="I189" s="13"/>
      <c r="J189" s="13"/>
      <c r="K189" s="117"/>
      <c r="L189" s="13"/>
      <c r="M189" s="13"/>
      <c r="N189" s="13"/>
      <c r="O189" s="13"/>
      <c r="P189" s="393">
        <v>6</v>
      </c>
      <c r="Q189" s="13"/>
      <c r="R189" s="13"/>
      <c r="S189" s="14" t="s">
        <v>29</v>
      </c>
      <c r="T189" s="14"/>
      <c r="U189" s="13"/>
      <c r="V189" s="14" t="s">
        <v>672</v>
      </c>
      <c r="W189" s="60"/>
      <c r="X189" s="60"/>
      <c r="Y189" s="60"/>
      <c r="Z189" s="60"/>
      <c r="AA189" s="60"/>
      <c r="AB189" s="60"/>
    </row>
    <row r="190" spans="7:28" ht="15" customHeight="1" x14ac:dyDescent="0.2">
      <c r="G190" s="17" t="s">
        <v>468</v>
      </c>
      <c r="H190" s="13"/>
      <c r="I190" s="13"/>
      <c r="J190" s="13"/>
      <c r="K190" s="117"/>
      <c r="L190" s="13"/>
      <c r="M190" s="13"/>
      <c r="N190" s="13"/>
      <c r="O190" s="13"/>
      <c r="P190" s="393">
        <v>6</v>
      </c>
      <c r="Q190" s="13"/>
      <c r="R190" s="13"/>
      <c r="S190" s="14" t="s">
        <v>29</v>
      </c>
      <c r="T190" s="14"/>
      <c r="U190" s="13"/>
      <c r="V190" s="14" t="s">
        <v>672</v>
      </c>
      <c r="W190" s="60"/>
      <c r="X190" s="60"/>
      <c r="Y190" s="60"/>
      <c r="Z190" s="60"/>
      <c r="AA190" s="60"/>
      <c r="AB190" s="60"/>
    </row>
    <row r="191" spans="7:28" ht="15" customHeight="1" x14ac:dyDescent="0.2">
      <c r="G191" s="17" t="s">
        <v>470</v>
      </c>
      <c r="H191" s="13"/>
      <c r="I191" s="13"/>
      <c r="J191" s="13"/>
      <c r="K191" s="117"/>
      <c r="L191" s="13"/>
      <c r="M191" s="13"/>
      <c r="N191" s="13"/>
      <c r="O191" s="13"/>
      <c r="P191" s="393">
        <v>6</v>
      </c>
      <c r="Q191" s="13"/>
      <c r="R191" s="13"/>
      <c r="S191" s="14" t="s">
        <v>29</v>
      </c>
      <c r="T191" s="14"/>
      <c r="U191" s="13"/>
      <c r="V191" s="14" t="s">
        <v>672</v>
      </c>
      <c r="W191" s="60"/>
      <c r="X191" s="60"/>
      <c r="Y191" s="60"/>
      <c r="Z191" s="60"/>
      <c r="AA191" s="60"/>
      <c r="AB191" s="60"/>
    </row>
    <row r="192" spans="7:28" ht="15" customHeight="1" x14ac:dyDescent="0.2">
      <c r="G192" s="17" t="s">
        <v>471</v>
      </c>
      <c r="H192" s="13"/>
      <c r="I192" s="13"/>
      <c r="J192" s="13"/>
      <c r="K192" s="117"/>
      <c r="L192" s="13"/>
      <c r="M192" s="13"/>
      <c r="N192" s="13"/>
      <c r="O192" s="13"/>
      <c r="P192" s="393">
        <v>10</v>
      </c>
      <c r="Q192" s="13"/>
      <c r="R192" s="13"/>
      <c r="S192" s="14" t="s">
        <v>29</v>
      </c>
      <c r="T192" s="14"/>
      <c r="U192" s="13"/>
      <c r="V192" s="14" t="s">
        <v>672</v>
      </c>
      <c r="W192" s="60"/>
      <c r="X192" s="60"/>
      <c r="Y192" s="60"/>
      <c r="Z192" s="60"/>
      <c r="AA192" s="60"/>
      <c r="AB192" s="60"/>
    </row>
    <row r="193" spans="7:28" ht="15" customHeight="1" x14ac:dyDescent="0.2">
      <c r="G193" s="17"/>
      <c r="H193" s="13"/>
      <c r="I193" s="13"/>
      <c r="J193" s="13"/>
      <c r="K193" s="117"/>
      <c r="L193" s="13"/>
      <c r="M193" s="13"/>
      <c r="N193" s="13"/>
      <c r="O193" s="13"/>
      <c r="P193" s="13"/>
      <c r="Q193" s="13"/>
      <c r="R193" s="13"/>
      <c r="S193" s="14"/>
      <c r="T193" s="14"/>
      <c r="U193" s="13"/>
      <c r="V193" s="14"/>
      <c r="W193" s="60"/>
      <c r="X193" s="60"/>
      <c r="Y193" s="60"/>
      <c r="Z193" s="60"/>
      <c r="AA193" s="60"/>
      <c r="AB193" s="60"/>
    </row>
    <row r="194" spans="7:28" ht="15" customHeight="1" x14ac:dyDescent="0.2">
      <c r="G194" s="17" t="s">
        <v>233</v>
      </c>
      <c r="H194" s="13"/>
      <c r="I194" s="13"/>
      <c r="J194" s="13"/>
      <c r="K194" s="117"/>
      <c r="L194" s="13"/>
      <c r="M194" s="13"/>
      <c r="N194" s="13"/>
      <c r="O194" s="13"/>
      <c r="P194" s="393">
        <v>2</v>
      </c>
      <c r="Q194" s="13"/>
      <c r="R194" s="13"/>
      <c r="S194" s="14" t="s">
        <v>29</v>
      </c>
      <c r="T194" s="14"/>
      <c r="U194" s="13"/>
      <c r="V194" s="14"/>
      <c r="W194" s="60"/>
      <c r="X194" s="60"/>
      <c r="Y194" s="60"/>
      <c r="Z194" s="60"/>
      <c r="AA194" s="60"/>
      <c r="AB194" s="60"/>
    </row>
    <row r="195" spans="7:28" ht="15" customHeight="1" x14ac:dyDescent="0.2">
      <c r="G195" s="17"/>
      <c r="H195" s="13"/>
      <c r="I195" s="13"/>
      <c r="J195" s="13"/>
      <c r="K195" s="117"/>
      <c r="L195" s="13"/>
      <c r="M195" s="13"/>
      <c r="N195" s="13"/>
      <c r="O195" s="13"/>
      <c r="P195" s="13"/>
      <c r="Q195" s="13"/>
      <c r="R195" s="13"/>
      <c r="S195" s="14"/>
      <c r="T195" s="14"/>
      <c r="U195" s="13"/>
      <c r="V195" s="14"/>
      <c r="W195" s="60"/>
      <c r="X195" s="60"/>
      <c r="Y195" s="60"/>
      <c r="Z195" s="60"/>
      <c r="AA195" s="60"/>
      <c r="AB195" s="60"/>
    </row>
    <row r="196" spans="7:28" ht="15" customHeight="1" x14ac:dyDescent="0.2">
      <c r="G196" s="17" t="s">
        <v>480</v>
      </c>
      <c r="H196" s="13"/>
      <c r="I196" s="13"/>
      <c r="J196" s="13"/>
      <c r="K196" s="117"/>
      <c r="L196" s="13"/>
      <c r="M196" s="13"/>
      <c r="N196" s="13"/>
      <c r="O196" s="13"/>
      <c r="P196" s="393"/>
      <c r="Q196" s="13"/>
      <c r="R196" s="13"/>
      <c r="S196" s="14"/>
      <c r="T196" s="14"/>
      <c r="U196" s="13"/>
      <c r="V196" s="14"/>
      <c r="W196" s="60"/>
      <c r="X196" s="60"/>
      <c r="Y196" s="60"/>
      <c r="Z196" s="60"/>
      <c r="AA196" s="60"/>
      <c r="AB196" s="60"/>
    </row>
    <row r="197" spans="7:28" ht="15" customHeight="1" x14ac:dyDescent="0.2">
      <c r="G197" s="17" t="s">
        <v>473</v>
      </c>
      <c r="H197" s="13"/>
      <c r="I197" s="13"/>
      <c r="J197" s="13"/>
      <c r="K197" s="117"/>
      <c r="L197" s="13"/>
      <c r="M197" s="13"/>
      <c r="N197" s="13"/>
      <c r="O197" s="13"/>
      <c r="P197" s="261">
        <v>0</v>
      </c>
      <c r="Q197" s="13"/>
      <c r="R197" s="13"/>
      <c r="S197" s="14"/>
      <c r="T197" s="14"/>
      <c r="U197" s="13"/>
      <c r="V197" s="14"/>
      <c r="W197" s="60"/>
      <c r="X197" s="60"/>
      <c r="Y197" s="60"/>
      <c r="Z197" s="60"/>
      <c r="AA197" s="60"/>
      <c r="AB197" s="60"/>
    </row>
    <row r="198" spans="7:28" ht="15" customHeight="1" x14ac:dyDescent="0.2">
      <c r="G198" s="17" t="s">
        <v>474</v>
      </c>
      <c r="H198" s="13"/>
      <c r="I198" s="13"/>
      <c r="J198" s="13"/>
      <c r="K198" s="117"/>
      <c r="L198" s="13"/>
      <c r="M198" s="13"/>
      <c r="N198" s="13"/>
      <c r="O198" s="13"/>
      <c r="P198" s="393"/>
      <c r="Q198" s="13"/>
      <c r="R198" s="13"/>
      <c r="S198" s="14" t="s">
        <v>29</v>
      </c>
      <c r="T198" s="14"/>
      <c r="U198" s="13"/>
      <c r="V198" s="14"/>
      <c r="W198" s="60"/>
      <c r="X198" s="60"/>
      <c r="Y198" s="60"/>
      <c r="Z198" s="60"/>
      <c r="AA198" s="60"/>
      <c r="AB198" s="60"/>
    </row>
    <row r="199" spans="7:28" ht="15" customHeight="1" x14ac:dyDescent="0.2">
      <c r="G199" s="17" t="s">
        <v>475</v>
      </c>
      <c r="H199" s="13"/>
      <c r="I199" s="13"/>
      <c r="J199" s="13"/>
      <c r="K199" s="117"/>
      <c r="L199" s="13"/>
      <c r="M199" s="13"/>
      <c r="N199" s="13"/>
      <c r="O199" s="13"/>
      <c r="P199" s="393"/>
      <c r="Q199" s="13"/>
      <c r="R199" s="13"/>
      <c r="S199" s="14" t="s">
        <v>29</v>
      </c>
      <c r="T199" s="14"/>
      <c r="U199" s="13"/>
      <c r="V199" s="14"/>
      <c r="W199" s="60"/>
      <c r="X199" s="60"/>
      <c r="Y199" s="60"/>
      <c r="Z199" s="60"/>
      <c r="AA199" s="60"/>
      <c r="AB199" s="60"/>
    </row>
    <row r="200" spans="7:28" ht="15" customHeight="1" x14ac:dyDescent="0.2">
      <c r="G200" s="17" t="s">
        <v>476</v>
      </c>
      <c r="H200" s="13"/>
      <c r="I200" s="13"/>
      <c r="J200" s="13"/>
      <c r="K200" s="117"/>
      <c r="L200" s="13"/>
      <c r="M200" s="13"/>
      <c r="N200" s="13"/>
      <c r="O200" s="13"/>
      <c r="P200" s="393">
        <v>-3</v>
      </c>
      <c r="Q200" s="13"/>
      <c r="R200" s="13"/>
      <c r="S200" s="14" t="s">
        <v>29</v>
      </c>
      <c r="T200" s="14"/>
      <c r="U200" s="13"/>
      <c r="V200" s="14" t="s">
        <v>550</v>
      </c>
      <c r="W200" s="60"/>
      <c r="X200" s="60"/>
      <c r="Y200" s="60"/>
      <c r="Z200" s="60"/>
      <c r="AA200" s="60"/>
      <c r="AB200" s="60"/>
    </row>
    <row r="201" spans="7:28" ht="15" customHeight="1" x14ac:dyDescent="0.2">
      <c r="G201" s="17"/>
      <c r="H201" s="13"/>
      <c r="I201" s="13"/>
      <c r="J201" s="13"/>
      <c r="K201" s="117"/>
      <c r="L201" s="13"/>
      <c r="M201" s="13"/>
      <c r="N201" s="13"/>
      <c r="O201" s="13"/>
      <c r="P201" s="13"/>
      <c r="Q201" s="13"/>
      <c r="R201" s="13"/>
      <c r="S201" s="14"/>
      <c r="T201" s="14"/>
      <c r="U201" s="13"/>
      <c r="V201" s="14"/>
      <c r="W201" s="60"/>
      <c r="X201" s="60"/>
      <c r="Y201" s="60"/>
      <c r="Z201" s="60"/>
      <c r="AA201" s="60"/>
      <c r="AB201" s="60"/>
    </row>
    <row r="202" spans="7:28" ht="15" customHeight="1" x14ac:dyDescent="0.2">
      <c r="G202" s="17" t="s">
        <v>472</v>
      </c>
      <c r="H202" s="13"/>
      <c r="I202" s="13"/>
      <c r="J202" s="13"/>
      <c r="K202" s="117"/>
      <c r="L202" s="13"/>
      <c r="M202" s="13"/>
      <c r="N202" s="13"/>
      <c r="O202" s="13"/>
      <c r="P202" s="393">
        <v>2</v>
      </c>
      <c r="Q202" s="13"/>
      <c r="R202" s="13"/>
      <c r="S202" s="14" t="s">
        <v>29</v>
      </c>
      <c r="T202" s="14"/>
      <c r="U202" s="13"/>
      <c r="V202" s="14" t="s">
        <v>550</v>
      </c>
      <c r="W202" s="60"/>
      <c r="X202" s="60"/>
      <c r="Y202" s="60"/>
      <c r="Z202" s="60"/>
      <c r="AA202" s="60"/>
      <c r="AB202" s="60"/>
    </row>
    <row r="203" spans="7:28" ht="15" customHeight="1" x14ac:dyDescent="0.2">
      <c r="G203" s="17"/>
      <c r="H203" s="13"/>
      <c r="I203" s="13"/>
      <c r="J203" s="13"/>
      <c r="K203" s="117"/>
      <c r="L203" s="13"/>
      <c r="M203" s="13"/>
      <c r="N203" s="13"/>
      <c r="O203" s="13"/>
      <c r="P203" s="485"/>
      <c r="Q203" s="13"/>
      <c r="R203" s="28"/>
      <c r="S203" s="14"/>
      <c r="T203" s="14"/>
      <c r="U203" s="13"/>
      <c r="V203" s="14"/>
      <c r="W203" s="60"/>
      <c r="X203" s="60"/>
      <c r="Y203" s="60"/>
      <c r="Z203" s="60"/>
      <c r="AA203" s="60"/>
      <c r="AB203" s="60"/>
    </row>
    <row r="204" spans="7:28" ht="15" customHeight="1" x14ac:dyDescent="0.2">
      <c r="G204" s="15" t="s">
        <v>346</v>
      </c>
      <c r="H204" s="13"/>
      <c r="I204" s="13"/>
      <c r="J204" s="13"/>
      <c r="K204" s="117"/>
      <c r="L204" s="13"/>
      <c r="M204" s="13"/>
      <c r="N204" s="13"/>
      <c r="O204" s="13"/>
      <c r="P204" s="485"/>
      <c r="Q204" s="13"/>
      <c r="R204" s="28"/>
      <c r="S204" s="14"/>
      <c r="T204" s="14"/>
      <c r="U204" s="13"/>
      <c r="V204" s="14"/>
      <c r="W204" s="60"/>
      <c r="X204" s="60"/>
      <c r="Y204" s="60"/>
      <c r="Z204" s="60"/>
      <c r="AA204" s="60"/>
      <c r="AB204" s="60"/>
    </row>
    <row r="205" spans="7:28" ht="15" customHeight="1" x14ac:dyDescent="0.2">
      <c r="G205" s="17" t="s">
        <v>674</v>
      </c>
      <c r="H205" s="13"/>
      <c r="I205" s="13"/>
      <c r="J205" s="13"/>
      <c r="K205" s="117"/>
      <c r="L205" s="13"/>
      <c r="M205" s="13"/>
      <c r="N205" s="13"/>
      <c r="O205" s="13"/>
      <c r="P205" s="260">
        <v>1557</v>
      </c>
      <c r="Q205" s="13"/>
      <c r="R205" s="28"/>
      <c r="S205" s="14" t="s">
        <v>197</v>
      </c>
      <c r="T205" s="14"/>
      <c r="U205" s="13"/>
      <c r="V205" s="14" t="s">
        <v>673</v>
      </c>
      <c r="W205" s="60"/>
      <c r="X205" s="60"/>
      <c r="Y205" s="60"/>
      <c r="Z205" s="60"/>
      <c r="AA205" s="60"/>
      <c r="AB205" s="60"/>
    </row>
    <row r="206" spans="7:28" ht="15" customHeight="1" x14ac:dyDescent="0.2">
      <c r="G206" s="17" t="s">
        <v>675</v>
      </c>
      <c r="H206" s="13"/>
      <c r="I206" s="13"/>
      <c r="J206" s="13"/>
      <c r="K206" s="117"/>
      <c r="L206" s="13"/>
      <c r="M206" s="13"/>
      <c r="N206" s="13"/>
      <c r="O206" s="13"/>
      <c r="P206" s="260">
        <v>3245</v>
      </c>
      <c r="Q206" s="13"/>
      <c r="R206" s="28"/>
      <c r="S206" s="14" t="s">
        <v>197</v>
      </c>
      <c r="T206" s="14"/>
      <c r="U206" s="13"/>
      <c r="V206" s="14" t="s">
        <v>673</v>
      </c>
      <c r="W206" s="60"/>
      <c r="X206" s="60"/>
      <c r="Y206" s="60"/>
      <c r="Z206" s="60"/>
      <c r="AA206" s="60"/>
      <c r="AB206" s="60"/>
    </row>
  </sheetData>
  <mergeCells count="12">
    <mergeCell ref="G81:I82"/>
    <mergeCell ref="G96:I97"/>
    <mergeCell ref="G112:I113"/>
    <mergeCell ref="G153:I154"/>
    <mergeCell ref="G167:I168"/>
    <mergeCell ref="G1:I3"/>
    <mergeCell ref="G5:H7"/>
    <mergeCell ref="A1:E3"/>
    <mergeCell ref="B48:D48"/>
    <mergeCell ref="B10:D10"/>
    <mergeCell ref="G37:I38"/>
    <mergeCell ref="B7:D7"/>
  </mergeCells>
  <conditionalFormatting sqref="G37">
    <cfRule type="expression" dxfId="5" priority="9">
      <formula>#REF!="No"</formula>
    </cfRule>
  </conditionalFormatting>
  <conditionalFormatting sqref="G81">
    <cfRule type="expression" dxfId="4" priority="5">
      <formula>#REF!="No"</formula>
    </cfRule>
  </conditionalFormatting>
  <conditionalFormatting sqref="G96">
    <cfRule type="expression" dxfId="3" priority="1">
      <formula>#REF!="No"</formula>
    </cfRule>
  </conditionalFormatting>
  <conditionalFormatting sqref="G112">
    <cfRule type="expression" dxfId="2" priority="4">
      <formula>#REF!="No"</formula>
    </cfRule>
  </conditionalFormatting>
  <conditionalFormatting sqref="G153">
    <cfRule type="expression" dxfId="1" priority="3">
      <formula>#REF!="No"</formula>
    </cfRule>
  </conditionalFormatting>
  <conditionalFormatting sqref="G167">
    <cfRule type="expression" dxfId="0" priority="2">
      <formula>#REF!="No"</formula>
    </cfRule>
  </conditionalFormatting>
  <dataValidations count="1">
    <dataValidation type="list" allowBlank="1" showInputMessage="1" showErrorMessage="1" sqref="H181 H79 H91 H94" xr:uid="{00000000-0002-0000-1200-000000000000}">
      <formula1>"TBC, A, B, C"</formula1>
    </dataValidation>
  </dataValidations>
  <hyperlinks>
    <hyperlink ref="B12" location="Step1!A1" display="Step 1" xr:uid="{00000000-0004-0000-1200-000000000000}"/>
    <hyperlink ref="B10" location="Home!A1" display="HOME" xr:uid="{00000000-0004-0000-1200-000001000000}"/>
    <hyperlink ref="B18" location="Values!A1" display="ASSUMPTIONS" xr:uid="{00000000-0004-0000-1200-000002000000}"/>
  </hyperlinks>
  <pageMargins left="0.25" right="0.25" top="0.75" bottom="0.75" header="0.3" footer="0.3"/>
  <pageSetup paperSize="8" scale="36"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H79"/>
  <sheetViews>
    <sheetView showGridLines="0" tabSelected="1" zoomScale="85" zoomScaleNormal="85" zoomScaleSheetLayoutView="70" workbookViewId="0">
      <selection activeCell="Q12" sqref="Q12:T12"/>
    </sheetView>
  </sheetViews>
  <sheetFormatPr defaultColWidth="8.7109375" defaultRowHeight="15" customHeight="1" x14ac:dyDescent="0.2"/>
  <cols>
    <col min="1" max="1" width="3.7109375" style="47" customWidth="1"/>
    <col min="2" max="2" width="8.85546875" style="592" customWidth="1"/>
    <col min="3" max="3" width="8.7109375" style="481" customWidth="1"/>
    <col min="4" max="4" width="8.7109375" style="49" customWidth="1"/>
    <col min="5" max="5" width="3.7109375" style="48" customWidth="1"/>
    <col min="6" max="10" width="8.7109375" style="1"/>
    <col min="11" max="11" width="8.7109375" style="1" customWidth="1"/>
    <col min="12" max="12" width="8.7109375" style="1"/>
    <col min="13" max="13" width="8.7109375" style="1" customWidth="1"/>
    <col min="14" max="14" width="8.7109375" style="1"/>
    <col min="15" max="15" width="8.7109375" style="1" customWidth="1"/>
    <col min="16" max="17" width="8.7109375" style="1"/>
    <col min="18" max="18" width="8.7109375" style="5"/>
    <col min="19" max="16384" width="8.7109375" style="1"/>
  </cols>
  <sheetData>
    <row r="1" spans="1:24" ht="15" customHeight="1" x14ac:dyDescent="0.2">
      <c r="A1" s="1022"/>
      <c r="B1" s="1022"/>
      <c r="C1" s="1022"/>
      <c r="D1" s="1022"/>
      <c r="E1" s="1022"/>
      <c r="G1" s="1024" t="s">
        <v>286</v>
      </c>
      <c r="H1" s="1024"/>
      <c r="I1" s="8"/>
    </row>
    <row r="2" spans="1:24" ht="15" customHeight="1" x14ac:dyDescent="0.2">
      <c r="A2" s="1022"/>
      <c r="B2" s="1022"/>
      <c r="C2" s="1022"/>
      <c r="D2" s="1022"/>
      <c r="E2" s="1022"/>
      <c r="G2" s="1024"/>
      <c r="H2" s="1024"/>
      <c r="I2" s="8"/>
      <c r="J2" s="50"/>
      <c r="K2" s="51"/>
      <c r="L2" s="52"/>
      <c r="M2" s="51"/>
      <c r="N2" s="50"/>
      <c r="O2" s="50"/>
      <c r="P2" s="50"/>
      <c r="Q2" s="4"/>
    </row>
    <row r="3" spans="1:24" ht="15" customHeight="1" x14ac:dyDescent="0.2">
      <c r="A3" s="1022"/>
      <c r="B3" s="1022"/>
      <c r="C3" s="1022"/>
      <c r="D3" s="1022"/>
      <c r="E3" s="1022"/>
      <c r="G3" s="1024"/>
      <c r="H3" s="1024"/>
      <c r="I3" s="8"/>
    </row>
    <row r="4" spans="1:24" ht="15" customHeight="1" x14ac:dyDescent="0.2">
      <c r="A4" s="618"/>
      <c r="B4" s="618"/>
      <c r="C4" s="618"/>
      <c r="D4" s="618"/>
      <c r="E4" s="618"/>
      <c r="G4" s="619"/>
      <c r="H4" s="619"/>
      <c r="I4" s="8"/>
    </row>
    <row r="5" spans="1:24" ht="15" customHeight="1" x14ac:dyDescent="0.2">
      <c r="A5" s="669"/>
      <c r="B5" s="62" t="s">
        <v>251</v>
      </c>
      <c r="C5" s="669"/>
      <c r="D5" s="669"/>
      <c r="E5" s="669"/>
      <c r="G5" s="1042" t="s">
        <v>202</v>
      </c>
      <c r="H5" s="1042"/>
      <c r="W5" s="1020" t="str">
        <f>HYPERLINK(CONCATENATE("#",J13,IF(J13="Simple","",CONCATENATE("at",K14)),"Step2!A1"),"Next")</f>
        <v>Next</v>
      </c>
      <c r="X5" s="1020"/>
    </row>
    <row r="6" spans="1:24" ht="15" customHeight="1" x14ac:dyDescent="0.2">
      <c r="A6" s="669"/>
      <c r="C6" s="48"/>
      <c r="E6" s="669"/>
      <c r="G6" s="1042"/>
      <c r="H6" s="1042"/>
      <c r="W6" s="1020"/>
      <c r="X6" s="1020"/>
    </row>
    <row r="7" spans="1:24" ht="15" customHeight="1" x14ac:dyDescent="0.2">
      <c r="A7" s="669"/>
      <c r="B7" s="1023" t="str">
        <f>IF(Step1!K12="New building",Step1!Q12,Step1!K15)</f>
        <v>1-19 Torrington Place</v>
      </c>
      <c r="C7" s="1023"/>
      <c r="D7" s="1023"/>
      <c r="E7" s="669"/>
      <c r="G7" s="1042"/>
      <c r="H7" s="1042"/>
      <c r="I7" s="6"/>
      <c r="J7" s="6"/>
      <c r="W7" s="1020"/>
      <c r="X7" s="1020"/>
    </row>
    <row r="8" spans="1:24" ht="15" customHeight="1" x14ac:dyDescent="0.2">
      <c r="B8" s="587"/>
      <c r="C8" s="48"/>
      <c r="G8" s="53"/>
    </row>
    <row r="9" spans="1:24" ht="15" customHeight="1" x14ac:dyDescent="0.2">
      <c r="B9" s="587"/>
      <c r="C9" s="48"/>
      <c r="G9" s="53"/>
    </row>
    <row r="10" spans="1:24" ht="15" customHeight="1" x14ac:dyDescent="0.2">
      <c r="B10" s="1039" t="s">
        <v>329</v>
      </c>
      <c r="C10" s="1039"/>
      <c r="D10" s="1039"/>
      <c r="G10" s="339" t="s">
        <v>535</v>
      </c>
      <c r="H10" s="308"/>
      <c r="I10" s="308"/>
      <c r="J10" s="308"/>
      <c r="K10" s="312"/>
      <c r="L10" s="308"/>
      <c r="M10" s="308"/>
      <c r="N10" s="308"/>
      <c r="O10" s="308"/>
      <c r="P10" s="308"/>
      <c r="Q10" s="1041" t="str">
        <f>HYPERLINK("http://maps.google.com/maps?q="&amp;VLOOKUP(K15,Buildings!$B$2:$AD$153,2,FALSE),"Find building on Google Maps")</f>
        <v>Find building on Google Maps</v>
      </c>
      <c r="R10" s="1041"/>
      <c r="S10" s="1041"/>
      <c r="T10" s="1041"/>
      <c r="V10" s="1040"/>
      <c r="W10" s="1040"/>
      <c r="X10" s="1040"/>
    </row>
    <row r="11" spans="1:24" ht="15" customHeight="1" thickBot="1" x14ac:dyDescent="0.25">
      <c r="B11" s="588"/>
      <c r="C11" s="48"/>
      <c r="G11" s="310"/>
      <c r="H11" s="310"/>
      <c r="I11" s="310"/>
      <c r="J11" s="310"/>
      <c r="K11" s="310"/>
      <c r="L11" s="310"/>
      <c r="M11" s="310"/>
      <c r="N11" s="310"/>
      <c r="O11" s="310"/>
      <c r="P11" s="310"/>
      <c r="Q11" s="310"/>
      <c r="R11" s="311"/>
      <c r="S11" s="310"/>
      <c r="T11" s="310"/>
      <c r="V11" s="60"/>
      <c r="W11" s="60"/>
      <c r="X11" s="60"/>
    </row>
    <row r="12" spans="1:24" ht="15" customHeight="1" thickBot="1" x14ac:dyDescent="0.25">
      <c r="A12" s="483" t="s">
        <v>330</v>
      </c>
      <c r="B12" s="201" t="s">
        <v>575</v>
      </c>
      <c r="E12" s="55"/>
      <c r="G12" s="170" t="s">
        <v>528</v>
      </c>
      <c r="H12" s="188"/>
      <c r="I12" s="188"/>
      <c r="J12" s="188"/>
      <c r="K12" s="1033" t="s">
        <v>804</v>
      </c>
      <c r="L12" s="1034"/>
      <c r="M12" s="1034"/>
      <c r="N12" s="1034"/>
      <c r="O12" s="310"/>
      <c r="P12" s="176" t="s">
        <v>527</v>
      </c>
      <c r="Q12" s="1035" t="s">
        <v>242</v>
      </c>
      <c r="R12" s="1036"/>
      <c r="S12" s="1036"/>
      <c r="T12" s="1037"/>
      <c r="V12" s="14"/>
      <c r="W12" s="60"/>
      <c r="X12" s="60"/>
    </row>
    <row r="13" spans="1:24" ht="15" customHeight="1" thickBot="1" x14ac:dyDescent="0.25">
      <c r="B13" s="588"/>
      <c r="C13" s="114"/>
      <c r="G13" s="170"/>
      <c r="H13" s="188"/>
      <c r="I13" s="188"/>
      <c r="J13" s="209" t="str">
        <f>IF(ISBLANK(K12),"",IF(K12="Existing building change","Simple","Complex"))</f>
        <v>Simple</v>
      </c>
      <c r="K13" s="1015" t="str">
        <f>IF(J13="Simple","Note: Tool to be completed by UCL or external consultant","Note: Tool to be completed by external consultant")</f>
        <v>Note: Tool to be completed by UCL or external consultant</v>
      </c>
      <c r="L13" s="1016"/>
      <c r="M13" s="1016"/>
      <c r="N13" s="1016"/>
      <c r="O13" s="1017"/>
      <c r="P13" s="188"/>
      <c r="Q13" s="188"/>
      <c r="R13" s="193"/>
      <c r="S13" s="188"/>
      <c r="T13" s="188"/>
      <c r="V13" s="14"/>
      <c r="W13" s="1026"/>
      <c r="X13" s="1026"/>
    </row>
    <row r="14" spans="1:24" ht="15" customHeight="1" thickBot="1" x14ac:dyDescent="0.25">
      <c r="B14" s="199" t="str">
        <f>IF(AND($J$13="Complex",$K$14=1),"",HYPERLINK(CONCATENATE("#",J13,IF(J13="Simple","",CONCATENATE("At",K14)),"Step2!A1"),"STEP 2:CALCULATE"))</f>
        <v>STEP 2:CALCULATE</v>
      </c>
      <c r="C14" s="48"/>
      <c r="G14" s="170" t="str">
        <f>IF(J13="Complex","Select the RIBA stage:","")</f>
        <v/>
      </c>
      <c r="H14" s="188"/>
      <c r="I14" s="188"/>
      <c r="J14" s="188"/>
      <c r="K14" s="218">
        <v>2</v>
      </c>
      <c r="L14" s="1027" t="str">
        <f>IF(K12="Existing building change","",IF(OR(K14=2,K14=3),"",""))</f>
        <v/>
      </c>
      <c r="M14" s="1028"/>
      <c r="N14" s="1028"/>
      <c r="O14" s="1029"/>
      <c r="P14" s="178" t="str">
        <f>IF($K$14="3","+","")</f>
        <v/>
      </c>
      <c r="Q14" s="188"/>
      <c r="R14" s="193"/>
      <c r="S14" s="188"/>
      <c r="T14" s="188"/>
      <c r="V14" s="14"/>
      <c r="W14" s="1026"/>
      <c r="X14" s="1026"/>
    </row>
    <row r="15" spans="1:24" ht="15" customHeight="1" thickBot="1" x14ac:dyDescent="0.25">
      <c r="B15" s="589"/>
      <c r="C15" s="48"/>
      <c r="D15" s="197"/>
      <c r="G15" s="170" t="s">
        <v>529</v>
      </c>
      <c r="H15" s="188"/>
      <c r="I15" s="188"/>
      <c r="J15" s="188"/>
      <c r="K15" s="1033" t="s">
        <v>75</v>
      </c>
      <c r="L15" s="1034"/>
      <c r="M15" s="1034"/>
      <c r="N15" s="1034"/>
      <c r="O15" s="188"/>
      <c r="P15" s="178" t="str">
        <f>IF($K$14="3","+","")</f>
        <v/>
      </c>
      <c r="Q15" s="188"/>
      <c r="R15" s="193"/>
      <c r="S15" s="188"/>
      <c r="T15" s="188"/>
      <c r="V15" s="14"/>
      <c r="W15" s="60"/>
      <c r="X15" s="60"/>
    </row>
    <row r="16" spans="1:24" ht="15" customHeight="1" x14ac:dyDescent="0.2">
      <c r="B16" s="199" t="str">
        <f>IF(AND($J$13="Complex",$K$14=1),"",HYPERLINK(CONCATENATE("#",J13,"Step3!A1"),"STEP 3:RESULTS"))</f>
        <v>STEP 3:RESULTS</v>
      </c>
      <c r="C16" s="48"/>
      <c r="D16" s="197"/>
      <c r="K16" s="70"/>
      <c r="L16" s="70"/>
      <c r="M16" s="70"/>
      <c r="N16" s="70"/>
      <c r="O16" s="70"/>
      <c r="V16" s="14"/>
      <c r="W16" s="60"/>
      <c r="X16" s="60"/>
    </row>
    <row r="17" spans="2:34" ht="15" customHeight="1" x14ac:dyDescent="0.2">
      <c r="B17" s="590"/>
      <c r="C17" s="48"/>
      <c r="D17" s="197"/>
      <c r="G17" s="339" t="s">
        <v>536</v>
      </c>
      <c r="H17" s="308"/>
      <c r="I17" s="308"/>
      <c r="J17" s="308"/>
      <c r="K17" s="313"/>
      <c r="L17" s="313"/>
      <c r="M17" s="313"/>
      <c r="N17" s="313"/>
      <c r="O17" s="313"/>
      <c r="Q17" s="581"/>
      <c r="V17" s="14"/>
      <c r="W17" s="60"/>
      <c r="X17" s="60"/>
    </row>
    <row r="18" spans="2:34" ht="15" customHeight="1" thickBot="1" x14ac:dyDescent="0.25">
      <c r="B18" s="199" t="s">
        <v>331</v>
      </c>
      <c r="C18" s="48"/>
      <c r="D18" s="197"/>
      <c r="G18" s="60"/>
      <c r="H18" s="60"/>
      <c r="I18" s="60"/>
      <c r="J18" s="60"/>
      <c r="K18" s="60"/>
      <c r="L18" s="60"/>
      <c r="M18" s="60"/>
      <c r="N18" s="60"/>
      <c r="O18" s="60"/>
      <c r="V18" s="14"/>
      <c r="W18" s="1026"/>
      <c r="X18" s="1026"/>
    </row>
    <row r="19" spans="2:34" ht="15" customHeight="1" thickBot="1" x14ac:dyDescent="0.25">
      <c r="B19" s="591"/>
      <c r="C19" s="48"/>
      <c r="D19" s="197"/>
      <c r="G19" s="189"/>
      <c r="H19" s="189"/>
      <c r="I19" s="189"/>
      <c r="J19" s="189"/>
      <c r="K19" s="804" t="str">
        <f>IF($K$12="New building","",IF($K$12="Major refurbishment","Previous","Existing"))</f>
        <v>Existing</v>
      </c>
      <c r="L19" s="803"/>
      <c r="M19" s="804" t="str">
        <f>IF($K$12="Major refurbishment","Revised",IF($K$12="Extension","Extension",IF($K$12="New building","Proposed","")))</f>
        <v/>
      </c>
      <c r="N19" s="803"/>
      <c r="O19" s="804" t="s">
        <v>308</v>
      </c>
      <c r="V19" s="14"/>
      <c r="W19" s="1026"/>
      <c r="X19" s="1026"/>
    </row>
    <row r="20" spans="2:34" ht="15" customHeight="1" thickBot="1" x14ac:dyDescent="0.25">
      <c r="B20" s="591"/>
      <c r="C20" s="48"/>
      <c r="D20" s="197"/>
      <c r="G20" s="170" t="s">
        <v>611</v>
      </c>
      <c r="H20" s="188"/>
      <c r="I20" s="188"/>
      <c r="J20" s="188"/>
      <c r="K20" s="191">
        <f>IF(OR(ISNA($K$24),$K$24=0),0,VLOOKUP($K$15,Buildings!$B$2:$AD$153,6,FALSE)/$K$24)</f>
        <v>0</v>
      </c>
      <c r="L20" s="189"/>
      <c r="M20" s="190">
        <f>M35+M36</f>
        <v>124.00000000000003</v>
      </c>
      <c r="N20" s="189"/>
      <c r="O20" s="189"/>
      <c r="V20" s="14"/>
      <c r="W20" s="60"/>
      <c r="X20" s="60"/>
    </row>
    <row r="21" spans="2:34" ht="15" customHeight="1" thickBot="1" x14ac:dyDescent="0.25">
      <c r="B21" s="591"/>
      <c r="C21" s="48"/>
      <c r="D21" s="197"/>
      <c r="G21" s="397" t="s">
        <v>358</v>
      </c>
      <c r="H21" s="60"/>
      <c r="I21" s="60"/>
      <c r="J21" s="60"/>
      <c r="K21" s="191">
        <f>IF(OR(ISNA($K$24),$K$24=0),0,VLOOKUP($K$15,Buildings!$B$2:$AD$153,7,FALSE)/$K$24)</f>
        <v>89.7840272564532</v>
      </c>
      <c r="L21" s="60"/>
      <c r="M21" s="190">
        <f>M37+M38</f>
        <v>0</v>
      </c>
      <c r="N21" s="60"/>
      <c r="O21" s="189"/>
      <c r="V21" s="14"/>
      <c r="W21" s="60"/>
      <c r="X21" s="60"/>
    </row>
    <row r="22" spans="2:34" ht="15" customHeight="1" thickBot="1" x14ac:dyDescent="0.25">
      <c r="B22" s="587"/>
      <c r="C22" s="48"/>
      <c r="G22" s="170" t="s">
        <v>326</v>
      </c>
      <c r="H22" s="188"/>
      <c r="I22" s="188"/>
      <c r="J22" s="188"/>
      <c r="K22" s="191">
        <f>IF(OR(ISNA($K$24),$K$24=0),0,VLOOKUP($K$15,Buildings!$B$2:$AD$153,8,FALSE)/$K$24)</f>
        <v>73.025408558064328</v>
      </c>
      <c r="L22" s="189"/>
      <c r="M22" s="190">
        <f>SUM(M39:M44)</f>
        <v>103</v>
      </c>
      <c r="N22" s="189"/>
      <c r="O22" s="188"/>
      <c r="V22" s="14"/>
      <c r="W22" s="60"/>
      <c r="X22" s="60"/>
    </row>
    <row r="23" spans="2:34" ht="15" customHeight="1" thickBot="1" x14ac:dyDescent="0.25">
      <c r="G23" s="802"/>
      <c r="H23" s="189"/>
      <c r="I23" s="189"/>
      <c r="J23" s="189"/>
      <c r="K23" s="60"/>
      <c r="L23" s="60"/>
      <c r="M23" s="60"/>
      <c r="N23" s="60"/>
      <c r="O23" s="60"/>
      <c r="U23" s="52"/>
      <c r="V23" s="14"/>
      <c r="W23" s="1026"/>
      <c r="X23" s="1026"/>
    </row>
    <row r="24" spans="2:34" ht="15" customHeight="1" thickBot="1" x14ac:dyDescent="0.25">
      <c r="G24" s="170" t="s">
        <v>327</v>
      </c>
      <c r="H24" s="188"/>
      <c r="I24" s="188"/>
      <c r="J24" s="188"/>
      <c r="K24" s="190">
        <f>IF(OR(K15="Unknown",K12="New building"),0,VLOOKUP($K$15,Buildings!$B$2:$AD$153,4,FALSE))</f>
        <v>17317</v>
      </c>
      <c r="L24" s="189"/>
      <c r="M24" s="624">
        <v>29177</v>
      </c>
      <c r="N24" s="189"/>
      <c r="O24" s="191">
        <f>IF($K$12="Existing building change",K24,IF($K$12="Extension",K24+M24,M24))</f>
        <v>17317</v>
      </c>
      <c r="V24" s="14"/>
      <c r="W24" s="1026"/>
      <c r="X24" s="1026"/>
    </row>
    <row r="25" spans="2:34" ht="15" customHeight="1" thickBot="1" x14ac:dyDescent="0.25">
      <c r="G25" s="802"/>
      <c r="H25" s="188"/>
      <c r="I25" s="188"/>
      <c r="J25" s="188"/>
      <c r="K25" s="189"/>
      <c r="L25" s="189"/>
      <c r="M25" s="189"/>
      <c r="N25" s="189"/>
      <c r="O25" s="189"/>
      <c r="V25" s="241"/>
      <c r="W25" s="60"/>
      <c r="X25" s="60"/>
    </row>
    <row r="26" spans="2:34" ht="15" customHeight="1" thickBot="1" x14ac:dyDescent="0.25">
      <c r="G26" s="170" t="s">
        <v>234</v>
      </c>
      <c r="H26" s="188"/>
      <c r="I26" s="188"/>
      <c r="J26" s="188"/>
      <c r="K26" s="192">
        <f>VLOOKUP($K$15,Buildings!$B$2:$AD$153,22,FALSE)</f>
        <v>0</v>
      </c>
      <c r="L26" s="189"/>
      <c r="M26" s="174">
        <v>0</v>
      </c>
      <c r="N26" s="189"/>
      <c r="O26" s="191">
        <f t="shared" ref="O26:O33" si="0">IF($K$12="Existing building change",K26,IF($K$12="Extension",((K26*$K$24)+(M26*$M$24))/($K$24+$M$24),M26))</f>
        <v>0</v>
      </c>
      <c r="T26" s="52"/>
      <c r="V26" s="14"/>
      <c r="W26" s="60"/>
      <c r="X26" s="60"/>
    </row>
    <row r="27" spans="2:34" ht="15" customHeight="1" thickBot="1" x14ac:dyDescent="0.25">
      <c r="G27" s="170" t="s">
        <v>235</v>
      </c>
      <c r="H27" s="188"/>
      <c r="I27" s="188"/>
      <c r="J27" s="188"/>
      <c r="K27" s="192">
        <f>VLOOKUP($K$15,Buildings!$B$2:$AD$153,23,FALSE)</f>
        <v>0</v>
      </c>
      <c r="L27" s="189"/>
      <c r="M27" s="174">
        <v>0</v>
      </c>
      <c r="N27" s="189"/>
      <c r="O27" s="191">
        <f t="shared" si="0"/>
        <v>0</v>
      </c>
      <c r="P27" s="2"/>
      <c r="V27" s="14"/>
      <c r="W27" s="60"/>
      <c r="X27" s="60"/>
    </row>
    <row r="28" spans="2:34" ht="15" customHeight="1" thickBot="1" x14ac:dyDescent="0.25">
      <c r="G28" s="170" t="s">
        <v>236</v>
      </c>
      <c r="H28" s="188"/>
      <c r="I28" s="188"/>
      <c r="J28" s="188"/>
      <c r="K28" s="192">
        <f>VLOOKUP($K$15,Buildings!$B$2:$AD$153,24,FALSE)</f>
        <v>0</v>
      </c>
      <c r="L28" s="189"/>
      <c r="M28" s="174">
        <v>0</v>
      </c>
      <c r="N28" s="189"/>
      <c r="O28" s="191">
        <f t="shared" si="0"/>
        <v>0</v>
      </c>
      <c r="P28" s="19"/>
      <c r="V28" s="14"/>
      <c r="W28" s="1026"/>
      <c r="X28" s="1026"/>
    </row>
    <row r="29" spans="2:34" ht="15" customHeight="1" thickBot="1" x14ac:dyDescent="0.25">
      <c r="B29" s="587"/>
      <c r="C29" s="48"/>
      <c r="G29" s="170" t="s">
        <v>237</v>
      </c>
      <c r="H29" s="188"/>
      <c r="I29" s="188"/>
      <c r="J29" s="188"/>
      <c r="K29" s="192">
        <f>VLOOKUP($K$15,Buildings!$B$2:$AD$153,25,FALSE)</f>
        <v>0</v>
      </c>
      <c r="L29" s="189"/>
      <c r="M29" s="174">
        <v>0</v>
      </c>
      <c r="N29" s="189"/>
      <c r="O29" s="191">
        <f t="shared" si="0"/>
        <v>0</v>
      </c>
      <c r="P29" s="19"/>
      <c r="V29" s="14"/>
      <c r="W29" s="1026"/>
      <c r="X29" s="1026"/>
    </row>
    <row r="30" spans="2:34" ht="15" customHeight="1" thickBot="1" x14ac:dyDescent="0.25">
      <c r="B30" s="587"/>
      <c r="C30" s="48"/>
      <c r="G30" s="170" t="s">
        <v>238</v>
      </c>
      <c r="H30" s="188"/>
      <c r="I30" s="188"/>
      <c r="J30" s="188"/>
      <c r="K30" s="192">
        <f>VLOOKUP($K$15,Buildings!$B$2:$AD$153,26,FALSE)</f>
        <v>0</v>
      </c>
      <c r="L30" s="189"/>
      <c r="M30" s="174">
        <v>0</v>
      </c>
      <c r="N30" s="189"/>
      <c r="O30" s="191">
        <f t="shared" si="0"/>
        <v>0</v>
      </c>
      <c r="P30" s="2"/>
      <c r="Q30" s="582"/>
      <c r="V30" s="14"/>
      <c r="W30" s="60"/>
      <c r="X30" s="60"/>
    </row>
    <row r="31" spans="2:34" ht="15" customHeight="1" thickBot="1" x14ac:dyDescent="0.25">
      <c r="B31" s="587"/>
      <c r="C31" s="48"/>
      <c r="G31" s="170" t="s">
        <v>239</v>
      </c>
      <c r="H31" s="188"/>
      <c r="I31" s="188"/>
      <c r="J31" s="188"/>
      <c r="K31" s="192">
        <f>VLOOKUP($K$15,Buildings!$B$2:$AD$153,27,FALSE)</f>
        <v>0</v>
      </c>
      <c r="L31" s="189"/>
      <c r="M31" s="174">
        <v>0</v>
      </c>
      <c r="N31" s="189"/>
      <c r="O31" s="191">
        <f t="shared" si="0"/>
        <v>0</v>
      </c>
      <c r="P31" s="19"/>
      <c r="V31" s="14"/>
      <c r="W31" s="60"/>
      <c r="X31" s="60"/>
      <c r="AH31" s="530"/>
    </row>
    <row r="32" spans="2:34" ht="15" customHeight="1" thickBot="1" x14ac:dyDescent="0.25">
      <c r="E32" s="55"/>
      <c r="G32" s="170" t="s">
        <v>240</v>
      </c>
      <c r="H32" s="188"/>
      <c r="I32" s="188"/>
      <c r="J32" s="188"/>
      <c r="K32" s="192">
        <f>VLOOKUP($K$15,Buildings!$B$2:$AD$153,28,FALSE)</f>
        <v>0</v>
      </c>
      <c r="L32" s="189"/>
      <c r="M32" s="174">
        <v>0</v>
      </c>
      <c r="N32" s="189"/>
      <c r="O32" s="191">
        <f t="shared" si="0"/>
        <v>0</v>
      </c>
      <c r="S32" s="72"/>
      <c r="T32" s="72"/>
      <c r="V32" s="14"/>
      <c r="W32" s="60"/>
      <c r="X32" s="60"/>
      <c r="AH32" s="530"/>
    </row>
    <row r="33" spans="2:26" ht="15" customHeight="1" thickBot="1" x14ac:dyDescent="0.25">
      <c r="G33" s="170" t="s">
        <v>241</v>
      </c>
      <c r="H33" s="188"/>
      <c r="I33" s="188"/>
      <c r="J33" s="188"/>
      <c r="K33" s="192">
        <f>VLOOKUP($K$15,Buildings!$B$2:$AD$153,29,FALSE)</f>
        <v>100</v>
      </c>
      <c r="L33" s="189"/>
      <c r="M33" s="174">
        <v>100</v>
      </c>
      <c r="N33" s="189"/>
      <c r="O33" s="191">
        <f t="shared" si="0"/>
        <v>100</v>
      </c>
      <c r="P33" s="19"/>
      <c r="Q33" s="1038" t="s">
        <v>520</v>
      </c>
      <c r="R33" s="1038"/>
      <c r="S33" s="1038"/>
      <c r="T33" s="1038"/>
      <c r="V33" s="14"/>
      <c r="W33" s="1026"/>
      <c r="X33" s="1026"/>
    </row>
    <row r="34" spans="2:26" ht="15" customHeight="1" thickBot="1" x14ac:dyDescent="0.25">
      <c r="C34" s="48"/>
      <c r="G34" s="802"/>
      <c r="H34" s="188"/>
      <c r="I34" s="188"/>
      <c r="J34" s="188"/>
      <c r="K34" s="189"/>
      <c r="L34" s="189"/>
      <c r="M34" s="189"/>
      <c r="N34" s="189"/>
      <c r="O34" s="189"/>
      <c r="Q34" s="60"/>
      <c r="R34" s="61"/>
      <c r="S34" s="60"/>
      <c r="T34" s="60"/>
      <c r="V34" s="14"/>
      <c r="W34" s="1026"/>
      <c r="X34" s="1026"/>
    </row>
    <row r="35" spans="2:26" ht="15" customHeight="1" thickBot="1" x14ac:dyDescent="0.25">
      <c r="C35" s="486"/>
      <c r="D35" s="486"/>
      <c r="G35" s="170" t="s">
        <v>357</v>
      </c>
      <c r="H35" s="176"/>
      <c r="I35" s="176"/>
      <c r="J35" s="176"/>
      <c r="K35" s="190">
        <f>IF(ISBLANK(VLOOKUP($K$15,Buildings!$B$2:$AD$153,12,FALSE)),IF(ISBLANK(Data!$P$14),$K$20*BE!N13,Data!$P$14),VLOOKUP($K$15,Buildings!$B$2:$AD$153,12,FALSE))</f>
        <v>0</v>
      </c>
      <c r="L35" s="189"/>
      <c r="M35" s="190">
        <f>IF($M$24=0,0,IF(ISBLANK(Data!P26),BN!L13/$M$24,Data!P26))</f>
        <v>99.200000000000017</v>
      </c>
      <c r="N35" s="189"/>
      <c r="O35" s="191">
        <f t="shared" ref="O35:O44" si="1">IF($K$12="Existing building change",K35,IF($K$12="Extension",(K35*$K$24+M35*$M$24)/$O$24,M35))</f>
        <v>0</v>
      </c>
      <c r="Q35" s="17" t="s">
        <v>359</v>
      </c>
      <c r="R35" s="61"/>
      <c r="S35" s="60"/>
      <c r="T35" s="322"/>
      <c r="V35" s="14"/>
      <c r="W35" s="60"/>
      <c r="X35" s="60"/>
    </row>
    <row r="36" spans="2:26" ht="15" customHeight="1" thickBot="1" x14ac:dyDescent="0.25">
      <c r="B36" s="587"/>
      <c r="C36" s="48"/>
      <c r="E36" s="55"/>
      <c r="G36" s="170" t="s">
        <v>356</v>
      </c>
      <c r="H36" s="188"/>
      <c r="I36" s="188"/>
      <c r="J36" s="188"/>
      <c r="K36" s="190">
        <f>IF(ISBLANK(VLOOKUP($K$15,Buildings!$B$2:$AD$153,13,FALSE)),IF(ISBLANK(Data!$P$15),$K$20*BE!N14,Data!$P$15),VLOOKUP($K$15,Buildings!$B$2:$AD$153,13,FALSE))</f>
        <v>0</v>
      </c>
      <c r="L36" s="189"/>
      <c r="M36" s="190">
        <f>IF($M$24=0,0,IF(ISBLANK(Data!P27),BN!L14/$M$24,Data!P27))</f>
        <v>24.800000000000004</v>
      </c>
      <c r="N36" s="189"/>
      <c r="O36" s="191">
        <f t="shared" si="1"/>
        <v>0</v>
      </c>
      <c r="Q36" s="17" t="s">
        <v>360</v>
      </c>
      <c r="R36" s="61"/>
      <c r="S36" s="60"/>
      <c r="T36" s="314"/>
      <c r="V36" s="14"/>
      <c r="W36" s="60"/>
      <c r="X36" s="60"/>
      <c r="Z36" s="498"/>
    </row>
    <row r="37" spans="2:26" ht="15" customHeight="1" thickBot="1" x14ac:dyDescent="0.25">
      <c r="G37" s="170" t="s">
        <v>352</v>
      </c>
      <c r="H37" s="188"/>
      <c r="I37" s="188"/>
      <c r="J37" s="188"/>
      <c r="K37" s="190">
        <f>IF(ISBLANK(VLOOKUP($K$15,Buildings!$B$2:$AD$153,14,FALSE)),IF(ISBLANK(Data!$P$16),$K$21*BE!N16,Data!$P$16),VLOOKUP($K$15,Buildings!$B$2:$AD$153,14,FALSE))</f>
        <v>71.827221805162566</v>
      </c>
      <c r="L37" s="188"/>
      <c r="M37" s="190">
        <f>IF($M$24=0,0,IF(ISBLANK(Data!P28),BN!L16/$M$24,Data!P28))</f>
        <v>0</v>
      </c>
      <c r="N37" s="188"/>
      <c r="O37" s="191">
        <f t="shared" si="1"/>
        <v>71.827221805162566</v>
      </c>
      <c r="Q37" s="17" t="s">
        <v>361</v>
      </c>
      <c r="R37" s="60"/>
      <c r="S37" s="60"/>
      <c r="T37" s="315"/>
      <c r="V37" s="14"/>
      <c r="W37" s="60"/>
      <c r="X37" s="60"/>
    </row>
    <row r="38" spans="2:26" ht="15" customHeight="1" thickBot="1" x14ac:dyDescent="0.25">
      <c r="G38" s="170" t="s">
        <v>353</v>
      </c>
      <c r="H38" s="188"/>
      <c r="I38" s="188"/>
      <c r="J38" s="188"/>
      <c r="K38" s="190">
        <f>IF(ISBLANK(VLOOKUP($K$15,Buildings!$B$2:$AD$153,15,FALSE)),IF(ISBLANK(Data!$P$17),$K$21*BE!N17,Data!$P$17),VLOOKUP($K$15,Buildings!$B$2:$AD$153,15,FALSE))</f>
        <v>17.956805451290641</v>
      </c>
      <c r="L38" s="188"/>
      <c r="M38" s="190">
        <f>IF($M$24=0,0,IF(ISBLANK(Data!P29),BN!L17/$M$24,Data!P29))</f>
        <v>0</v>
      </c>
      <c r="N38" s="188"/>
      <c r="O38" s="191">
        <f t="shared" si="1"/>
        <v>17.956805451290641</v>
      </c>
      <c r="Q38" s="17" t="s">
        <v>362</v>
      </c>
      <c r="R38" s="60"/>
      <c r="S38" s="60"/>
      <c r="T38" s="316"/>
      <c r="V38" s="60"/>
      <c r="W38" s="1026"/>
      <c r="X38" s="1026"/>
    </row>
    <row r="39" spans="2:26" ht="15" customHeight="1" thickBot="1" x14ac:dyDescent="0.25">
      <c r="G39" s="170" t="s">
        <v>354</v>
      </c>
      <c r="H39" s="188"/>
      <c r="I39" s="188"/>
      <c r="J39" s="188"/>
      <c r="K39" s="190">
        <f>IF(ISBLANK(VLOOKUP($K$15,Buildings!$B$2:$AD$153,16,FALSE)),IF(ISBLANK(Data!$P$18),$K$22*BE!N19,Data!$P$18),VLOOKUP($K$15,Buildings!$B$2:$AD$153,16,FALSE))</f>
        <v>0</v>
      </c>
      <c r="L39" s="189"/>
      <c r="M39" s="190">
        <f>IF($M$24=0,0,IF(ISBLANK(Data!P30),BN!L19/$M$24,Data!P30))</f>
        <v>0</v>
      </c>
      <c r="N39" s="189"/>
      <c r="O39" s="191">
        <f t="shared" si="1"/>
        <v>0</v>
      </c>
      <c r="Q39" s="17" t="s">
        <v>363</v>
      </c>
      <c r="R39" s="60"/>
      <c r="S39" s="60"/>
      <c r="T39" s="317"/>
      <c r="V39" s="60"/>
      <c r="W39" s="1026"/>
      <c r="X39" s="1026"/>
    </row>
    <row r="40" spans="2:26" ht="15" customHeight="1" thickBot="1" x14ac:dyDescent="0.25">
      <c r="G40" s="170" t="s">
        <v>355</v>
      </c>
      <c r="H40" s="188"/>
      <c r="I40" s="188"/>
      <c r="J40" s="188"/>
      <c r="K40" s="190">
        <f>IF(ISBLANK(VLOOKUP($K$15,Buildings!$B$2:$AD$153,17,FALSE)),IF(ISBLANK(Data!$P$19),$K$22*BE!N20,Data!$P$19),VLOOKUP($K$15,Buildings!$B$2:$AD$153,17,FALSE))</f>
        <v>0</v>
      </c>
      <c r="L40" s="189"/>
      <c r="M40" s="190">
        <f>IF($M$24=0,0,IF(ISBLANK(Data!P31),BN!L20/$M$24,Data!P31))</f>
        <v>0</v>
      </c>
      <c r="N40" s="189"/>
      <c r="O40" s="191">
        <f t="shared" si="1"/>
        <v>0</v>
      </c>
      <c r="Q40" s="17" t="s">
        <v>364</v>
      </c>
      <c r="R40" s="60"/>
      <c r="S40" s="60"/>
      <c r="T40" s="318"/>
      <c r="V40" s="60"/>
      <c r="W40" s="60"/>
      <c r="X40" s="60"/>
    </row>
    <row r="41" spans="2:26" ht="15" customHeight="1" thickBot="1" x14ac:dyDescent="0.25">
      <c r="G41" s="170" t="s">
        <v>248</v>
      </c>
      <c r="H41" s="188"/>
      <c r="I41" s="188"/>
      <c r="J41" s="188"/>
      <c r="K41" s="190">
        <f>IF(ISBLANK(VLOOKUP($K$15,Buildings!$B$2:$AD$153,18,FALSE)),IF(ISBLANK(Data!$P$20),$K$22*BE!N21,Data!$P$20),VLOOKUP($K$15,Buildings!$B$2:$AD$153,18,FALSE))</f>
        <v>18.256352139516082</v>
      </c>
      <c r="L41" s="189"/>
      <c r="M41" s="190">
        <f>IF($M$24=0,0,IF(ISBLANK(Data!P32),BN!L21/$M$24,Data!P32))</f>
        <v>25.75</v>
      </c>
      <c r="N41" s="189"/>
      <c r="O41" s="191">
        <f t="shared" si="1"/>
        <v>18.256352139516082</v>
      </c>
      <c r="Q41" s="17" t="s">
        <v>188</v>
      </c>
      <c r="R41" s="60"/>
      <c r="S41" s="60"/>
      <c r="T41" s="319"/>
      <c r="V41" s="60"/>
      <c r="W41" s="60"/>
      <c r="X41" s="60"/>
    </row>
    <row r="42" spans="2:26" ht="15" customHeight="1" thickBot="1" x14ac:dyDescent="0.25">
      <c r="G42" s="170" t="s">
        <v>249</v>
      </c>
      <c r="H42" s="188"/>
      <c r="I42" s="188"/>
      <c r="J42" s="188"/>
      <c r="K42" s="190">
        <f>IF(ISBLANK(VLOOKUP($K$15,Buildings!$B$2:$AD$153,19,FALSE)),IF(ISBLANK(Data!$P$21),$K$22*BE!N22,Data!$P$21),VLOOKUP($K$15,Buildings!$B$2:$AD$153,19,FALSE))</f>
        <v>18.256352139516082</v>
      </c>
      <c r="L42" s="189"/>
      <c r="M42" s="190">
        <f>IF($M$24=0,0,IF(ISBLANK(Data!P33),BN!L22/$M$24,Data!P33))</f>
        <v>25.75</v>
      </c>
      <c r="N42" s="189"/>
      <c r="O42" s="191">
        <f t="shared" si="1"/>
        <v>18.256352139516082</v>
      </c>
      <c r="Q42" s="17" t="s">
        <v>20</v>
      </c>
      <c r="R42" s="60"/>
      <c r="S42" s="60"/>
      <c r="T42" s="320"/>
      <c r="V42" s="69"/>
      <c r="W42" s="60"/>
      <c r="X42" s="60"/>
    </row>
    <row r="43" spans="2:26" ht="15" customHeight="1" thickBot="1" x14ac:dyDescent="0.25">
      <c r="G43" s="170" t="s">
        <v>432</v>
      </c>
      <c r="H43" s="188"/>
      <c r="I43" s="188"/>
      <c r="J43" s="188"/>
      <c r="K43" s="190">
        <f>IF(ISBLANK(VLOOKUP($K$15,Buildings!$B$2:$AD$153,20,FALSE)),IF(ISBLANK(Data!$P$22),$K$22*BE!N23,Data!$P$22),VLOOKUP($K$15,Buildings!$B$2:$AD$153,20,FALSE))</f>
        <v>18.256352139516082</v>
      </c>
      <c r="L43" s="189"/>
      <c r="M43" s="190">
        <f>IF($M$24=0,0,IF(ISBLANK(Data!P34),BN!L23/$M$24,Data!P34))</f>
        <v>25.75</v>
      </c>
      <c r="N43" s="189"/>
      <c r="O43" s="191">
        <f t="shared" si="1"/>
        <v>18.256352139516082</v>
      </c>
      <c r="Q43" s="17" t="s">
        <v>433</v>
      </c>
      <c r="R43" s="61"/>
      <c r="S43" s="60"/>
      <c r="T43" s="758"/>
      <c r="V43" s="60"/>
      <c r="W43" s="69"/>
      <c r="X43" s="69"/>
    </row>
    <row r="44" spans="2:26" ht="15" customHeight="1" thickBot="1" x14ac:dyDescent="0.25">
      <c r="G44" s="170" t="s">
        <v>365</v>
      </c>
      <c r="H44" s="188"/>
      <c r="I44" s="188"/>
      <c r="J44" s="188"/>
      <c r="K44" s="190">
        <f>IF(ISBLANK(VLOOKUP($K$15,Buildings!$B$2:$AD$153,21,FALSE)),IF(ISBLANK(Data!$P$23),$K$22*BE!N24,Data!$P$23),VLOOKUP($K$15,Buildings!$B$2:$AD$153,21,FALSE))</f>
        <v>18.256352139516082</v>
      </c>
      <c r="L44" s="189"/>
      <c r="M44" s="190">
        <f>IF($M$24=0,0,IF(ISBLANK(Data!P35),BN!L24/$M$24,Data!P35))</f>
        <v>25.75</v>
      </c>
      <c r="N44" s="189"/>
      <c r="O44" s="191">
        <f t="shared" si="1"/>
        <v>18.256352139516082</v>
      </c>
      <c r="Q44" s="17" t="s">
        <v>366</v>
      </c>
      <c r="R44" s="61"/>
      <c r="S44" s="60"/>
      <c r="T44" s="321"/>
      <c r="V44" s="60"/>
      <c r="W44" s="69"/>
      <c r="X44" s="69"/>
    </row>
    <row r="45" spans="2:26" ht="15" customHeight="1" x14ac:dyDescent="0.2">
      <c r="V45" s="60"/>
      <c r="W45" s="69"/>
      <c r="X45" s="69"/>
    </row>
    <row r="46" spans="2:26" ht="15" customHeight="1" x14ac:dyDescent="0.2">
      <c r="V46" s="60"/>
      <c r="W46" s="69"/>
      <c r="X46" s="69"/>
    </row>
    <row r="47" spans="2:26" ht="15" customHeight="1" x14ac:dyDescent="0.2">
      <c r="V47" s="60"/>
      <c r="W47" s="69"/>
      <c r="X47" s="69"/>
    </row>
    <row r="48" spans="2:26" ht="15" customHeight="1" x14ac:dyDescent="0.2">
      <c r="V48" s="60"/>
      <c r="W48" s="69"/>
      <c r="X48" s="69"/>
    </row>
    <row r="49" spans="7:24" ht="15" customHeight="1" x14ac:dyDescent="0.2">
      <c r="V49" s="60"/>
      <c r="W49" s="69"/>
      <c r="X49" s="69"/>
    </row>
    <row r="50" spans="7:24" ht="15" customHeight="1" x14ac:dyDescent="0.2">
      <c r="V50" s="60"/>
      <c r="W50" s="69"/>
      <c r="X50" s="69"/>
    </row>
    <row r="62" spans="7:24" ht="15" hidden="1" customHeight="1" x14ac:dyDescent="0.2">
      <c r="G62" s="338" t="s">
        <v>324</v>
      </c>
      <c r="H62" s="420"/>
      <c r="I62" s="420"/>
      <c r="J62" s="420"/>
      <c r="K62" s="420"/>
      <c r="L62" s="420"/>
      <c r="M62" s="420"/>
      <c r="N62" s="420"/>
      <c r="O62" s="420"/>
    </row>
    <row r="63" spans="7:24" ht="15" hidden="1" customHeight="1" thickBot="1" x14ac:dyDescent="0.25">
      <c r="G63" s="418"/>
      <c r="H63" s="419"/>
      <c r="I63" s="419"/>
      <c r="J63" s="419"/>
      <c r="K63" s="419"/>
      <c r="L63" s="419"/>
      <c r="M63" s="419"/>
      <c r="N63" s="419"/>
      <c r="O63" s="419"/>
    </row>
    <row r="64" spans="7:24" ht="15" hidden="1" customHeight="1" thickBot="1" x14ac:dyDescent="0.25">
      <c r="G64" s="189" t="s">
        <v>526</v>
      </c>
      <c r="H64" s="272"/>
      <c r="I64" s="272"/>
      <c r="J64" s="272"/>
      <c r="K64" s="1030" t="str">
        <f>IF(VLOOKUP(K15, Buildings!$B$1:$J$153,9,FALSE)=1,"District heating",IF(VLOOKUP(K15, Buildings!$B$1:$J$153,9,FALSE)=0,"Natural gas","Gas/DH mix"))</f>
        <v>District heating</v>
      </c>
      <c r="L64" s="1031"/>
      <c r="M64" s="1031"/>
      <c r="N64" s="1032"/>
      <c r="O64" s="272"/>
    </row>
    <row r="65" spans="7:15" ht="15" hidden="1" customHeight="1" thickBot="1" x14ac:dyDescent="0.25">
      <c r="G65" s="176" t="s">
        <v>322</v>
      </c>
      <c r="H65" s="272"/>
      <c r="I65" s="272"/>
      <c r="J65" s="272"/>
      <c r="K65" s="273"/>
      <c r="L65" s="273"/>
      <c r="M65" s="273"/>
      <c r="N65" s="273"/>
      <c r="O65" s="416">
        <f>IF(OR(ISNA($K$24),$K$24=0),0,VLOOKUP($K$15,Buildings!$B$2:$AD$153,10,FALSE))</f>
        <v>0.17072999999999999</v>
      </c>
    </row>
    <row r="66" spans="7:15" ht="15" hidden="1" customHeight="1" thickBot="1" x14ac:dyDescent="0.25">
      <c r="G66" s="176" t="s">
        <v>321</v>
      </c>
      <c r="H66" s="272"/>
      <c r="I66" s="272"/>
      <c r="J66" s="272"/>
      <c r="K66" s="274"/>
      <c r="L66" s="274"/>
      <c r="M66" s="273"/>
      <c r="N66" s="273"/>
      <c r="O66" s="416">
        <f>IF(OR(ISNA($K$24),$K$24=0),0,VLOOKUP($K$15,Buildings!$B$2:$AD$153,9,FALSE))</f>
        <v>1</v>
      </c>
    </row>
    <row r="67" spans="7:15" ht="15" hidden="1" customHeight="1" x14ac:dyDescent="0.2"/>
    <row r="68" spans="7:15" ht="15" hidden="1" customHeight="1" x14ac:dyDescent="0.2">
      <c r="G68" s="338" t="s">
        <v>325</v>
      </c>
      <c r="H68" s="308"/>
      <c r="I68" s="308"/>
      <c r="J68" s="308"/>
      <c r="K68" s="308"/>
      <c r="L68" s="308"/>
      <c r="M68" s="308"/>
      <c r="N68" s="308"/>
      <c r="O68" s="308"/>
    </row>
    <row r="69" spans="7:15" ht="15" hidden="1" customHeight="1" thickBot="1" x14ac:dyDescent="0.25">
      <c r="G69" s="310"/>
      <c r="H69" s="310"/>
      <c r="I69" s="310"/>
      <c r="J69" s="310"/>
      <c r="K69" s="310"/>
      <c r="L69" s="310"/>
      <c r="M69" s="310"/>
      <c r="N69" s="310"/>
      <c r="O69" s="310"/>
    </row>
    <row r="70" spans="7:15" ht="15" hidden="1" customHeight="1" thickBot="1" x14ac:dyDescent="0.25">
      <c r="G70" s="176" t="s">
        <v>367</v>
      </c>
      <c r="H70" s="188"/>
      <c r="I70" s="188"/>
      <c r="J70" s="188"/>
      <c r="K70" s="190">
        <f>$K$24*K35*Data!$P$178</f>
        <v>0</v>
      </c>
      <c r="L70" s="189"/>
      <c r="M70" s="190">
        <f>IF(OR($K$12="Existing building change",$K$12="Minor building change"),0,$M$24*M35*Data!$P$178)</f>
        <v>0</v>
      </c>
      <c r="N70" s="189"/>
      <c r="O70" s="190">
        <f t="shared" ref="O70:O79" si="2">IF($K$12="Existing building change",K70,IF($K$12="New building",M70,IF($K$12="Major refurbishment",M70,K70+M70)))</f>
        <v>0</v>
      </c>
    </row>
    <row r="71" spans="7:15" ht="15" hidden="1" customHeight="1" thickBot="1" x14ac:dyDescent="0.25">
      <c r="G71" s="176" t="s">
        <v>368</v>
      </c>
      <c r="H71" s="188"/>
      <c r="I71" s="188"/>
      <c r="J71" s="188"/>
      <c r="K71" s="190">
        <f>$K$24*K36*Data!$P$178</f>
        <v>0</v>
      </c>
      <c r="L71" s="189"/>
      <c r="M71" s="190">
        <f>IF(OR($K$12="Existing building change",$K$12="Minor building change"),0,$M$24*M36*Data!$P$178)</f>
        <v>0</v>
      </c>
      <c r="N71" s="189"/>
      <c r="O71" s="190">
        <f t="shared" si="2"/>
        <v>0</v>
      </c>
    </row>
    <row r="72" spans="7:15" ht="15" hidden="1" customHeight="1" thickBot="1" x14ac:dyDescent="0.25">
      <c r="G72" s="176" t="s">
        <v>369</v>
      </c>
      <c r="H72" s="188"/>
      <c r="I72" s="188"/>
      <c r="J72" s="188"/>
      <c r="K72" s="190">
        <f>$K$24*K37*Data!$P$179</f>
        <v>111944.88000000002</v>
      </c>
      <c r="L72" s="188"/>
      <c r="M72" s="190">
        <f>IF(OR($K$12="Existing building change",$K$12="Minor building change"),0,$M$24*M37*Data!$P$179)</f>
        <v>0</v>
      </c>
      <c r="N72" s="188"/>
      <c r="O72" s="190">
        <f t="shared" si="2"/>
        <v>111944.88000000002</v>
      </c>
    </row>
    <row r="73" spans="7:15" ht="15" hidden="1" customHeight="1" thickBot="1" x14ac:dyDescent="0.25">
      <c r="G73" s="176" t="s">
        <v>370</v>
      </c>
      <c r="H73" s="188"/>
      <c r="I73" s="188"/>
      <c r="J73" s="188"/>
      <c r="K73" s="190">
        <f>$K$24*K38*Data!$P$179</f>
        <v>27986.220000000005</v>
      </c>
      <c r="L73" s="188"/>
      <c r="M73" s="190">
        <f>IF(OR($K$12="Existing building change",$K$12="Minor building change"),0,$M$24*M38*Data!$P$179)</f>
        <v>0</v>
      </c>
      <c r="N73" s="188"/>
      <c r="O73" s="190">
        <f t="shared" si="2"/>
        <v>27986.220000000005</v>
      </c>
    </row>
    <row r="74" spans="7:15" ht="15" hidden="1" customHeight="1" thickBot="1" x14ac:dyDescent="0.25">
      <c r="G74" s="176" t="s">
        <v>371</v>
      </c>
      <c r="H74" s="188"/>
      <c r="I74" s="188"/>
      <c r="J74" s="188"/>
      <c r="K74" s="190">
        <f>$K$24*K39*Data!$P$181</f>
        <v>0</v>
      </c>
      <c r="L74" s="189"/>
      <c r="M74" s="190">
        <f>IF(OR($K$12="Existing building change",$K$12="Minor building change"),0,$M$24*M39*Data!$P$181)</f>
        <v>0</v>
      </c>
      <c r="N74" s="189"/>
      <c r="O74" s="190">
        <f t="shared" si="2"/>
        <v>0</v>
      </c>
    </row>
    <row r="75" spans="7:15" ht="15" hidden="1" customHeight="1" thickBot="1" x14ac:dyDescent="0.25">
      <c r="G75" s="176" t="s">
        <v>372</v>
      </c>
      <c r="H75" s="188"/>
      <c r="I75" s="188"/>
      <c r="J75" s="188"/>
      <c r="K75" s="190">
        <f>$K$24*K40*Data!$P$181</f>
        <v>0</v>
      </c>
      <c r="L75" s="189"/>
      <c r="M75" s="190">
        <f>IF(OR($K$12="Existing building change",$K$12="Minor building change"),0,$M$24*M40*Data!$P$181)</f>
        <v>0</v>
      </c>
      <c r="N75" s="189"/>
      <c r="O75" s="190">
        <f t="shared" si="2"/>
        <v>0</v>
      </c>
    </row>
    <row r="76" spans="7:15" ht="15" hidden="1" customHeight="1" thickBot="1" x14ac:dyDescent="0.25">
      <c r="G76" s="176" t="s">
        <v>373</v>
      </c>
      <c r="H76" s="188"/>
      <c r="I76" s="188"/>
      <c r="J76" s="188"/>
      <c r="K76" s="190">
        <f>$K$24*K41*Data!$P$181</f>
        <v>98005.027499999997</v>
      </c>
      <c r="L76" s="189"/>
      <c r="M76" s="190">
        <f>IF(OR($K$12="Existing building change",$K$12="Minor building change"),0,$M$24*M41*Data!$P$181)</f>
        <v>0</v>
      </c>
      <c r="N76" s="189"/>
      <c r="O76" s="190">
        <f t="shared" si="2"/>
        <v>98005.027499999997</v>
      </c>
    </row>
    <row r="77" spans="7:15" ht="15" hidden="1" customHeight="1" thickBot="1" x14ac:dyDescent="0.25">
      <c r="G77" s="176" t="s">
        <v>374</v>
      </c>
      <c r="H77" s="188"/>
      <c r="I77" s="188"/>
      <c r="J77" s="188"/>
      <c r="K77" s="190">
        <f>$K$24*K42*Data!$P$181</f>
        <v>98005.027499999997</v>
      </c>
      <c r="L77" s="189"/>
      <c r="M77" s="190">
        <f>IF(OR($K$12="Existing building change",$K$12="Minor building change"),0,$M$24*M42*Data!$P$181)</f>
        <v>0</v>
      </c>
      <c r="N77" s="189"/>
      <c r="O77" s="190">
        <f t="shared" si="2"/>
        <v>98005.027499999997</v>
      </c>
    </row>
    <row r="78" spans="7:15" ht="15" hidden="1" customHeight="1" thickBot="1" x14ac:dyDescent="0.25">
      <c r="G78" s="176" t="s">
        <v>434</v>
      </c>
      <c r="H78" s="188"/>
      <c r="I78" s="188"/>
      <c r="J78" s="188"/>
      <c r="K78" s="190">
        <f>$K$24*K43*Data!$P$181</f>
        <v>98005.027499999997</v>
      </c>
      <c r="L78" s="189"/>
      <c r="M78" s="190">
        <f>IF(OR($K$12="Existing building change",$K$12="Minor building change"),0,$M$24*M43*Data!$P$181)</f>
        <v>0</v>
      </c>
      <c r="N78" s="189"/>
      <c r="O78" s="190">
        <f t="shared" si="2"/>
        <v>98005.027499999997</v>
      </c>
    </row>
    <row r="79" spans="7:15" ht="15" hidden="1" customHeight="1" thickBot="1" x14ac:dyDescent="0.25">
      <c r="G79" s="176" t="s">
        <v>375</v>
      </c>
      <c r="H79" s="188"/>
      <c r="I79" s="188"/>
      <c r="J79" s="188"/>
      <c r="K79" s="190">
        <f>$K$24*K44*Data!$P$181</f>
        <v>98005.027499999997</v>
      </c>
      <c r="L79" s="189"/>
      <c r="M79" s="190">
        <f>IF(OR($K$12="Existing building change",$K$12="Minor building change"),0,$M$24*M44*Data!$P$181)</f>
        <v>0</v>
      </c>
      <c r="N79" s="189"/>
      <c r="O79" s="190">
        <f t="shared" si="2"/>
        <v>98005.027499999997</v>
      </c>
    </row>
  </sheetData>
  <sheetProtection selectLockedCells="1"/>
  <mergeCells count="20">
    <mergeCell ref="A1:E3"/>
    <mergeCell ref="G1:H3"/>
    <mergeCell ref="B10:D10"/>
    <mergeCell ref="V10:X10"/>
    <mergeCell ref="B7:D7"/>
    <mergeCell ref="Q10:T10"/>
    <mergeCell ref="G5:H7"/>
    <mergeCell ref="W5:X7"/>
    <mergeCell ref="W13:X14"/>
    <mergeCell ref="L14:O14"/>
    <mergeCell ref="K64:N64"/>
    <mergeCell ref="K12:N12"/>
    <mergeCell ref="K15:N15"/>
    <mergeCell ref="Q12:T12"/>
    <mergeCell ref="W33:X34"/>
    <mergeCell ref="W38:X39"/>
    <mergeCell ref="W18:X19"/>
    <mergeCell ref="W23:X24"/>
    <mergeCell ref="W28:X29"/>
    <mergeCell ref="Q33:T33"/>
  </mergeCells>
  <conditionalFormatting sqref="G15:K15">
    <cfRule type="expression" dxfId="484" priority="24">
      <formula>$K$12="New building"</formula>
    </cfRule>
    <cfRule type="expression" dxfId="483" priority="128">
      <formula>OR(ISBLANK($K$12),$K$12="New building")</formula>
    </cfRule>
  </conditionalFormatting>
  <conditionalFormatting sqref="K14">
    <cfRule type="expression" dxfId="482" priority="188">
      <formula>OR(ISBLANK($K$12),$J$13="Simple")</formula>
    </cfRule>
  </conditionalFormatting>
  <conditionalFormatting sqref="K20:K22 K24 K26:K33 K35:K44">
    <cfRule type="expression" dxfId="481" priority="27">
      <formula>$K$12="New building"</formula>
    </cfRule>
  </conditionalFormatting>
  <conditionalFormatting sqref="M20:M22">
    <cfRule type="expression" dxfId="480" priority="4">
      <formula>$K$12="Existing building change"</formula>
    </cfRule>
  </conditionalFormatting>
  <conditionalFormatting sqref="M24 M26:M33">
    <cfRule type="expression" dxfId="479" priority="31">
      <formula>$K$12="Existing building change"</formula>
    </cfRule>
  </conditionalFormatting>
  <conditionalFormatting sqref="M26:M33">
    <cfRule type="expression" dxfId="478" priority="152">
      <formula>OR(SUM($M$26:$M$33)&gt;100,SUM($M$26:$M$33)&lt;100)</formula>
    </cfRule>
  </conditionalFormatting>
  <conditionalFormatting sqref="M35:M44">
    <cfRule type="expression" dxfId="477" priority="26">
      <formula>$K$12="Existing building change"</formula>
    </cfRule>
  </conditionalFormatting>
  <conditionalFormatting sqref="P14:P15">
    <cfRule type="expression" dxfId="476" priority="3">
      <formula>OR(ISBLANK($K$12),$J$13="Simple")</formula>
    </cfRule>
  </conditionalFormatting>
  <conditionalFormatting sqref="P12:T12">
    <cfRule type="expression" dxfId="475" priority="2">
      <formula>NOT($K$12="New building")</formula>
    </cfRule>
  </conditionalFormatting>
  <conditionalFormatting sqref="V10">
    <cfRule type="expression" dxfId="474" priority="6">
      <formula>#REF!="No"</formula>
    </cfRule>
    <cfRule type="expression" dxfId="473" priority="7">
      <formula>#REF!="No"</formula>
    </cfRule>
  </conditionalFormatting>
  <conditionalFormatting sqref="W5">
    <cfRule type="expression" dxfId="472" priority="187">
      <formula>AND($J$13="Complex",$K$14=1)</formula>
    </cfRule>
  </conditionalFormatting>
  <conditionalFormatting sqref="W13">
    <cfRule type="dataBar" priority="14">
      <dataBar showValue="0">
        <cfvo type="num" val="0"/>
        <cfvo type="num" val="23"/>
        <color theme="9" tint="0.39997558519241921"/>
      </dataBar>
      <extLst>
        <ext xmlns:x14="http://schemas.microsoft.com/office/spreadsheetml/2009/9/main" uri="{B025F937-C7B1-47D3-B67F-A62EFF666E3E}">
          <x14:id>{BF566556-BF4D-453D-AF2B-35EB336A4BD8}</x14:id>
        </ext>
      </extLst>
    </cfRule>
  </conditionalFormatting>
  <conditionalFormatting sqref="W18">
    <cfRule type="dataBar" priority="9">
      <dataBar showValue="0">
        <cfvo type="num" val="0"/>
        <cfvo type="num" val="23"/>
        <color theme="9" tint="0.39997558519241921"/>
      </dataBar>
      <extLst>
        <ext xmlns:x14="http://schemas.microsoft.com/office/spreadsheetml/2009/9/main" uri="{B025F937-C7B1-47D3-B67F-A62EFF666E3E}">
          <x14:id>{A6728395-7131-4C74-9E9F-4CEA785BFA5F}</x14:id>
        </ext>
      </extLst>
    </cfRule>
  </conditionalFormatting>
  <conditionalFormatting sqref="W23">
    <cfRule type="dataBar" priority="8">
      <dataBar showValue="0">
        <cfvo type="num" val="0"/>
        <cfvo type="num" val="23"/>
        <color theme="9" tint="0.39997558519241921"/>
      </dataBar>
      <extLst>
        <ext xmlns:x14="http://schemas.microsoft.com/office/spreadsheetml/2009/9/main" uri="{B025F937-C7B1-47D3-B67F-A62EFF666E3E}">
          <x14:id>{8B1629CB-E122-4AFA-84F4-ECFF6D8220AB}</x14:id>
        </ext>
      </extLst>
    </cfRule>
  </conditionalFormatting>
  <conditionalFormatting sqref="W28">
    <cfRule type="dataBar" priority="13">
      <dataBar showValue="0">
        <cfvo type="num" val="0"/>
        <cfvo type="num" val="23"/>
        <color theme="9" tint="0.39997558519241921"/>
      </dataBar>
      <extLst>
        <ext xmlns:x14="http://schemas.microsoft.com/office/spreadsheetml/2009/9/main" uri="{B025F937-C7B1-47D3-B67F-A62EFF666E3E}">
          <x14:id>{9822E5BB-8AB7-4D51-99D3-0D9B3A71E8B1}</x14:id>
        </ext>
      </extLst>
    </cfRule>
  </conditionalFormatting>
  <conditionalFormatting sqref="W33">
    <cfRule type="dataBar" priority="12">
      <dataBar showValue="0">
        <cfvo type="num" val="0"/>
        <cfvo type="num" val="23"/>
        <color theme="9" tint="0.39997558519241921"/>
      </dataBar>
      <extLst>
        <ext xmlns:x14="http://schemas.microsoft.com/office/spreadsheetml/2009/9/main" uri="{B025F937-C7B1-47D3-B67F-A62EFF666E3E}">
          <x14:id>{57401B84-6D91-4352-A8CC-5F8E8A46380D}</x14:id>
        </ext>
      </extLst>
    </cfRule>
  </conditionalFormatting>
  <conditionalFormatting sqref="W38">
    <cfRule type="dataBar" priority="11">
      <dataBar showValue="0">
        <cfvo type="num" val="0"/>
        <cfvo type="num" val="23"/>
        <color theme="9" tint="0.39997558519241921"/>
      </dataBar>
      <extLst>
        <ext xmlns:x14="http://schemas.microsoft.com/office/spreadsheetml/2009/9/main" uri="{B025F937-C7B1-47D3-B67F-A62EFF666E3E}">
          <x14:id>{D95B7D6A-15E2-4082-8BC6-B1E4CAF967FC}</x14:id>
        </ext>
      </extLst>
    </cfRule>
  </conditionalFormatting>
  <conditionalFormatting sqref="W5:X7">
    <cfRule type="expression" dxfId="471" priority="1">
      <formula>IF($K$12="Existing building change",FALSE,IF($K$14=1,TRUE,FALSE))</formula>
    </cfRule>
  </conditionalFormatting>
  <conditionalFormatting sqref="X12">
    <cfRule type="dataBar" priority="15">
      <dataBar showValue="0">
        <cfvo type="percent" val="0"/>
        <cfvo type="percent" val="100"/>
        <color theme="9" tint="0.39997558519241921"/>
      </dataBar>
      <extLst>
        <ext xmlns:x14="http://schemas.microsoft.com/office/spreadsheetml/2009/9/main" uri="{B025F937-C7B1-47D3-B67F-A62EFF666E3E}">
          <x14:id>{AEBA069F-A8C8-4A49-BF5F-EA1C9E14CCD3}</x14:id>
        </ext>
      </extLst>
    </cfRule>
  </conditionalFormatting>
  <conditionalFormatting sqref="X17">
    <cfRule type="dataBar" priority="21">
      <dataBar showValue="0">
        <cfvo type="percent" val="0"/>
        <cfvo type="percent" val="100"/>
        <color theme="9" tint="0.39997558519241921"/>
      </dataBar>
      <extLst>
        <ext xmlns:x14="http://schemas.microsoft.com/office/spreadsheetml/2009/9/main" uri="{B025F937-C7B1-47D3-B67F-A62EFF666E3E}">
          <x14:id>{B63A26FF-C34C-458B-B4DA-073995C168F9}</x14:id>
        </ext>
      </extLst>
    </cfRule>
  </conditionalFormatting>
  <conditionalFormatting sqref="X22">
    <cfRule type="dataBar" priority="20">
      <dataBar showValue="0">
        <cfvo type="percent" val="0"/>
        <cfvo type="percent" val="100"/>
        <color theme="9" tint="0.39997558519241921"/>
      </dataBar>
      <extLst>
        <ext xmlns:x14="http://schemas.microsoft.com/office/spreadsheetml/2009/9/main" uri="{B025F937-C7B1-47D3-B67F-A62EFF666E3E}">
          <x14:id>{FFA6D079-F34B-4336-A25D-1BD840829BA5}</x14:id>
        </ext>
      </extLst>
    </cfRule>
  </conditionalFormatting>
  <conditionalFormatting sqref="X27">
    <cfRule type="dataBar" priority="19">
      <dataBar showValue="0">
        <cfvo type="percent" val="0"/>
        <cfvo type="percent" val="100"/>
        <color theme="9" tint="0.39997558519241921"/>
      </dataBar>
      <extLst>
        <ext xmlns:x14="http://schemas.microsoft.com/office/spreadsheetml/2009/9/main" uri="{B025F937-C7B1-47D3-B67F-A62EFF666E3E}">
          <x14:id>{7906F08A-7C77-48A3-BF4F-23FBE5B101D3}</x14:id>
        </ext>
      </extLst>
    </cfRule>
  </conditionalFormatting>
  <conditionalFormatting sqref="X32">
    <cfRule type="dataBar" priority="18">
      <dataBar showValue="0">
        <cfvo type="percent" val="0"/>
        <cfvo type="percent" val="100"/>
        <color theme="9" tint="0.39997558519241921"/>
      </dataBar>
      <extLst>
        <ext xmlns:x14="http://schemas.microsoft.com/office/spreadsheetml/2009/9/main" uri="{B025F937-C7B1-47D3-B67F-A62EFF666E3E}">
          <x14:id>{08B74F03-1C3C-4E55-BE03-9EE78207D998}</x14:id>
        </ext>
      </extLst>
    </cfRule>
  </conditionalFormatting>
  <conditionalFormatting sqref="X37">
    <cfRule type="dataBar" priority="17">
      <dataBar showValue="0">
        <cfvo type="percent" val="0"/>
        <cfvo type="percent" val="100"/>
        <color theme="9" tint="0.39997558519241921"/>
      </dataBar>
      <extLst>
        <ext xmlns:x14="http://schemas.microsoft.com/office/spreadsheetml/2009/9/main" uri="{B025F937-C7B1-47D3-B67F-A62EFF666E3E}">
          <x14:id>{AAB207B9-FC33-47B9-B8FE-C36ADAF4F9C1}</x14:id>
        </ext>
      </extLst>
    </cfRule>
  </conditionalFormatting>
  <conditionalFormatting sqref="X42">
    <cfRule type="dataBar" priority="16">
      <dataBar showValue="0">
        <cfvo type="percent" val="0"/>
        <cfvo type="percent" val="100"/>
        <color theme="9" tint="0.39997558519241921"/>
      </dataBar>
      <extLst>
        <ext xmlns:x14="http://schemas.microsoft.com/office/spreadsheetml/2009/9/main" uri="{B025F937-C7B1-47D3-B67F-A62EFF666E3E}">
          <x14:id>{4D69F75F-7741-4009-BA03-CE7C73DEE13D}</x14:id>
        </ext>
      </extLst>
    </cfRule>
  </conditionalFormatting>
  <dataValidations xWindow="877" yWindow="409" count="3">
    <dataValidation allowBlank="1" showDropDown="1" showInputMessage="1" showErrorMessage="1" sqref="M26:M33" xr:uid="{00000000-0002-0000-0100-000000000000}"/>
    <dataValidation type="list" allowBlank="1" showInputMessage="1" showErrorMessage="1" sqref="K12" xr:uid="{00000000-0002-0000-0100-000001000000}">
      <formula1>"Existing building change, Major refurbishment, Extension, New building"</formula1>
    </dataValidation>
    <dataValidation type="list" allowBlank="1" showErrorMessage="1" sqref="K14" xr:uid="{00000000-0002-0000-0100-000002000000}">
      <formula1>"1,2,3"</formula1>
    </dataValidation>
  </dataValidations>
  <hyperlinks>
    <hyperlink ref="G5:H7" location="Home!A1" display="Back" xr:uid="{00000000-0004-0000-0100-000000000000}"/>
    <hyperlink ref="B12" location="Step1!A1" display="Step 1" xr:uid="{00000000-0004-0000-0100-000001000000}"/>
    <hyperlink ref="B10" location="Home!A1" display="HOME" xr:uid="{00000000-0004-0000-0100-000002000000}"/>
    <hyperlink ref="B18" location="Data!A1" display="DATA" xr:uid="{00000000-0004-0000-0100-000003000000}"/>
  </hyperlinks>
  <pageMargins left="0.25" right="0.25" top="0.75" bottom="0.75" header="0.3" footer="0.3"/>
  <pageSetup paperSize="8" scale="97"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dataBar" id="{BF566556-BF4D-453D-AF2B-35EB336A4BD8}">
            <x14:dataBar minLength="0" maxLength="100" gradient="0">
              <x14:cfvo type="num">
                <xm:f>0</xm:f>
              </x14:cfvo>
              <x14:cfvo type="num">
                <xm:f>23</xm:f>
              </x14:cfvo>
              <x14:negativeFillColor rgb="FFFF0000"/>
              <x14:axisColor rgb="FF000000"/>
            </x14:dataBar>
          </x14:cfRule>
          <xm:sqref>W13</xm:sqref>
        </x14:conditionalFormatting>
        <x14:conditionalFormatting xmlns:xm="http://schemas.microsoft.com/office/excel/2006/main">
          <x14:cfRule type="dataBar" id="{A6728395-7131-4C74-9E9F-4CEA785BFA5F}">
            <x14:dataBar minLength="0" maxLength="100" gradient="0">
              <x14:cfvo type="num">
                <xm:f>0</xm:f>
              </x14:cfvo>
              <x14:cfvo type="num">
                <xm:f>23</xm:f>
              </x14:cfvo>
              <x14:negativeFillColor rgb="FFFF0000"/>
              <x14:axisColor rgb="FF000000"/>
            </x14:dataBar>
          </x14:cfRule>
          <xm:sqref>W18</xm:sqref>
        </x14:conditionalFormatting>
        <x14:conditionalFormatting xmlns:xm="http://schemas.microsoft.com/office/excel/2006/main">
          <x14:cfRule type="dataBar" id="{8B1629CB-E122-4AFA-84F4-ECFF6D8220AB}">
            <x14:dataBar minLength="0" maxLength="100" gradient="0">
              <x14:cfvo type="num">
                <xm:f>0</xm:f>
              </x14:cfvo>
              <x14:cfvo type="num">
                <xm:f>23</xm:f>
              </x14:cfvo>
              <x14:negativeFillColor rgb="FFFF0000"/>
              <x14:axisColor rgb="FF000000"/>
            </x14:dataBar>
          </x14:cfRule>
          <xm:sqref>W23</xm:sqref>
        </x14:conditionalFormatting>
        <x14:conditionalFormatting xmlns:xm="http://schemas.microsoft.com/office/excel/2006/main">
          <x14:cfRule type="dataBar" id="{9822E5BB-8AB7-4D51-99D3-0D9B3A71E8B1}">
            <x14:dataBar minLength="0" maxLength="100" gradient="0">
              <x14:cfvo type="num">
                <xm:f>0</xm:f>
              </x14:cfvo>
              <x14:cfvo type="num">
                <xm:f>23</xm:f>
              </x14:cfvo>
              <x14:negativeFillColor rgb="FFFF0000"/>
              <x14:axisColor rgb="FF000000"/>
            </x14:dataBar>
          </x14:cfRule>
          <xm:sqref>W28</xm:sqref>
        </x14:conditionalFormatting>
        <x14:conditionalFormatting xmlns:xm="http://schemas.microsoft.com/office/excel/2006/main">
          <x14:cfRule type="dataBar" id="{57401B84-6D91-4352-A8CC-5F8E8A46380D}">
            <x14:dataBar minLength="0" maxLength="100" gradient="0">
              <x14:cfvo type="num">
                <xm:f>0</xm:f>
              </x14:cfvo>
              <x14:cfvo type="num">
                <xm:f>23</xm:f>
              </x14:cfvo>
              <x14:negativeFillColor rgb="FFFF0000"/>
              <x14:axisColor rgb="FF000000"/>
            </x14:dataBar>
          </x14:cfRule>
          <xm:sqref>W33</xm:sqref>
        </x14:conditionalFormatting>
        <x14:conditionalFormatting xmlns:xm="http://schemas.microsoft.com/office/excel/2006/main">
          <x14:cfRule type="dataBar" id="{D95B7D6A-15E2-4082-8BC6-B1E4CAF967FC}">
            <x14:dataBar minLength="0" maxLength="100" gradient="0">
              <x14:cfvo type="num">
                <xm:f>0</xm:f>
              </x14:cfvo>
              <x14:cfvo type="num">
                <xm:f>23</xm:f>
              </x14:cfvo>
              <x14:negativeFillColor rgb="FFFF0000"/>
              <x14:axisColor rgb="FF000000"/>
            </x14:dataBar>
          </x14:cfRule>
          <xm:sqref>W38</xm:sqref>
        </x14:conditionalFormatting>
        <x14:conditionalFormatting xmlns:xm="http://schemas.microsoft.com/office/excel/2006/main">
          <x14:cfRule type="dataBar" id="{AEBA069F-A8C8-4A49-BF5F-EA1C9E14CCD3}">
            <x14:dataBar minLength="0" maxLength="100" gradient="0">
              <x14:cfvo type="percent">
                <xm:f>0</xm:f>
              </x14:cfvo>
              <x14:cfvo type="percent">
                <xm:f>100</xm:f>
              </x14:cfvo>
              <x14:negativeFillColor rgb="FFFF0000"/>
              <x14:axisColor rgb="FF000000"/>
            </x14:dataBar>
          </x14:cfRule>
          <xm:sqref>X12</xm:sqref>
        </x14:conditionalFormatting>
        <x14:conditionalFormatting xmlns:xm="http://schemas.microsoft.com/office/excel/2006/main">
          <x14:cfRule type="dataBar" id="{B63A26FF-C34C-458B-B4DA-073995C168F9}">
            <x14:dataBar minLength="0" maxLength="100" gradient="0">
              <x14:cfvo type="percent">
                <xm:f>0</xm:f>
              </x14:cfvo>
              <x14:cfvo type="percent">
                <xm:f>100</xm:f>
              </x14:cfvo>
              <x14:negativeFillColor rgb="FFFF0000"/>
              <x14:axisColor rgb="FF000000"/>
            </x14:dataBar>
          </x14:cfRule>
          <xm:sqref>X17</xm:sqref>
        </x14:conditionalFormatting>
        <x14:conditionalFormatting xmlns:xm="http://schemas.microsoft.com/office/excel/2006/main">
          <x14:cfRule type="dataBar" id="{FFA6D079-F34B-4336-A25D-1BD840829BA5}">
            <x14:dataBar minLength="0" maxLength="100" gradient="0">
              <x14:cfvo type="percent">
                <xm:f>0</xm:f>
              </x14:cfvo>
              <x14:cfvo type="percent">
                <xm:f>100</xm:f>
              </x14:cfvo>
              <x14:negativeFillColor rgb="FFFF0000"/>
              <x14:axisColor rgb="FF000000"/>
            </x14:dataBar>
          </x14:cfRule>
          <xm:sqref>X22</xm:sqref>
        </x14:conditionalFormatting>
        <x14:conditionalFormatting xmlns:xm="http://schemas.microsoft.com/office/excel/2006/main">
          <x14:cfRule type="dataBar" id="{7906F08A-7C77-48A3-BF4F-23FBE5B101D3}">
            <x14:dataBar minLength="0" maxLength="100" gradient="0">
              <x14:cfvo type="percent">
                <xm:f>0</xm:f>
              </x14:cfvo>
              <x14:cfvo type="percent">
                <xm:f>100</xm:f>
              </x14:cfvo>
              <x14:negativeFillColor rgb="FFFF0000"/>
              <x14:axisColor rgb="FF000000"/>
            </x14:dataBar>
          </x14:cfRule>
          <xm:sqref>X27</xm:sqref>
        </x14:conditionalFormatting>
        <x14:conditionalFormatting xmlns:xm="http://schemas.microsoft.com/office/excel/2006/main">
          <x14:cfRule type="dataBar" id="{08B74F03-1C3C-4E55-BE03-9EE78207D998}">
            <x14:dataBar minLength="0" maxLength="100" gradient="0">
              <x14:cfvo type="percent">
                <xm:f>0</xm:f>
              </x14:cfvo>
              <x14:cfvo type="percent">
                <xm:f>100</xm:f>
              </x14:cfvo>
              <x14:negativeFillColor rgb="FFFF0000"/>
              <x14:axisColor rgb="FF000000"/>
            </x14:dataBar>
          </x14:cfRule>
          <xm:sqref>X32</xm:sqref>
        </x14:conditionalFormatting>
        <x14:conditionalFormatting xmlns:xm="http://schemas.microsoft.com/office/excel/2006/main">
          <x14:cfRule type="dataBar" id="{AAB207B9-FC33-47B9-B8FE-C36ADAF4F9C1}">
            <x14:dataBar minLength="0" maxLength="100" gradient="0">
              <x14:cfvo type="percent">
                <xm:f>0</xm:f>
              </x14:cfvo>
              <x14:cfvo type="percent">
                <xm:f>100</xm:f>
              </x14:cfvo>
              <x14:negativeFillColor rgb="FFFF0000"/>
              <x14:axisColor rgb="FF000000"/>
            </x14:dataBar>
          </x14:cfRule>
          <xm:sqref>X37</xm:sqref>
        </x14:conditionalFormatting>
        <x14:conditionalFormatting xmlns:xm="http://schemas.microsoft.com/office/excel/2006/main">
          <x14:cfRule type="dataBar" id="{4D69F75F-7741-4009-BA03-CE7C73DEE13D}">
            <x14:dataBar minLength="0" maxLength="100" gradient="0">
              <x14:cfvo type="percent">
                <xm:f>0</xm:f>
              </x14:cfvo>
              <x14:cfvo type="percent">
                <xm:f>100</xm:f>
              </x14:cfvo>
              <x14:negativeFillColor rgb="FFFF0000"/>
              <x14:axisColor rgb="FF000000"/>
            </x14:dataBar>
          </x14:cfRule>
          <xm:sqref>X42</xm:sqref>
        </x14:conditionalFormatting>
      </x14:conditionalFormattings>
    </ext>
    <ext xmlns:x14="http://schemas.microsoft.com/office/spreadsheetml/2009/9/main" uri="{CCE6A557-97BC-4b89-ADB6-D9C93CAAB3DF}">
      <x14:dataValidations xmlns:xm="http://schemas.microsoft.com/office/excel/2006/main" xWindow="877" yWindow="409" count="1">
        <x14:dataValidation type="list" allowBlank="1" showInputMessage="1" showErrorMessage="1" xr:uid="{00000000-0002-0000-0100-000003000000}">
          <x14:formula1>
            <xm:f>Buildings!$B$2:$B$153</xm:f>
          </x14:formula1>
          <xm:sqref>K15:N15</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6"/>
  <dimension ref="A1:AD168"/>
  <sheetViews>
    <sheetView zoomScaleNormal="100" zoomScaleSheetLayoutView="55" workbookViewId="0">
      <selection activeCell="N13" sqref="N13"/>
    </sheetView>
  </sheetViews>
  <sheetFormatPr defaultColWidth="20.7109375" defaultRowHeight="15" customHeight="1" x14ac:dyDescent="0.2"/>
  <cols>
    <col min="1" max="1" width="5.7109375" style="474" customWidth="1"/>
    <col min="2" max="2" width="36.28515625" style="474" customWidth="1"/>
    <col min="3" max="3" width="11.5703125" style="474" customWidth="1"/>
    <col min="4" max="4" width="11.42578125" style="474" customWidth="1"/>
    <col min="5" max="5" width="11.42578125" style="475" customWidth="1"/>
    <col min="6" max="6" width="11.42578125" style="474" customWidth="1"/>
    <col min="7" max="9" width="14.140625" style="471" customWidth="1"/>
    <col min="10" max="12" width="14.140625" style="469" customWidth="1"/>
    <col min="13" max="13" width="20.7109375" style="470" customWidth="1"/>
    <col min="14" max="14" width="20.7109375" style="470"/>
    <col min="15" max="16" width="20.7109375" style="468" customWidth="1"/>
    <col min="17" max="27" width="20.7109375" style="468"/>
    <col min="28" max="28" width="20.7109375" style="470"/>
    <col min="29" max="30" width="20.7109375" style="468"/>
    <col min="31" max="16384" width="20.7109375" style="473"/>
  </cols>
  <sheetData>
    <row r="1" spans="1:30" s="467" customFormat="1" ht="60" customHeight="1" x14ac:dyDescent="0.25">
      <c r="A1" s="466" t="s">
        <v>198</v>
      </c>
      <c r="B1" s="466" t="s">
        <v>180</v>
      </c>
      <c r="C1" s="466" t="s">
        <v>181</v>
      </c>
      <c r="D1" s="466" t="s">
        <v>196</v>
      </c>
      <c r="E1" s="466" t="s">
        <v>693</v>
      </c>
      <c r="F1" s="985" t="s">
        <v>199</v>
      </c>
      <c r="G1" s="981" t="s">
        <v>414</v>
      </c>
      <c r="H1" s="981" t="s">
        <v>415</v>
      </c>
      <c r="I1" s="981" t="s">
        <v>416</v>
      </c>
      <c r="J1" s="981" t="s">
        <v>795</v>
      </c>
      <c r="K1" s="981" t="s">
        <v>318</v>
      </c>
      <c r="L1" s="981" t="s">
        <v>319</v>
      </c>
      <c r="M1" s="981" t="s">
        <v>270</v>
      </c>
      <c r="N1" s="981" t="s">
        <v>243</v>
      </c>
      <c r="O1" s="981" t="s">
        <v>245</v>
      </c>
      <c r="P1" s="981" t="s">
        <v>244</v>
      </c>
      <c r="Q1" s="981" t="s">
        <v>246</v>
      </c>
      <c r="R1" s="981" t="s">
        <v>247</v>
      </c>
      <c r="S1" s="981" t="s">
        <v>248</v>
      </c>
      <c r="T1" s="981" t="s">
        <v>249</v>
      </c>
      <c r="U1" s="981" t="s">
        <v>250</v>
      </c>
      <c r="V1" s="981" t="s">
        <v>269</v>
      </c>
      <c r="W1" s="982" t="s">
        <v>234</v>
      </c>
      <c r="X1" s="982" t="s">
        <v>235</v>
      </c>
      <c r="Y1" s="982" t="s">
        <v>236</v>
      </c>
      <c r="Z1" s="982" t="s">
        <v>237</v>
      </c>
      <c r="AA1" s="982" t="s">
        <v>238</v>
      </c>
      <c r="AB1" s="982" t="s">
        <v>239</v>
      </c>
      <c r="AC1" s="982" t="s">
        <v>240</v>
      </c>
      <c r="AD1" s="982" t="s">
        <v>241</v>
      </c>
    </row>
    <row r="2" spans="1:30" ht="15" customHeight="1" x14ac:dyDescent="0.2">
      <c r="A2" s="474">
        <v>456</v>
      </c>
      <c r="B2" s="474" t="s">
        <v>821</v>
      </c>
      <c r="D2" s="989" t="s">
        <v>788</v>
      </c>
      <c r="E2" s="991">
        <v>1170.4000000000001</v>
      </c>
      <c r="F2" s="988">
        <v>60</v>
      </c>
      <c r="G2" s="992">
        <v>122775</v>
      </c>
      <c r="H2" s="992">
        <v>0</v>
      </c>
      <c r="I2" s="992">
        <v>0</v>
      </c>
      <c r="J2" s="469">
        <f>H2/(G2+H2)</f>
        <v>0</v>
      </c>
      <c r="K2" s="469">
        <f>(J2*Data!$P$172)+((1-J2)*Data!$P$171)</f>
        <v>0.184</v>
      </c>
      <c r="L2" s="469">
        <f>(J2*Data!$P$179)+((1-K2)*Data!$P$178)</f>
        <v>7.3440000000000005E-2</v>
      </c>
    </row>
    <row r="3" spans="1:30" s="1018" customFormat="1" ht="15" customHeight="1" x14ac:dyDescent="0.2">
      <c r="A3" s="989">
        <v>203</v>
      </c>
      <c r="B3" s="989" t="s">
        <v>744</v>
      </c>
      <c r="C3" s="989" t="s">
        <v>128</v>
      </c>
      <c r="D3" s="989" t="s">
        <v>785</v>
      </c>
      <c r="E3" s="991">
        <v>703.7</v>
      </c>
      <c r="F3" s="988">
        <v>168</v>
      </c>
      <c r="G3" s="992">
        <v>0</v>
      </c>
      <c r="H3" s="992">
        <v>0</v>
      </c>
      <c r="I3" s="992">
        <v>38727.699999999997</v>
      </c>
      <c r="J3" s="469" t="e">
        <f>H3/(G3+H3)</f>
        <v>#DIV/0!</v>
      </c>
      <c r="K3" s="469" t="e">
        <f>(J3*Data!$P$172)+((1-J3)*Data!$P$171)</f>
        <v>#DIV/0!</v>
      </c>
      <c r="L3" s="469" t="e">
        <f>(J3*Data!$P$179)+((1-K3)*Data!$P$178)</f>
        <v>#DIV/0!</v>
      </c>
      <c r="M3" s="470"/>
      <c r="N3" s="470"/>
      <c r="O3" s="470"/>
      <c r="P3" s="471"/>
      <c r="Q3" s="471"/>
      <c r="R3" s="472"/>
      <c r="S3" s="468"/>
      <c r="T3" s="468"/>
      <c r="U3" s="468"/>
      <c r="V3" s="468"/>
      <c r="W3" s="468">
        <v>0</v>
      </c>
      <c r="X3" s="470">
        <v>0</v>
      </c>
      <c r="Y3" s="470">
        <v>0</v>
      </c>
      <c r="Z3" s="470">
        <v>0</v>
      </c>
      <c r="AA3" s="470">
        <v>0</v>
      </c>
      <c r="AB3" s="470">
        <v>100</v>
      </c>
      <c r="AC3" s="470">
        <v>0</v>
      </c>
      <c r="AD3" s="470">
        <v>0</v>
      </c>
    </row>
    <row r="4" spans="1:30" ht="15" customHeight="1" x14ac:dyDescent="0.2">
      <c r="A4" s="989">
        <v>86</v>
      </c>
      <c r="B4" s="989" t="s">
        <v>75</v>
      </c>
      <c r="C4" s="989" t="s">
        <v>76</v>
      </c>
      <c r="D4" s="989" t="s">
        <v>692</v>
      </c>
      <c r="E4" s="991">
        <v>17317</v>
      </c>
      <c r="F4" s="988">
        <v>67</v>
      </c>
      <c r="G4" s="992">
        <v>0</v>
      </c>
      <c r="H4" s="992">
        <v>1554790</v>
      </c>
      <c r="I4" s="992">
        <v>1264581</v>
      </c>
      <c r="J4" s="469">
        <f>H4/(G4+H4)</f>
        <v>1</v>
      </c>
      <c r="K4" s="469">
        <f>(J4*Data!$P$172)+((1-J4)*Data!$P$171)</f>
        <v>0.17072999999999999</v>
      </c>
      <c r="L4" s="469">
        <f>(J4*Data!$P$179)+((1-K4)*Data!$P$178)</f>
        <v>0.16463429999999998</v>
      </c>
      <c r="O4" s="470"/>
      <c r="P4" s="471"/>
      <c r="Q4" s="471"/>
      <c r="R4" s="472"/>
      <c r="W4" s="468">
        <v>0</v>
      </c>
      <c r="X4" s="470">
        <v>0</v>
      </c>
      <c r="Y4" s="470">
        <v>0</v>
      </c>
      <c r="Z4" s="470">
        <v>0</v>
      </c>
      <c r="AA4" s="470">
        <v>0</v>
      </c>
      <c r="AB4" s="470">
        <v>0</v>
      </c>
      <c r="AC4" s="470">
        <v>0</v>
      </c>
      <c r="AD4" s="470">
        <v>100</v>
      </c>
    </row>
    <row r="5" spans="1:30" s="1018" customFormat="1" ht="15" customHeight="1" x14ac:dyDescent="0.2">
      <c r="A5" s="989">
        <v>48</v>
      </c>
      <c r="B5" s="989" t="s">
        <v>56</v>
      </c>
      <c r="C5" s="989" t="s">
        <v>708</v>
      </c>
      <c r="D5" s="989" t="s">
        <v>692</v>
      </c>
      <c r="E5" s="991">
        <v>1598.5</v>
      </c>
      <c r="F5" s="988">
        <v>84</v>
      </c>
      <c r="G5" s="992">
        <v>0</v>
      </c>
      <c r="H5" s="992">
        <v>101040</v>
      </c>
      <c r="I5" s="992">
        <v>279228</v>
      </c>
      <c r="J5" s="469">
        <f>H5/(G5+H5)</f>
        <v>1</v>
      </c>
      <c r="K5" s="469">
        <f>(J5*Data!$P$172)+((1-J5)*Data!$P$171)</f>
        <v>0.17072999999999999</v>
      </c>
      <c r="L5" s="469">
        <f>(J5*Data!$P$179)+((1-K5)*Data!$P$178)</f>
        <v>0.16463429999999998</v>
      </c>
      <c r="M5" s="470"/>
      <c r="N5" s="470"/>
      <c r="O5" s="470"/>
      <c r="P5" s="471"/>
      <c r="Q5" s="471"/>
      <c r="R5" s="472"/>
      <c r="S5" s="468"/>
      <c r="T5" s="468"/>
      <c r="U5" s="468"/>
      <c r="V5" s="468"/>
      <c r="W5" s="468">
        <v>0</v>
      </c>
      <c r="X5" s="470">
        <v>0</v>
      </c>
      <c r="Y5" s="470">
        <v>0</v>
      </c>
      <c r="Z5" s="470">
        <v>0</v>
      </c>
      <c r="AA5" s="470">
        <v>0</v>
      </c>
      <c r="AB5" s="470">
        <v>0</v>
      </c>
      <c r="AC5" s="470">
        <v>0</v>
      </c>
      <c r="AD5" s="470">
        <v>100</v>
      </c>
    </row>
    <row r="6" spans="1:30" ht="15" customHeight="1" x14ac:dyDescent="0.2">
      <c r="A6" s="989">
        <v>35</v>
      </c>
      <c r="B6" s="989" t="s">
        <v>46</v>
      </c>
      <c r="C6" s="989" t="s">
        <v>47</v>
      </c>
      <c r="D6" s="989" t="s">
        <v>692</v>
      </c>
      <c r="E6" s="991">
        <v>1619.9</v>
      </c>
      <c r="F6" s="988">
        <v>60</v>
      </c>
      <c r="G6" s="992">
        <v>87709</v>
      </c>
      <c r="H6" s="992">
        <v>0</v>
      </c>
      <c r="I6" s="992">
        <v>69383.178541292145</v>
      </c>
      <c r="J6" s="469">
        <f>H6/(G6+H6)</f>
        <v>0</v>
      </c>
      <c r="K6" s="469">
        <f>(J6*Data!$P$172)+((1-J6)*Data!$P$171)</f>
        <v>0.184</v>
      </c>
      <c r="L6" s="469">
        <f>(J6*Data!$P$179)+((1-K6)*Data!$P$178)</f>
        <v>7.3440000000000005E-2</v>
      </c>
      <c r="O6" s="470"/>
      <c r="P6" s="471"/>
      <c r="Q6" s="471"/>
      <c r="R6" s="472"/>
      <c r="W6" s="468">
        <v>0</v>
      </c>
      <c r="X6" s="470">
        <v>0</v>
      </c>
      <c r="Y6" s="470">
        <v>0</v>
      </c>
      <c r="Z6" s="470">
        <v>0</v>
      </c>
      <c r="AA6" s="470">
        <v>0</v>
      </c>
      <c r="AB6" s="470">
        <v>0</v>
      </c>
      <c r="AC6" s="470">
        <v>0</v>
      </c>
      <c r="AD6" s="470">
        <v>100</v>
      </c>
    </row>
    <row r="7" spans="1:30" ht="15" customHeight="1" x14ac:dyDescent="0.2">
      <c r="A7" s="474">
        <v>457</v>
      </c>
      <c r="B7" s="474" t="s">
        <v>822</v>
      </c>
      <c r="D7" s="989" t="s">
        <v>788</v>
      </c>
      <c r="E7" s="991">
        <v>2512.8000000000002</v>
      </c>
      <c r="F7" s="988">
        <v>60</v>
      </c>
      <c r="G7" s="992">
        <v>0</v>
      </c>
      <c r="H7" s="992">
        <v>0</v>
      </c>
      <c r="I7" s="992">
        <v>461392</v>
      </c>
      <c r="J7" s="469" t="e">
        <f>H7/(G7+H7)</f>
        <v>#DIV/0!</v>
      </c>
      <c r="K7" s="469" t="e">
        <f>(J7*Data!$P$172)+((1-J7)*Data!$P$171)</f>
        <v>#DIV/0!</v>
      </c>
      <c r="L7" s="469" t="e">
        <f>(J7*Data!$P$179)+((1-K7)*Data!$P$178)</f>
        <v>#DIV/0!</v>
      </c>
    </row>
    <row r="8" spans="1:30" ht="15" customHeight="1" x14ac:dyDescent="0.2">
      <c r="A8" s="989">
        <v>33</v>
      </c>
      <c r="B8" s="989" t="s">
        <v>703</v>
      </c>
      <c r="C8" s="989" t="s">
        <v>701</v>
      </c>
      <c r="D8" s="989" t="s">
        <v>692</v>
      </c>
      <c r="E8" s="991">
        <v>469.5</v>
      </c>
      <c r="F8" s="988">
        <v>60</v>
      </c>
      <c r="G8" s="992">
        <v>42508.723426331569</v>
      </c>
      <c r="H8" s="992">
        <v>0</v>
      </c>
      <c r="I8" s="992">
        <v>21077.509190299741</v>
      </c>
      <c r="J8" s="469">
        <f>H8/(G8+H8)</f>
        <v>0</v>
      </c>
      <c r="K8" s="469">
        <f>(J8*Data!$P$172)+((1-J8)*Data!$P$171)</f>
        <v>0.184</v>
      </c>
      <c r="L8" s="469">
        <f>(J8*Data!$P$179)+((1-K8)*Data!$P$178)</f>
        <v>7.3440000000000005E-2</v>
      </c>
      <c r="O8" s="470"/>
      <c r="P8" s="471"/>
      <c r="Q8" s="471"/>
      <c r="R8" s="472"/>
      <c r="W8" s="468">
        <v>0</v>
      </c>
      <c r="X8" s="470">
        <v>0</v>
      </c>
      <c r="Y8" s="470">
        <v>0</v>
      </c>
      <c r="Z8" s="470">
        <v>0</v>
      </c>
      <c r="AA8" s="470">
        <v>0</v>
      </c>
      <c r="AB8" s="470">
        <v>0</v>
      </c>
      <c r="AC8" s="470">
        <v>0</v>
      </c>
      <c r="AD8" s="470">
        <v>100</v>
      </c>
    </row>
    <row r="9" spans="1:30" ht="15" customHeight="1" x14ac:dyDescent="0.2">
      <c r="A9" s="989">
        <v>32</v>
      </c>
      <c r="B9" s="989" t="s">
        <v>702</v>
      </c>
      <c r="C9" s="989" t="s">
        <v>701</v>
      </c>
      <c r="D9" s="989" t="s">
        <v>692</v>
      </c>
      <c r="E9" s="991">
        <v>568.29999999999995</v>
      </c>
      <c r="F9" s="988">
        <v>60</v>
      </c>
      <c r="G9" s="992">
        <v>39115.744178003231</v>
      </c>
      <c r="H9" s="992">
        <v>0</v>
      </c>
      <c r="I9" s="992">
        <v>21885.723905785671</v>
      </c>
      <c r="J9" s="469">
        <f>H9/(G9+H9)</f>
        <v>0</v>
      </c>
      <c r="K9" s="469">
        <f>(J9*Data!$P$172)+((1-J9)*Data!$P$171)</f>
        <v>0.184</v>
      </c>
      <c r="L9" s="469">
        <f>(J9*Data!$P$179)+((1-K9)*Data!$P$178)</f>
        <v>7.3440000000000005E-2</v>
      </c>
      <c r="O9" s="470"/>
      <c r="P9" s="471"/>
      <c r="Q9" s="471"/>
      <c r="R9" s="472"/>
      <c r="W9" s="468">
        <v>0</v>
      </c>
      <c r="X9" s="470">
        <v>0</v>
      </c>
      <c r="Y9" s="470">
        <v>0</v>
      </c>
      <c r="Z9" s="470">
        <v>0</v>
      </c>
      <c r="AA9" s="470">
        <v>0</v>
      </c>
      <c r="AB9" s="470">
        <v>0</v>
      </c>
      <c r="AC9" s="470">
        <v>0</v>
      </c>
      <c r="AD9" s="470">
        <v>100</v>
      </c>
    </row>
    <row r="10" spans="1:30" ht="15" customHeight="1" x14ac:dyDescent="0.2">
      <c r="A10" s="989">
        <v>30</v>
      </c>
      <c r="B10" s="989" t="s">
        <v>700</v>
      </c>
      <c r="C10" s="989" t="s">
        <v>701</v>
      </c>
      <c r="D10" s="989" t="s">
        <v>692</v>
      </c>
      <c r="E10" s="991">
        <v>467.3</v>
      </c>
      <c r="F10" s="988">
        <v>60</v>
      </c>
      <c r="G10" s="992">
        <v>43283.266082545539</v>
      </c>
      <c r="H10" s="992">
        <v>0</v>
      </c>
      <c r="I10" s="992">
        <v>21314.95080162894</v>
      </c>
      <c r="J10" s="469">
        <f>H10/(G10+H10)</f>
        <v>0</v>
      </c>
      <c r="K10" s="469">
        <f>(J10*Data!$P$172)+((1-J10)*Data!$P$171)</f>
        <v>0.184</v>
      </c>
      <c r="L10" s="469">
        <f>(J10*Data!$P$179)+((1-K10)*Data!$P$178)</f>
        <v>7.3440000000000005E-2</v>
      </c>
      <c r="O10" s="470"/>
      <c r="P10" s="471"/>
      <c r="Q10" s="471"/>
      <c r="R10" s="472"/>
      <c r="W10" s="468">
        <v>0</v>
      </c>
      <c r="X10" s="470">
        <v>0</v>
      </c>
      <c r="Y10" s="470">
        <v>0</v>
      </c>
      <c r="Z10" s="470">
        <v>0</v>
      </c>
      <c r="AA10" s="470">
        <v>0</v>
      </c>
      <c r="AB10" s="470">
        <v>0</v>
      </c>
      <c r="AC10" s="470">
        <v>0</v>
      </c>
      <c r="AD10" s="470">
        <v>100</v>
      </c>
    </row>
    <row r="11" spans="1:30" ht="15" customHeight="1" x14ac:dyDescent="0.2">
      <c r="A11" s="989">
        <v>29</v>
      </c>
      <c r="B11" s="989" t="s">
        <v>699</v>
      </c>
      <c r="C11" s="989" t="s">
        <v>47</v>
      </c>
      <c r="D11" s="989" t="s">
        <v>692</v>
      </c>
      <c r="E11" s="991">
        <v>502.5</v>
      </c>
      <c r="F11" s="988">
        <v>60</v>
      </c>
      <c r="G11" s="992">
        <v>37821.266313119668</v>
      </c>
      <c r="H11" s="992">
        <v>0</v>
      </c>
      <c r="I11" s="992">
        <v>22945.078787100563</v>
      </c>
      <c r="J11" s="469">
        <f>H11/(G11+H11)</f>
        <v>0</v>
      </c>
      <c r="K11" s="469">
        <f>(J11*Data!$P$172)+((1-J11)*Data!$P$171)</f>
        <v>0.184</v>
      </c>
      <c r="L11" s="469">
        <f>(J11*Data!$P$179)+((1-K11)*Data!$P$178)</f>
        <v>7.3440000000000005E-2</v>
      </c>
      <c r="O11" s="470"/>
      <c r="P11" s="471"/>
      <c r="Q11" s="471"/>
      <c r="R11" s="472"/>
      <c r="W11" s="468">
        <v>0</v>
      </c>
      <c r="X11" s="470">
        <v>0</v>
      </c>
      <c r="Y11" s="470">
        <v>0</v>
      </c>
      <c r="Z11" s="470">
        <v>0</v>
      </c>
      <c r="AA11" s="470">
        <v>0</v>
      </c>
      <c r="AB11" s="470">
        <v>0</v>
      </c>
      <c r="AC11" s="470">
        <v>0</v>
      </c>
      <c r="AD11" s="470">
        <v>100</v>
      </c>
    </row>
    <row r="12" spans="1:30" ht="15" customHeight="1" x14ac:dyDescent="0.2">
      <c r="A12" s="989">
        <v>150</v>
      </c>
      <c r="B12" s="989" t="s">
        <v>103</v>
      </c>
      <c r="C12" s="989" t="s">
        <v>104</v>
      </c>
      <c r="D12" s="989" t="s">
        <v>692</v>
      </c>
      <c r="E12" s="991">
        <v>2143.1999999999998</v>
      </c>
      <c r="F12" s="988">
        <v>84</v>
      </c>
      <c r="G12" s="992">
        <v>693678</v>
      </c>
      <c r="H12" s="992">
        <v>0</v>
      </c>
      <c r="I12" s="992">
        <v>218850</v>
      </c>
      <c r="J12" s="469">
        <f>H12/(G12+H12)</f>
        <v>0</v>
      </c>
      <c r="K12" s="469">
        <f>(J12*Data!$P$172)+((1-J12)*Data!$P$171)</f>
        <v>0.184</v>
      </c>
      <c r="L12" s="469">
        <f>(J12*Data!$P$179)+((1-K12)*Data!$P$178)</f>
        <v>7.3440000000000005E-2</v>
      </c>
      <c r="O12" s="470"/>
      <c r="P12" s="471"/>
      <c r="Q12" s="471"/>
      <c r="R12" s="472"/>
      <c r="W12" s="468">
        <v>0</v>
      </c>
      <c r="X12" s="470">
        <v>0</v>
      </c>
      <c r="Y12" s="470">
        <v>0</v>
      </c>
      <c r="Z12" s="470">
        <v>0</v>
      </c>
      <c r="AA12" s="470">
        <v>0</v>
      </c>
      <c r="AB12" s="470">
        <v>0</v>
      </c>
      <c r="AC12" s="470">
        <v>0</v>
      </c>
      <c r="AD12" s="470">
        <v>100</v>
      </c>
    </row>
    <row r="13" spans="1:30" ht="15" customHeight="1" x14ac:dyDescent="0.2">
      <c r="A13" s="989">
        <v>28</v>
      </c>
      <c r="B13" s="989" t="s">
        <v>698</v>
      </c>
      <c r="C13" s="989" t="s">
        <v>47</v>
      </c>
      <c r="D13" s="989" t="s">
        <v>692</v>
      </c>
      <c r="E13" s="991">
        <v>488.3</v>
      </c>
      <c r="F13" s="988">
        <v>60</v>
      </c>
      <c r="G13" s="992">
        <v>21465.597874915398</v>
      </c>
      <c r="H13" s="992">
        <v>0</v>
      </c>
      <c r="I13" s="992">
        <v>22173.393550280663</v>
      </c>
      <c r="J13" s="469">
        <f>H13/(G13+H13)</f>
        <v>0</v>
      </c>
      <c r="K13" s="469">
        <f>(J13*Data!$P$172)+((1-J13)*Data!$P$171)</f>
        <v>0.184</v>
      </c>
      <c r="L13" s="469">
        <f>(J13*Data!$P$179)+((1-K13)*Data!$P$178)</f>
        <v>7.3440000000000005E-2</v>
      </c>
      <c r="O13" s="470"/>
      <c r="P13" s="471"/>
      <c r="Q13" s="471"/>
      <c r="R13" s="472"/>
      <c r="W13" s="468">
        <v>0</v>
      </c>
      <c r="X13" s="470">
        <v>0</v>
      </c>
      <c r="Y13" s="470">
        <v>0</v>
      </c>
      <c r="Z13" s="470">
        <v>0</v>
      </c>
      <c r="AA13" s="470">
        <v>0</v>
      </c>
      <c r="AB13" s="470">
        <v>0</v>
      </c>
      <c r="AC13" s="470">
        <v>0</v>
      </c>
      <c r="AD13" s="470">
        <v>100</v>
      </c>
    </row>
    <row r="14" spans="1:30" ht="15" customHeight="1" x14ac:dyDescent="0.2">
      <c r="A14" s="989">
        <v>26</v>
      </c>
      <c r="B14" s="989" t="s">
        <v>697</v>
      </c>
      <c r="C14" s="989" t="s">
        <v>47</v>
      </c>
      <c r="D14" s="989" t="s">
        <v>692</v>
      </c>
      <c r="E14" s="991">
        <v>497.1</v>
      </c>
      <c r="F14" s="988">
        <v>60</v>
      </c>
      <c r="G14" s="992">
        <v>26280.236713093062</v>
      </c>
      <c r="H14" s="992">
        <v>0</v>
      </c>
      <c r="I14" s="992">
        <v>22698.504806104855</v>
      </c>
      <c r="J14" s="469">
        <f>H14/(G14+H14)</f>
        <v>0</v>
      </c>
      <c r="K14" s="469">
        <f>(J14*Data!$P$172)+((1-J14)*Data!$P$171)</f>
        <v>0.184</v>
      </c>
      <c r="L14" s="469">
        <f>(J14*Data!$P$179)+((1-K14)*Data!$P$178)</f>
        <v>7.3440000000000005E-2</v>
      </c>
      <c r="O14" s="470"/>
      <c r="P14" s="471"/>
      <c r="Q14" s="471"/>
      <c r="R14" s="472"/>
      <c r="W14" s="468">
        <v>0</v>
      </c>
      <c r="X14" s="470">
        <v>0</v>
      </c>
      <c r="Y14" s="470">
        <v>0</v>
      </c>
      <c r="Z14" s="470">
        <v>0</v>
      </c>
      <c r="AA14" s="470">
        <v>0</v>
      </c>
      <c r="AB14" s="470">
        <v>0</v>
      </c>
      <c r="AC14" s="470">
        <v>0</v>
      </c>
      <c r="AD14" s="470">
        <v>100</v>
      </c>
    </row>
    <row r="15" spans="1:30" ht="15" customHeight="1" x14ac:dyDescent="0.2">
      <c r="A15" s="989">
        <v>25</v>
      </c>
      <c r="B15" s="989" t="s">
        <v>696</v>
      </c>
      <c r="C15" s="989" t="s">
        <v>47</v>
      </c>
      <c r="D15" s="989" t="s">
        <v>692</v>
      </c>
      <c r="E15" s="991">
        <v>503.2</v>
      </c>
      <c r="F15" s="988">
        <v>60</v>
      </c>
      <c r="G15" s="992">
        <v>17968.967528871202</v>
      </c>
      <c r="H15" s="992">
        <v>0</v>
      </c>
      <c r="I15" s="992">
        <v>22977.042080933341</v>
      </c>
      <c r="J15" s="469">
        <f>H15/(G15+H15)</f>
        <v>0</v>
      </c>
      <c r="K15" s="469">
        <f>(J15*Data!$P$172)+((1-J15)*Data!$P$171)</f>
        <v>0.184</v>
      </c>
      <c r="L15" s="469">
        <f>(J15*Data!$P$179)+((1-K15)*Data!$P$178)</f>
        <v>7.3440000000000005E-2</v>
      </c>
      <c r="O15" s="470"/>
      <c r="P15" s="471"/>
      <c r="Q15" s="471"/>
      <c r="R15" s="472"/>
      <c r="W15" s="468">
        <v>0</v>
      </c>
      <c r="X15" s="470">
        <v>0</v>
      </c>
      <c r="Y15" s="470">
        <v>0</v>
      </c>
      <c r="Z15" s="470">
        <v>0</v>
      </c>
      <c r="AA15" s="470">
        <v>0</v>
      </c>
      <c r="AB15" s="470">
        <v>0</v>
      </c>
      <c r="AC15" s="470">
        <v>0</v>
      </c>
      <c r="AD15" s="470">
        <v>100</v>
      </c>
    </row>
    <row r="16" spans="1:30" ht="15" customHeight="1" x14ac:dyDescent="0.2">
      <c r="A16" s="989">
        <v>2</v>
      </c>
      <c r="B16" s="989" t="s">
        <v>694</v>
      </c>
      <c r="C16" s="989" t="s">
        <v>35</v>
      </c>
      <c r="D16" s="989" t="s">
        <v>786</v>
      </c>
      <c r="E16" s="991">
        <v>5174.1000000000004</v>
      </c>
      <c r="F16" s="988">
        <v>95</v>
      </c>
      <c r="G16" s="992">
        <v>0</v>
      </c>
      <c r="H16" s="992">
        <v>451854.54545454547</v>
      </c>
      <c r="I16" s="992">
        <v>240980</v>
      </c>
      <c r="J16" s="469">
        <f>H16/(G16+H16)</f>
        <v>1</v>
      </c>
      <c r="K16" s="469">
        <f>(J16*Data!$P$172)+((1-J16)*Data!$P$171)</f>
        <v>0.17072999999999999</v>
      </c>
      <c r="L16" s="469">
        <f>(J16*Data!$P$179)+((1-K16)*Data!$P$178)</f>
        <v>0.16463429999999998</v>
      </c>
      <c r="O16" s="470"/>
      <c r="P16" s="471"/>
      <c r="Q16" s="471"/>
      <c r="R16" s="472"/>
      <c r="W16" s="468">
        <v>0</v>
      </c>
      <c r="X16" s="470">
        <v>0</v>
      </c>
      <c r="Y16" s="470">
        <v>0</v>
      </c>
      <c r="Z16" s="470">
        <v>0</v>
      </c>
      <c r="AA16" s="470">
        <v>0</v>
      </c>
      <c r="AB16" s="470">
        <v>0</v>
      </c>
      <c r="AC16" s="470">
        <v>100</v>
      </c>
      <c r="AD16" s="470">
        <v>0</v>
      </c>
    </row>
    <row r="17" spans="1:30" ht="15" customHeight="1" x14ac:dyDescent="0.2">
      <c r="A17" s="989">
        <v>85</v>
      </c>
      <c r="B17" s="989" t="s">
        <v>74</v>
      </c>
      <c r="C17" s="989" t="s">
        <v>721</v>
      </c>
      <c r="D17" s="989" t="s">
        <v>787</v>
      </c>
      <c r="E17" s="991">
        <v>8218.5</v>
      </c>
      <c r="F17" s="988">
        <v>67</v>
      </c>
      <c r="G17" s="992">
        <v>0</v>
      </c>
      <c r="H17" s="992">
        <v>778450.85208518768</v>
      </c>
      <c r="I17" s="992">
        <v>1375420.5</v>
      </c>
      <c r="J17" s="469">
        <f>H17/(G17+H17)</f>
        <v>1</v>
      </c>
      <c r="K17" s="469">
        <f>(J17*Data!$P$172)+((1-J17)*Data!$P$171)</f>
        <v>0.17072999999999999</v>
      </c>
      <c r="L17" s="469">
        <f>(J17*Data!$P$179)+((1-K17)*Data!$P$178)</f>
        <v>0.16463429999999998</v>
      </c>
      <c r="O17" s="470"/>
      <c r="P17" s="471"/>
      <c r="Q17" s="471"/>
      <c r="R17" s="472"/>
      <c r="W17" s="468">
        <v>0</v>
      </c>
      <c r="X17" s="470">
        <v>0</v>
      </c>
      <c r="Y17" s="470">
        <v>0</v>
      </c>
      <c r="Z17" s="470">
        <v>50</v>
      </c>
      <c r="AA17" s="470">
        <v>0</v>
      </c>
      <c r="AB17" s="470">
        <v>0</v>
      </c>
      <c r="AC17" s="470">
        <v>0</v>
      </c>
      <c r="AD17" s="470">
        <v>50</v>
      </c>
    </row>
    <row r="18" spans="1:30" ht="15" customHeight="1" x14ac:dyDescent="0.2">
      <c r="A18" s="989">
        <v>24</v>
      </c>
      <c r="B18" s="989" t="s">
        <v>695</v>
      </c>
      <c r="C18" s="989" t="s">
        <v>47</v>
      </c>
      <c r="D18" s="989" t="s">
        <v>692</v>
      </c>
      <c r="E18" s="991">
        <v>535.79999999999995</v>
      </c>
      <c r="F18" s="988">
        <v>60</v>
      </c>
      <c r="G18" s="992">
        <v>20881.197883120352</v>
      </c>
      <c r="H18" s="992">
        <v>0</v>
      </c>
      <c r="I18" s="992">
        <v>24465.618336574091</v>
      </c>
      <c r="J18" s="469">
        <f>H18/(G18+H18)</f>
        <v>0</v>
      </c>
      <c r="K18" s="469">
        <f>(J18*Data!$P$172)+((1-J18)*Data!$P$171)</f>
        <v>0.184</v>
      </c>
      <c r="L18" s="469">
        <f>(J18*Data!$P$179)+((1-K18)*Data!$P$178)</f>
        <v>7.3440000000000005E-2</v>
      </c>
      <c r="O18" s="470"/>
      <c r="P18" s="471"/>
      <c r="Q18" s="471"/>
      <c r="R18" s="472"/>
      <c r="W18" s="468">
        <v>0</v>
      </c>
      <c r="X18" s="470">
        <v>0</v>
      </c>
      <c r="Y18" s="470">
        <v>0</v>
      </c>
      <c r="Z18" s="470">
        <v>0</v>
      </c>
      <c r="AA18" s="470">
        <v>0</v>
      </c>
      <c r="AB18" s="470">
        <v>0</v>
      </c>
      <c r="AC18" s="470">
        <v>0</v>
      </c>
      <c r="AD18" s="470">
        <v>100</v>
      </c>
    </row>
    <row r="19" spans="1:30" ht="15" customHeight="1" x14ac:dyDescent="0.2">
      <c r="A19" s="989">
        <v>134</v>
      </c>
      <c r="B19" s="989" t="s">
        <v>813</v>
      </c>
      <c r="C19" s="989" t="s">
        <v>814</v>
      </c>
      <c r="D19" s="989" t="s">
        <v>788</v>
      </c>
      <c r="E19" s="991">
        <v>1497.6</v>
      </c>
      <c r="F19" s="988">
        <v>60</v>
      </c>
      <c r="G19" s="992">
        <v>117131</v>
      </c>
      <c r="H19" s="992">
        <v>0</v>
      </c>
      <c r="I19" s="992">
        <v>66795.199999999997</v>
      </c>
      <c r="J19" s="469">
        <f>H19/(G19+H19)</f>
        <v>0</v>
      </c>
      <c r="K19" s="469">
        <f>(J19*Data!$P$172)+((1-J19)*Data!$P$171)</f>
        <v>0.184</v>
      </c>
      <c r="L19" s="469">
        <f>(J19*Data!$P$179)+((1-K19)*Data!$P$178)</f>
        <v>7.3440000000000005E-2</v>
      </c>
      <c r="O19" s="470"/>
      <c r="P19" s="471"/>
      <c r="Q19" s="471"/>
      <c r="R19" s="472"/>
      <c r="W19" s="468">
        <v>0</v>
      </c>
      <c r="X19" s="470">
        <v>100</v>
      </c>
      <c r="Y19" s="470">
        <v>0</v>
      </c>
      <c r="Z19" s="470">
        <v>0</v>
      </c>
      <c r="AA19" s="470">
        <v>0</v>
      </c>
      <c r="AB19" s="470">
        <v>0</v>
      </c>
      <c r="AC19" s="470">
        <v>0</v>
      </c>
      <c r="AD19" s="470">
        <v>0</v>
      </c>
    </row>
    <row r="20" spans="1:30" ht="15" customHeight="1" x14ac:dyDescent="0.2">
      <c r="A20" s="474">
        <v>467</v>
      </c>
      <c r="B20" s="474" t="s">
        <v>825</v>
      </c>
      <c r="D20" s="989" t="s">
        <v>788</v>
      </c>
      <c r="E20" s="991">
        <v>2555.6699999999996</v>
      </c>
      <c r="F20" s="988">
        <v>60</v>
      </c>
      <c r="G20" s="992">
        <v>0</v>
      </c>
      <c r="H20" s="992">
        <v>0</v>
      </c>
      <c r="I20" s="992">
        <v>157283.66666666666</v>
      </c>
    </row>
    <row r="21" spans="1:30" ht="15" customHeight="1" x14ac:dyDescent="0.2">
      <c r="A21" s="989">
        <v>405</v>
      </c>
      <c r="B21" s="474" t="s">
        <v>827</v>
      </c>
      <c r="D21" s="989" t="s">
        <v>791</v>
      </c>
      <c r="E21" s="991">
        <v>1260</v>
      </c>
      <c r="F21" s="988">
        <v>37</v>
      </c>
      <c r="G21" s="992">
        <v>0</v>
      </c>
      <c r="H21" s="992">
        <v>0</v>
      </c>
      <c r="I21" s="992">
        <v>209155.6</v>
      </c>
      <c r="O21" s="470"/>
      <c r="X21" s="470"/>
      <c r="Y21" s="470"/>
      <c r="Z21" s="470"/>
      <c r="AA21" s="470"/>
      <c r="AC21" s="470"/>
      <c r="AD21" s="470"/>
    </row>
    <row r="22" spans="1:30" ht="15" customHeight="1" x14ac:dyDescent="0.2">
      <c r="A22" s="989">
        <v>116</v>
      </c>
      <c r="B22" s="990" t="s">
        <v>724</v>
      </c>
      <c r="C22" s="990" t="s">
        <v>725</v>
      </c>
      <c r="D22" s="989" t="s">
        <v>692</v>
      </c>
      <c r="E22" s="991">
        <v>491.8</v>
      </c>
      <c r="F22" s="988">
        <v>60</v>
      </c>
      <c r="G22" s="992">
        <v>0</v>
      </c>
      <c r="H22" s="992">
        <v>0</v>
      </c>
      <c r="I22" s="992">
        <v>36025.800000000003</v>
      </c>
      <c r="J22" s="469" t="e">
        <f>H22/(G22+H22)</f>
        <v>#DIV/0!</v>
      </c>
      <c r="K22" s="469" t="e">
        <f>(J22*Data!$P$172)+((1-J22)*Data!$P$171)</f>
        <v>#DIV/0!</v>
      </c>
      <c r="L22" s="469" t="e">
        <f>(J22*Data!$P$179)+((1-K22)*Data!$P$178)</f>
        <v>#DIV/0!</v>
      </c>
      <c r="O22" s="470"/>
      <c r="P22" s="471"/>
      <c r="Q22" s="471"/>
      <c r="R22" s="472"/>
      <c r="W22" s="468">
        <v>0</v>
      </c>
      <c r="X22" s="470">
        <v>0</v>
      </c>
      <c r="Y22" s="470">
        <v>0</v>
      </c>
      <c r="Z22" s="470">
        <v>0</v>
      </c>
      <c r="AA22" s="470">
        <v>0</v>
      </c>
      <c r="AB22" s="470">
        <v>0</v>
      </c>
      <c r="AC22" s="470">
        <v>0</v>
      </c>
      <c r="AD22" s="470">
        <v>100</v>
      </c>
    </row>
    <row r="23" spans="1:30" ht="15" customHeight="1" x14ac:dyDescent="0.2">
      <c r="A23" s="989">
        <v>371</v>
      </c>
      <c r="B23" s="474" t="s">
        <v>166</v>
      </c>
      <c r="C23" s="474" t="s">
        <v>167</v>
      </c>
      <c r="D23" s="989" t="s">
        <v>788</v>
      </c>
      <c r="E23" s="991">
        <v>1653.5</v>
      </c>
      <c r="F23" s="988">
        <v>67</v>
      </c>
      <c r="G23" s="992">
        <v>198648</v>
      </c>
      <c r="H23" s="992">
        <v>0</v>
      </c>
      <c r="I23" s="992">
        <v>67740.7</v>
      </c>
      <c r="J23" s="469">
        <f>H23/(G23+H23)</f>
        <v>0</v>
      </c>
      <c r="K23" s="469">
        <f>(J23*Data!$P$172)+((1-J23)*Data!$P$171)</f>
        <v>0.184</v>
      </c>
      <c r="L23" s="469">
        <f>(J23*Data!$P$179)+((1-K23)*Data!$P$178)</f>
        <v>7.3440000000000005E-2</v>
      </c>
      <c r="O23" s="470"/>
      <c r="W23" s="468">
        <v>100</v>
      </c>
      <c r="X23" s="470">
        <v>0</v>
      </c>
      <c r="Y23" s="470">
        <v>0</v>
      </c>
      <c r="Z23" s="470">
        <v>0</v>
      </c>
      <c r="AA23" s="470">
        <v>0</v>
      </c>
      <c r="AB23" s="470">
        <v>0</v>
      </c>
      <c r="AC23" s="470">
        <v>0</v>
      </c>
      <c r="AD23" s="470">
        <v>0</v>
      </c>
    </row>
    <row r="24" spans="1:30" ht="15" customHeight="1" x14ac:dyDescent="0.2">
      <c r="A24" s="989">
        <v>87</v>
      </c>
      <c r="B24" s="990" t="s">
        <v>77</v>
      </c>
      <c r="C24" s="990" t="s">
        <v>73</v>
      </c>
      <c r="D24" s="989" t="s">
        <v>692</v>
      </c>
      <c r="E24" s="991">
        <v>2135.3000000000002</v>
      </c>
      <c r="F24" s="988">
        <v>168</v>
      </c>
      <c r="G24" s="992">
        <v>87996</v>
      </c>
      <c r="H24" s="992">
        <v>0</v>
      </c>
      <c r="I24" s="992">
        <v>285242</v>
      </c>
      <c r="J24" s="469">
        <f>H24/(G24+H24)</f>
        <v>0</v>
      </c>
      <c r="K24" s="469">
        <f>(J24*Data!$P$172)+((1-J24)*Data!$P$171)</f>
        <v>0.184</v>
      </c>
      <c r="L24" s="469">
        <f>(J24*Data!$P$179)+((1-K24)*Data!$P$178)</f>
        <v>7.3440000000000005E-2</v>
      </c>
      <c r="O24" s="470"/>
      <c r="P24" s="471"/>
      <c r="Q24" s="471"/>
      <c r="R24" s="472"/>
      <c r="W24" s="468">
        <v>0</v>
      </c>
      <c r="X24" s="470">
        <v>0</v>
      </c>
      <c r="Y24" s="470">
        <v>0</v>
      </c>
      <c r="Z24" s="470">
        <v>0</v>
      </c>
      <c r="AA24" s="470">
        <v>0</v>
      </c>
      <c r="AB24" s="470">
        <v>0</v>
      </c>
      <c r="AC24" s="470">
        <v>0</v>
      </c>
      <c r="AD24" s="470">
        <v>100</v>
      </c>
    </row>
    <row r="25" spans="1:30" ht="15" customHeight="1" x14ac:dyDescent="0.2">
      <c r="A25" s="989">
        <v>148</v>
      </c>
      <c r="B25" s="989" t="s">
        <v>101</v>
      </c>
      <c r="C25" s="989" t="s">
        <v>102</v>
      </c>
      <c r="D25" s="989" t="s">
        <v>788</v>
      </c>
      <c r="E25" s="991">
        <v>855.5</v>
      </c>
      <c r="F25" s="988">
        <v>50</v>
      </c>
      <c r="G25" s="992">
        <v>0</v>
      </c>
      <c r="H25" s="992">
        <v>0</v>
      </c>
      <c r="I25" s="992">
        <v>132172.40000000002</v>
      </c>
      <c r="J25" s="469" t="e">
        <f>H25/(G25+H25)</f>
        <v>#DIV/0!</v>
      </c>
      <c r="K25" s="469" t="e">
        <f>(J25*Data!$P$172)+((1-J25)*Data!$P$171)</f>
        <v>#DIV/0!</v>
      </c>
      <c r="L25" s="469" t="e">
        <f>(J25*Data!$P$179)+((1-K25)*Data!$P$178)</f>
        <v>#DIV/0!</v>
      </c>
      <c r="O25" s="470"/>
      <c r="P25" s="471"/>
      <c r="Q25" s="471"/>
      <c r="R25" s="472"/>
      <c r="W25" s="468">
        <v>100</v>
      </c>
      <c r="X25" s="470">
        <v>0</v>
      </c>
      <c r="Y25" s="470">
        <v>0</v>
      </c>
      <c r="Z25" s="470">
        <v>0</v>
      </c>
      <c r="AA25" s="470">
        <v>0</v>
      </c>
      <c r="AB25" s="470">
        <v>0</v>
      </c>
      <c r="AC25" s="470">
        <v>0</v>
      </c>
      <c r="AD25" s="470">
        <v>0</v>
      </c>
    </row>
    <row r="26" spans="1:30" ht="15" customHeight="1" x14ac:dyDescent="0.2">
      <c r="A26" s="474">
        <v>468</v>
      </c>
      <c r="B26" s="474" t="s">
        <v>826</v>
      </c>
      <c r="D26" s="989" t="s">
        <v>788</v>
      </c>
      <c r="E26" s="991">
        <v>317.60000000000002</v>
      </c>
      <c r="F26" s="988">
        <v>67</v>
      </c>
      <c r="G26" s="992">
        <v>0</v>
      </c>
      <c r="H26" s="992">
        <v>0</v>
      </c>
      <c r="I26" s="992">
        <v>135889</v>
      </c>
    </row>
    <row r="27" spans="1:30" ht="15" customHeight="1" x14ac:dyDescent="0.2">
      <c r="A27" s="474">
        <v>442</v>
      </c>
      <c r="B27" s="474" t="s">
        <v>820</v>
      </c>
      <c r="D27" s="989" t="s">
        <v>788</v>
      </c>
      <c r="E27" s="991">
        <v>4368.1000000000004</v>
      </c>
      <c r="F27" s="988">
        <v>60</v>
      </c>
      <c r="G27" s="992">
        <v>0</v>
      </c>
      <c r="H27" s="992">
        <v>0</v>
      </c>
      <c r="I27" s="992">
        <v>576455.33333333337</v>
      </c>
      <c r="J27" s="469" t="e">
        <f>H27/(G27+H27)</f>
        <v>#DIV/0!</v>
      </c>
      <c r="K27" s="469" t="e">
        <f>(J27*Data!$P$172)+((1-J27)*Data!$P$171)</f>
        <v>#DIV/0!</v>
      </c>
      <c r="L27" s="469" t="e">
        <f>(J27*Data!$P$179)+((1-K27)*Data!$P$178)</f>
        <v>#DIV/0!</v>
      </c>
    </row>
    <row r="28" spans="1:30" ht="15" customHeight="1" x14ac:dyDescent="0.2">
      <c r="A28" s="989">
        <v>397</v>
      </c>
      <c r="B28" s="474" t="s">
        <v>819</v>
      </c>
      <c r="D28" s="989" t="s">
        <v>788</v>
      </c>
      <c r="E28" s="991">
        <v>456.9</v>
      </c>
      <c r="F28" s="988">
        <v>60</v>
      </c>
      <c r="G28" s="992">
        <v>198</v>
      </c>
      <c r="H28" s="992">
        <v>0</v>
      </c>
      <c r="I28" s="992">
        <v>40436.699999999997</v>
      </c>
      <c r="J28" s="469">
        <f>H28/(G28+H28)</f>
        <v>0</v>
      </c>
      <c r="K28" s="469">
        <f>(J28*Data!$P$172)+((1-J28)*Data!$P$171)</f>
        <v>0.184</v>
      </c>
      <c r="L28" s="469">
        <f>(J28*Data!$P$179)+((1-K28)*Data!$P$178)</f>
        <v>7.3440000000000005E-2</v>
      </c>
      <c r="O28" s="470"/>
      <c r="W28" s="468">
        <v>0</v>
      </c>
      <c r="X28" s="470">
        <v>0</v>
      </c>
      <c r="Y28" s="470">
        <v>0</v>
      </c>
      <c r="Z28" s="470">
        <v>100</v>
      </c>
      <c r="AA28" s="470">
        <v>0</v>
      </c>
      <c r="AB28" s="470">
        <v>0</v>
      </c>
      <c r="AC28" s="470">
        <v>0</v>
      </c>
      <c r="AD28" s="470">
        <v>0</v>
      </c>
    </row>
    <row r="29" spans="1:30" ht="15" customHeight="1" x14ac:dyDescent="0.2">
      <c r="A29" s="989">
        <v>80</v>
      </c>
      <c r="B29" s="989" t="s">
        <v>72</v>
      </c>
      <c r="C29" s="989" t="s">
        <v>714</v>
      </c>
      <c r="D29" s="989" t="s">
        <v>785</v>
      </c>
      <c r="E29" s="991">
        <v>1367.9</v>
      </c>
      <c r="F29" s="988">
        <v>168</v>
      </c>
      <c r="G29" s="992">
        <v>14077</v>
      </c>
      <c r="H29" s="992">
        <v>0</v>
      </c>
      <c r="I29" s="992">
        <v>162820.60000000003</v>
      </c>
      <c r="J29" s="469">
        <f>H29/(G29+H29)</f>
        <v>0</v>
      </c>
      <c r="K29" s="469">
        <f>(J29*Data!$P$172)+((1-J29)*Data!$P$171)</f>
        <v>0.184</v>
      </c>
      <c r="L29" s="469">
        <f>(J29*Data!$P$179)+((1-K29)*Data!$P$178)</f>
        <v>7.3440000000000005E-2</v>
      </c>
      <c r="O29" s="470"/>
      <c r="P29" s="471"/>
      <c r="Q29" s="471"/>
      <c r="R29" s="472"/>
      <c r="W29" s="468">
        <v>0</v>
      </c>
      <c r="X29" s="470">
        <v>0</v>
      </c>
      <c r="Y29" s="470">
        <v>0</v>
      </c>
      <c r="Z29" s="470">
        <v>0</v>
      </c>
      <c r="AA29" s="470">
        <v>0</v>
      </c>
      <c r="AB29" s="470">
        <v>100</v>
      </c>
      <c r="AC29" s="470">
        <v>0</v>
      </c>
      <c r="AD29" s="470">
        <v>0</v>
      </c>
    </row>
    <row r="30" spans="1:30" ht="15" customHeight="1" x14ac:dyDescent="0.2">
      <c r="A30" s="989">
        <v>244</v>
      </c>
      <c r="B30" s="474" t="s">
        <v>143</v>
      </c>
      <c r="C30" s="474" t="s">
        <v>755</v>
      </c>
      <c r="D30" s="989" t="s">
        <v>692</v>
      </c>
      <c r="E30" s="991">
        <v>2419.5</v>
      </c>
      <c r="F30" s="988">
        <v>67</v>
      </c>
      <c r="G30" s="992">
        <v>149937</v>
      </c>
      <c r="H30" s="992">
        <v>0</v>
      </c>
      <c r="I30" s="992">
        <v>188728</v>
      </c>
      <c r="J30" s="469">
        <f>H30/(G30+H30)</f>
        <v>0</v>
      </c>
      <c r="K30" s="469">
        <f>(J30*Data!$P$172)+((1-J30)*Data!$P$171)</f>
        <v>0.184</v>
      </c>
      <c r="L30" s="469">
        <f>(J30*Data!$P$179)+((1-K30)*Data!$P$178)</f>
        <v>7.3440000000000005E-2</v>
      </c>
      <c r="O30" s="470"/>
      <c r="W30" s="468">
        <v>0</v>
      </c>
      <c r="X30" s="470">
        <v>0</v>
      </c>
      <c r="Y30" s="470">
        <v>0</v>
      </c>
      <c r="Z30" s="470">
        <v>0</v>
      </c>
      <c r="AA30" s="470">
        <v>0</v>
      </c>
      <c r="AB30" s="470">
        <v>0</v>
      </c>
      <c r="AC30" s="470">
        <v>0</v>
      </c>
      <c r="AD30" s="470">
        <v>100</v>
      </c>
    </row>
    <row r="31" spans="1:30" ht="15" customHeight="1" x14ac:dyDescent="0.2">
      <c r="A31" s="989">
        <v>125</v>
      </c>
      <c r="B31" s="989" t="s">
        <v>98</v>
      </c>
      <c r="C31" s="989" t="s">
        <v>34</v>
      </c>
      <c r="D31" s="989" t="s">
        <v>789</v>
      </c>
      <c r="E31" s="991">
        <v>1509.5</v>
      </c>
      <c r="F31" s="988">
        <v>168</v>
      </c>
      <c r="G31" s="992">
        <v>0</v>
      </c>
      <c r="H31" s="992">
        <v>348124.56</v>
      </c>
      <c r="I31" s="992">
        <v>404333.25</v>
      </c>
      <c r="J31" s="469">
        <f>H31/(G31+H31)</f>
        <v>1</v>
      </c>
      <c r="K31" s="469">
        <f>(J31*Data!$P$172)+((1-J31)*Data!$P$171)</f>
        <v>0.17072999999999999</v>
      </c>
      <c r="L31" s="469">
        <f>(J31*Data!$P$179)+((1-K31)*Data!$P$178)</f>
        <v>0.16463429999999998</v>
      </c>
      <c r="O31" s="470"/>
      <c r="P31" s="471"/>
      <c r="Q31" s="471"/>
      <c r="R31" s="472"/>
      <c r="W31" s="468">
        <v>0</v>
      </c>
      <c r="X31" s="470">
        <v>0</v>
      </c>
      <c r="Y31" s="470">
        <v>0</v>
      </c>
      <c r="Z31" s="470">
        <v>100</v>
      </c>
      <c r="AA31" s="470">
        <v>0</v>
      </c>
      <c r="AB31" s="470">
        <v>0</v>
      </c>
      <c r="AC31" s="470">
        <v>0</v>
      </c>
      <c r="AD31" s="470">
        <v>0</v>
      </c>
    </row>
    <row r="32" spans="1:30" ht="15" customHeight="1" x14ac:dyDescent="0.2">
      <c r="A32" s="989">
        <v>66</v>
      </c>
      <c r="B32" s="989" t="s">
        <v>66</v>
      </c>
      <c r="C32" s="989" t="s">
        <v>65</v>
      </c>
      <c r="D32" s="989" t="s">
        <v>785</v>
      </c>
      <c r="E32" s="991">
        <v>2181.4</v>
      </c>
      <c r="F32" s="988">
        <v>168</v>
      </c>
      <c r="G32" s="992">
        <v>0</v>
      </c>
      <c r="H32" s="992">
        <v>0</v>
      </c>
      <c r="I32" s="992">
        <v>68198.996173756459</v>
      </c>
      <c r="J32" s="469" t="e">
        <f>H32/(G32+H32)</f>
        <v>#DIV/0!</v>
      </c>
      <c r="K32" s="469" t="e">
        <f>(J32*Data!$P$172)+((1-J32)*Data!$P$171)</f>
        <v>#DIV/0!</v>
      </c>
      <c r="L32" s="469" t="e">
        <f>(J32*Data!$P$179)+((1-K32)*Data!$P$178)</f>
        <v>#DIV/0!</v>
      </c>
      <c r="O32" s="470"/>
      <c r="P32" s="471"/>
      <c r="Q32" s="471"/>
      <c r="R32" s="472"/>
      <c r="W32" s="468">
        <v>0</v>
      </c>
      <c r="X32" s="470">
        <v>0</v>
      </c>
      <c r="Y32" s="470">
        <v>0</v>
      </c>
      <c r="Z32" s="470">
        <v>0</v>
      </c>
      <c r="AA32" s="470">
        <v>0</v>
      </c>
      <c r="AB32" s="470">
        <v>100</v>
      </c>
      <c r="AC32" s="470">
        <v>0</v>
      </c>
      <c r="AD32" s="470">
        <v>0</v>
      </c>
    </row>
    <row r="33" spans="1:30" ht="15" customHeight="1" x14ac:dyDescent="0.2">
      <c r="A33" s="989">
        <v>207</v>
      </c>
      <c r="B33" s="989" t="s">
        <v>127</v>
      </c>
      <c r="C33" s="989" t="s">
        <v>745</v>
      </c>
      <c r="D33" s="989" t="s">
        <v>785</v>
      </c>
      <c r="E33" s="991">
        <v>3003.9</v>
      </c>
      <c r="F33" s="988">
        <v>168</v>
      </c>
      <c r="G33" s="992">
        <v>497899</v>
      </c>
      <c r="H33" s="992">
        <v>0</v>
      </c>
      <c r="I33" s="992">
        <v>157711.70000000001</v>
      </c>
      <c r="J33" s="469">
        <f>H33/(G33+H33)</f>
        <v>0</v>
      </c>
      <c r="K33" s="469">
        <f>(J33*Data!$P$172)+((1-J33)*Data!$P$171)</f>
        <v>0.184</v>
      </c>
      <c r="L33" s="469">
        <f>(J33*Data!$P$179)+((1-K33)*Data!$P$178)</f>
        <v>7.3440000000000005E-2</v>
      </c>
      <c r="O33" s="470"/>
      <c r="P33" s="471"/>
      <c r="Q33" s="471"/>
      <c r="R33" s="472"/>
      <c r="W33" s="468">
        <v>0</v>
      </c>
      <c r="X33" s="470">
        <v>0</v>
      </c>
      <c r="Y33" s="470">
        <v>0</v>
      </c>
      <c r="Z33" s="470">
        <v>0</v>
      </c>
      <c r="AA33" s="470">
        <v>0</v>
      </c>
      <c r="AB33" s="470">
        <v>100</v>
      </c>
      <c r="AC33" s="470">
        <v>0</v>
      </c>
      <c r="AD33" s="470">
        <v>0</v>
      </c>
    </row>
    <row r="34" spans="1:30" ht="15" customHeight="1" x14ac:dyDescent="0.2">
      <c r="A34" s="989">
        <v>232</v>
      </c>
      <c r="B34" s="474" t="s">
        <v>132</v>
      </c>
      <c r="C34" s="474" t="s">
        <v>133</v>
      </c>
      <c r="D34" s="989" t="s">
        <v>789</v>
      </c>
      <c r="E34" s="991">
        <v>3459.6</v>
      </c>
      <c r="F34" s="988">
        <v>168</v>
      </c>
      <c r="G34" s="992">
        <v>2589846</v>
      </c>
      <c r="H34" s="992">
        <v>0</v>
      </c>
      <c r="I34" s="992">
        <v>3007239</v>
      </c>
      <c r="J34" s="469">
        <f>H34/(G34+H34)</f>
        <v>0</v>
      </c>
      <c r="K34" s="469">
        <f>(J34*Data!$P$172)+((1-J34)*Data!$P$171)</f>
        <v>0.184</v>
      </c>
      <c r="L34" s="469">
        <f>(J34*Data!$P$179)+((1-K34)*Data!$P$178)</f>
        <v>7.3440000000000005E-2</v>
      </c>
      <c r="O34" s="470"/>
      <c r="W34" s="468">
        <v>0</v>
      </c>
      <c r="X34" s="470">
        <v>0</v>
      </c>
      <c r="Y34" s="470">
        <v>0</v>
      </c>
      <c r="Z34" s="470">
        <v>100</v>
      </c>
      <c r="AA34" s="470">
        <v>0</v>
      </c>
      <c r="AB34" s="470">
        <v>0</v>
      </c>
      <c r="AC34" s="470">
        <v>0</v>
      </c>
      <c r="AD34" s="470">
        <v>0</v>
      </c>
    </row>
    <row r="35" spans="1:30" ht="15" customHeight="1" x14ac:dyDescent="0.2">
      <c r="A35" s="989">
        <v>251</v>
      </c>
      <c r="B35" s="474" t="s">
        <v>146</v>
      </c>
      <c r="C35" s="474" t="s">
        <v>147</v>
      </c>
      <c r="D35" s="989" t="s">
        <v>785</v>
      </c>
      <c r="E35" s="991">
        <v>6674.7</v>
      </c>
      <c r="F35" s="988">
        <v>168</v>
      </c>
      <c r="G35" s="992">
        <v>980010</v>
      </c>
      <c r="H35" s="992">
        <v>0</v>
      </c>
      <c r="I35" s="992">
        <v>500328</v>
      </c>
      <c r="J35" s="469">
        <f>H35/(G35+H35)</f>
        <v>0</v>
      </c>
      <c r="K35" s="469">
        <f>(J35*Data!$P$172)+((1-J35)*Data!$P$171)</f>
        <v>0.184</v>
      </c>
      <c r="L35" s="469">
        <f>(J35*Data!$P$179)+((1-K35)*Data!$P$178)</f>
        <v>7.3440000000000005E-2</v>
      </c>
      <c r="O35" s="470"/>
      <c r="W35" s="468">
        <v>0</v>
      </c>
      <c r="X35" s="470">
        <v>0</v>
      </c>
      <c r="Y35" s="470">
        <v>0</v>
      </c>
      <c r="Z35" s="470">
        <v>0</v>
      </c>
      <c r="AA35" s="470">
        <v>0</v>
      </c>
      <c r="AB35" s="470">
        <v>100</v>
      </c>
      <c r="AC35" s="470">
        <v>0</v>
      </c>
      <c r="AD35" s="470">
        <v>0</v>
      </c>
    </row>
    <row r="36" spans="1:30" ht="15" customHeight="1" x14ac:dyDescent="0.2">
      <c r="A36" s="989">
        <v>305</v>
      </c>
      <c r="B36" s="474" t="s">
        <v>761</v>
      </c>
      <c r="C36" s="474" t="s">
        <v>155</v>
      </c>
      <c r="D36" s="989" t="s">
        <v>790</v>
      </c>
      <c r="E36" s="991">
        <v>5390</v>
      </c>
      <c r="F36" s="988">
        <v>40</v>
      </c>
      <c r="G36" s="992">
        <v>315406</v>
      </c>
      <c r="H36" s="992">
        <v>0</v>
      </c>
      <c r="I36" s="992">
        <v>85230</v>
      </c>
      <c r="J36" s="469">
        <f>H36/(G36+H36)</f>
        <v>0</v>
      </c>
      <c r="K36" s="469">
        <f>(J36*Data!$P$172)+((1-J36)*Data!$P$171)</f>
        <v>0.184</v>
      </c>
      <c r="L36" s="469">
        <f>(J36*Data!$P$179)+((1-K36)*Data!$P$178)</f>
        <v>7.3440000000000005E-2</v>
      </c>
      <c r="O36" s="470"/>
      <c r="W36" s="468">
        <v>0</v>
      </c>
      <c r="X36" s="470">
        <v>0</v>
      </c>
      <c r="Y36" s="470">
        <v>0</v>
      </c>
      <c r="Z36" s="470">
        <v>0</v>
      </c>
      <c r="AA36" s="470">
        <v>100</v>
      </c>
      <c r="AB36" s="470">
        <v>0</v>
      </c>
      <c r="AC36" s="470">
        <v>0</v>
      </c>
      <c r="AD36" s="470">
        <v>0</v>
      </c>
    </row>
    <row r="37" spans="1:30" ht="15" customHeight="1" x14ac:dyDescent="0.2">
      <c r="A37" s="989">
        <v>56</v>
      </c>
      <c r="B37" s="989" t="s">
        <v>62</v>
      </c>
      <c r="C37" s="989" t="s">
        <v>63</v>
      </c>
      <c r="D37" s="989" t="s">
        <v>692</v>
      </c>
      <c r="E37" s="991">
        <v>3220.6</v>
      </c>
      <c r="F37" s="988">
        <v>68</v>
      </c>
      <c r="G37" s="992">
        <v>529814</v>
      </c>
      <c r="H37" s="992">
        <v>0</v>
      </c>
      <c r="I37" s="992">
        <v>397071</v>
      </c>
      <c r="J37" s="469">
        <f>H37/(G37+H37)</f>
        <v>0</v>
      </c>
      <c r="K37" s="469">
        <f>(J37*Data!$P$172)+((1-J37)*Data!$P$171)</f>
        <v>0.184</v>
      </c>
      <c r="L37" s="469">
        <f>(J37*Data!$P$179)+((1-K37)*Data!$P$178)</f>
        <v>7.3440000000000005E-2</v>
      </c>
      <c r="O37" s="470"/>
      <c r="P37" s="471"/>
      <c r="Q37" s="471"/>
      <c r="R37" s="472"/>
      <c r="W37" s="468">
        <v>0</v>
      </c>
      <c r="X37" s="470">
        <v>0</v>
      </c>
      <c r="Y37" s="470">
        <v>0</v>
      </c>
      <c r="Z37" s="470">
        <v>0</v>
      </c>
      <c r="AA37" s="470">
        <v>0</v>
      </c>
      <c r="AB37" s="470">
        <v>0</v>
      </c>
      <c r="AC37" s="470">
        <v>0</v>
      </c>
      <c r="AD37" s="470">
        <v>100</v>
      </c>
    </row>
    <row r="38" spans="1:30" ht="15" customHeight="1" x14ac:dyDescent="0.2">
      <c r="A38" s="989">
        <v>291</v>
      </c>
      <c r="B38" s="474" t="s">
        <v>153</v>
      </c>
      <c r="C38" s="474" t="s">
        <v>154</v>
      </c>
      <c r="D38" s="989" t="s">
        <v>785</v>
      </c>
      <c r="E38" s="991">
        <v>1127.8</v>
      </c>
      <c r="F38" s="988">
        <v>168</v>
      </c>
      <c r="G38" s="992">
        <v>457311</v>
      </c>
      <c r="H38" s="992">
        <v>0</v>
      </c>
      <c r="I38" s="992">
        <v>83585</v>
      </c>
      <c r="J38" s="469">
        <f>H38/(G38+H38)</f>
        <v>0</v>
      </c>
      <c r="K38" s="469">
        <f>(J38*Data!$P$172)+((1-J38)*Data!$P$171)</f>
        <v>0.184</v>
      </c>
      <c r="L38" s="469">
        <f>(J38*Data!$P$179)+((1-K38)*Data!$P$178)</f>
        <v>7.3440000000000005E-2</v>
      </c>
      <c r="O38" s="470"/>
      <c r="W38" s="468">
        <v>0</v>
      </c>
      <c r="X38" s="470">
        <v>0</v>
      </c>
      <c r="Y38" s="470">
        <v>0</v>
      </c>
      <c r="Z38" s="470">
        <v>0</v>
      </c>
      <c r="AA38" s="470">
        <v>0</v>
      </c>
      <c r="AB38" s="470">
        <v>100</v>
      </c>
      <c r="AC38" s="470">
        <v>0</v>
      </c>
      <c r="AD38" s="470">
        <v>0</v>
      </c>
    </row>
    <row r="39" spans="1:30" ht="15" customHeight="1" x14ac:dyDescent="0.2">
      <c r="A39" s="989">
        <v>50</v>
      </c>
      <c r="B39" s="989" t="s">
        <v>57</v>
      </c>
      <c r="C39" s="989" t="s">
        <v>34</v>
      </c>
      <c r="D39" s="989" t="s">
        <v>791</v>
      </c>
      <c r="E39" s="991">
        <v>5493.2</v>
      </c>
      <c r="F39" s="988">
        <v>168</v>
      </c>
      <c r="G39" s="992">
        <v>968954</v>
      </c>
      <c r="H39" s="992">
        <v>108327.27272727272</v>
      </c>
      <c r="I39" s="992">
        <v>953316.5</v>
      </c>
      <c r="J39" s="469">
        <f>H39/(G39+H39)</f>
        <v>0.10055616436460335</v>
      </c>
      <c r="K39" s="469">
        <f>(J39*Data!$P$172)+((1-J39)*Data!$P$171)</f>
        <v>0.18266561969888173</v>
      </c>
      <c r="L39" s="469">
        <f>(J39*Data!$P$179)+((1-K39)*Data!$P$178)</f>
        <v>8.2610149019914939E-2</v>
      </c>
      <c r="O39" s="470"/>
      <c r="P39" s="471"/>
      <c r="Q39" s="471"/>
      <c r="R39" s="472"/>
      <c r="W39" s="468">
        <v>0</v>
      </c>
      <c r="X39" s="470">
        <v>0</v>
      </c>
      <c r="Y39" s="470">
        <v>100</v>
      </c>
      <c r="Z39" s="470">
        <v>0</v>
      </c>
      <c r="AA39" s="470">
        <v>0</v>
      </c>
      <c r="AB39" s="470">
        <v>0</v>
      </c>
      <c r="AC39" s="470">
        <v>0</v>
      </c>
      <c r="AD39" s="470">
        <v>0</v>
      </c>
    </row>
    <row r="40" spans="1:30" ht="15" customHeight="1" x14ac:dyDescent="0.2">
      <c r="A40" s="989">
        <v>400</v>
      </c>
      <c r="B40" s="474" t="s">
        <v>178</v>
      </c>
      <c r="C40" s="474" t="s">
        <v>179</v>
      </c>
      <c r="D40" s="989" t="s">
        <v>692</v>
      </c>
      <c r="E40" s="991">
        <v>5991.8</v>
      </c>
      <c r="F40" s="988">
        <v>50</v>
      </c>
      <c r="G40" s="992">
        <v>600776</v>
      </c>
      <c r="H40" s="992">
        <v>0</v>
      </c>
      <c r="I40" s="992">
        <v>904812</v>
      </c>
      <c r="J40" s="469">
        <f>H40/(G40+H40)</f>
        <v>0</v>
      </c>
      <c r="K40" s="469">
        <f>(J40*Data!$P$172)+((1-J40)*Data!$P$171)</f>
        <v>0.184</v>
      </c>
      <c r="L40" s="469">
        <f>(J40*Data!$P$179)+((1-K40)*Data!$P$178)</f>
        <v>7.3440000000000005E-2</v>
      </c>
      <c r="O40" s="470"/>
      <c r="W40" s="468">
        <v>100</v>
      </c>
      <c r="X40" s="470">
        <v>0</v>
      </c>
      <c r="Y40" s="470">
        <v>0</v>
      </c>
      <c r="Z40" s="470">
        <v>0</v>
      </c>
      <c r="AA40" s="470">
        <v>0</v>
      </c>
      <c r="AB40" s="470">
        <v>0</v>
      </c>
      <c r="AC40" s="470">
        <v>0</v>
      </c>
      <c r="AD40" s="470">
        <v>0</v>
      </c>
    </row>
    <row r="41" spans="1:30" ht="15" customHeight="1" x14ac:dyDescent="0.2">
      <c r="A41" s="989">
        <v>65</v>
      </c>
      <c r="B41" s="989" t="s">
        <v>710</v>
      </c>
      <c r="C41" s="989" t="s">
        <v>65</v>
      </c>
      <c r="D41" s="989" t="s">
        <v>785</v>
      </c>
      <c r="E41" s="991">
        <v>229</v>
      </c>
      <c r="F41" s="988">
        <v>168</v>
      </c>
      <c r="G41" s="992">
        <v>97470</v>
      </c>
      <c r="H41" s="992">
        <v>0</v>
      </c>
      <c r="I41" s="992">
        <v>6815.5</v>
      </c>
      <c r="J41" s="469">
        <f>H41/(G41+H41)</f>
        <v>0</v>
      </c>
      <c r="K41" s="469">
        <f>(J41*Data!$P$172)+((1-J41)*Data!$P$171)</f>
        <v>0.184</v>
      </c>
      <c r="L41" s="469">
        <f>(J41*Data!$P$179)+((1-K41)*Data!$P$178)</f>
        <v>7.3440000000000005E-2</v>
      </c>
      <c r="O41" s="470"/>
      <c r="P41" s="471"/>
      <c r="Q41" s="471"/>
      <c r="R41" s="472"/>
      <c r="W41" s="468">
        <v>0</v>
      </c>
      <c r="X41" s="470">
        <v>0</v>
      </c>
      <c r="Y41" s="470">
        <v>0</v>
      </c>
      <c r="Z41" s="470">
        <v>0</v>
      </c>
      <c r="AA41" s="470">
        <v>0</v>
      </c>
      <c r="AB41" s="470">
        <v>100</v>
      </c>
      <c r="AC41" s="470">
        <v>0</v>
      </c>
      <c r="AD41" s="470">
        <v>0</v>
      </c>
    </row>
    <row r="42" spans="1:30" ht="15" customHeight="1" x14ac:dyDescent="0.2">
      <c r="A42" s="989">
        <v>156</v>
      </c>
      <c r="B42" s="989" t="s">
        <v>734</v>
      </c>
      <c r="C42" s="989" t="s">
        <v>735</v>
      </c>
      <c r="D42" s="989" t="s">
        <v>788</v>
      </c>
      <c r="E42" s="991">
        <v>1439.6</v>
      </c>
      <c r="F42" s="988">
        <v>60</v>
      </c>
      <c r="G42" s="992">
        <v>0</v>
      </c>
      <c r="H42" s="992">
        <v>0</v>
      </c>
      <c r="I42" s="992">
        <v>126356</v>
      </c>
      <c r="J42" s="469" t="e">
        <f>H42/(G42+H42)</f>
        <v>#DIV/0!</v>
      </c>
      <c r="K42" s="469" t="e">
        <f>(J42*Data!$P$172)+((1-J42)*Data!$P$171)</f>
        <v>#DIV/0!</v>
      </c>
      <c r="L42" s="469" t="e">
        <f>(J42*Data!$P$179)+((1-K42)*Data!$P$178)</f>
        <v>#DIV/0!</v>
      </c>
      <c r="O42" s="470"/>
      <c r="P42" s="471"/>
      <c r="Q42" s="471"/>
      <c r="R42" s="472"/>
      <c r="W42" s="468">
        <v>100</v>
      </c>
      <c r="X42" s="470">
        <v>0</v>
      </c>
      <c r="Y42" s="470">
        <v>0</v>
      </c>
      <c r="Z42" s="470">
        <v>0</v>
      </c>
      <c r="AA42" s="470">
        <v>0</v>
      </c>
      <c r="AB42" s="470">
        <v>0</v>
      </c>
      <c r="AC42" s="470">
        <v>0</v>
      </c>
      <c r="AD42" s="470">
        <v>0</v>
      </c>
    </row>
    <row r="43" spans="1:30" ht="15" customHeight="1" x14ac:dyDescent="0.2">
      <c r="A43" s="989">
        <v>54</v>
      </c>
      <c r="B43" s="989" t="s">
        <v>59</v>
      </c>
      <c r="C43" s="989" t="s">
        <v>60</v>
      </c>
      <c r="D43" s="989" t="s">
        <v>785</v>
      </c>
      <c r="E43" s="991">
        <v>3554.2</v>
      </c>
      <c r="F43" s="988">
        <v>168</v>
      </c>
      <c r="G43" s="992">
        <v>335912</v>
      </c>
      <c r="H43" s="992">
        <v>0</v>
      </c>
      <c r="I43" s="992">
        <v>157965.00000000003</v>
      </c>
      <c r="J43" s="469">
        <f>H43/(G43+H43)</f>
        <v>0</v>
      </c>
      <c r="K43" s="469">
        <f>(J43*Data!$P$172)+((1-J43)*Data!$P$171)</f>
        <v>0.184</v>
      </c>
      <c r="L43" s="469">
        <f>(J43*Data!$P$179)+((1-K43)*Data!$P$178)</f>
        <v>7.3440000000000005E-2</v>
      </c>
      <c r="O43" s="470"/>
      <c r="P43" s="471"/>
      <c r="Q43" s="471"/>
      <c r="R43" s="472"/>
      <c r="W43" s="468">
        <v>0</v>
      </c>
      <c r="X43" s="470">
        <v>0</v>
      </c>
      <c r="Y43" s="470">
        <v>0</v>
      </c>
      <c r="Z43" s="470">
        <v>0</v>
      </c>
      <c r="AA43" s="470">
        <v>0</v>
      </c>
      <c r="AB43" s="470">
        <v>100</v>
      </c>
      <c r="AC43" s="470">
        <v>0</v>
      </c>
      <c r="AD43" s="470">
        <v>0</v>
      </c>
    </row>
    <row r="44" spans="1:30" ht="15" customHeight="1" x14ac:dyDescent="0.2">
      <c r="A44" s="989">
        <v>73</v>
      </c>
      <c r="B44" s="989" t="s">
        <v>71</v>
      </c>
      <c r="C44" s="989" t="s">
        <v>100</v>
      </c>
      <c r="D44" s="989" t="s">
        <v>785</v>
      </c>
      <c r="E44" s="991">
        <v>2437.8000000000002</v>
      </c>
      <c r="F44" s="988">
        <v>168</v>
      </c>
      <c r="G44" s="992">
        <v>0</v>
      </c>
      <c r="H44" s="992">
        <v>363800</v>
      </c>
      <c r="I44" s="992">
        <v>88171</v>
      </c>
      <c r="J44" s="469">
        <f>H44/(G44+H44)</f>
        <v>1</v>
      </c>
      <c r="K44" s="469">
        <f>(J44*Data!$P$172)+((1-J44)*Data!$P$171)</f>
        <v>0.17072999999999999</v>
      </c>
      <c r="L44" s="469">
        <f>(J44*Data!$P$179)+((1-K44)*Data!$P$178)</f>
        <v>0.16463429999999998</v>
      </c>
      <c r="O44" s="470"/>
      <c r="P44" s="471"/>
      <c r="Q44" s="471"/>
      <c r="R44" s="472"/>
      <c r="W44" s="468">
        <v>0</v>
      </c>
      <c r="X44" s="470">
        <v>0</v>
      </c>
      <c r="Y44" s="470">
        <v>0</v>
      </c>
      <c r="Z44" s="470">
        <v>0</v>
      </c>
      <c r="AA44" s="470">
        <v>0</v>
      </c>
      <c r="AB44" s="470">
        <v>100</v>
      </c>
      <c r="AC44" s="470">
        <v>0</v>
      </c>
      <c r="AD44" s="470">
        <v>0</v>
      </c>
    </row>
    <row r="45" spans="1:30" ht="15" customHeight="1" x14ac:dyDescent="0.2">
      <c r="A45" s="474">
        <v>411</v>
      </c>
      <c r="B45" s="474" t="s">
        <v>808</v>
      </c>
      <c r="C45" s="474" t="s">
        <v>823</v>
      </c>
      <c r="D45" s="989" t="s">
        <v>788</v>
      </c>
      <c r="E45" s="991">
        <v>4666</v>
      </c>
      <c r="F45" s="988">
        <v>60</v>
      </c>
      <c r="G45" s="992">
        <v>0</v>
      </c>
      <c r="H45" s="992">
        <v>0</v>
      </c>
      <c r="I45" s="992">
        <v>414266</v>
      </c>
      <c r="J45" s="469" t="e">
        <f>H45/(G45+H45)</f>
        <v>#DIV/0!</v>
      </c>
      <c r="K45" s="469" t="e">
        <f>(J45*Data!$P$172)+((1-J45)*Data!$P$171)</f>
        <v>#DIV/0!</v>
      </c>
      <c r="L45" s="469" t="e">
        <f>(J45*Data!$P$179)+((1-K45)*Data!$P$178)</f>
        <v>#DIV/0!</v>
      </c>
    </row>
    <row r="46" spans="1:30" ht="15" customHeight="1" x14ac:dyDescent="0.2">
      <c r="A46" s="989">
        <v>352</v>
      </c>
      <c r="B46" s="474" t="s">
        <v>162</v>
      </c>
      <c r="C46" s="474" t="s">
        <v>163</v>
      </c>
      <c r="D46" s="989" t="s">
        <v>692</v>
      </c>
      <c r="E46" s="991">
        <v>1534.5</v>
      </c>
      <c r="F46" s="988">
        <v>67</v>
      </c>
      <c r="G46" s="992">
        <v>0</v>
      </c>
      <c r="H46" s="992">
        <v>0</v>
      </c>
      <c r="I46" s="992">
        <v>220943.40000000002</v>
      </c>
      <c r="J46" s="469" t="e">
        <f>H46/(G46+H46)</f>
        <v>#DIV/0!</v>
      </c>
      <c r="K46" s="469" t="e">
        <f>(J46*Data!$P$172)+((1-J46)*Data!$P$171)</f>
        <v>#DIV/0!</v>
      </c>
      <c r="L46" s="469" t="e">
        <f>(J46*Data!$P$179)+((1-K46)*Data!$P$178)</f>
        <v>#DIV/0!</v>
      </c>
      <c r="O46" s="470"/>
      <c r="W46" s="468">
        <v>0</v>
      </c>
      <c r="X46" s="470">
        <v>0</v>
      </c>
      <c r="Y46" s="470">
        <v>0</v>
      </c>
      <c r="Z46" s="470">
        <v>0</v>
      </c>
      <c r="AA46" s="470">
        <v>0</v>
      </c>
      <c r="AB46" s="470">
        <v>0</v>
      </c>
      <c r="AC46" s="470">
        <v>0</v>
      </c>
      <c r="AD46" s="470">
        <v>100</v>
      </c>
    </row>
    <row r="47" spans="1:30" ht="15" customHeight="1" x14ac:dyDescent="0.2">
      <c r="A47" s="989">
        <v>9</v>
      </c>
      <c r="B47" s="989" t="s">
        <v>42</v>
      </c>
      <c r="C47" s="989" t="s">
        <v>41</v>
      </c>
      <c r="D47" s="989" t="s">
        <v>692</v>
      </c>
      <c r="E47" s="991">
        <v>6807.2</v>
      </c>
      <c r="F47" s="988">
        <v>119</v>
      </c>
      <c r="G47" s="992">
        <v>0</v>
      </c>
      <c r="H47" s="992">
        <v>241400</v>
      </c>
      <c r="I47" s="992">
        <v>441854.18181818182</v>
      </c>
      <c r="J47" s="469">
        <f>H47/(G47+H47)</f>
        <v>1</v>
      </c>
      <c r="K47" s="469">
        <f>(J47*Data!$P$172)+((1-J47)*Data!$P$171)</f>
        <v>0.17072999999999999</v>
      </c>
      <c r="L47" s="469">
        <f>(J47*Data!$P$179)+((1-K47)*Data!$P$178)</f>
        <v>0.16463429999999998</v>
      </c>
      <c r="O47" s="470"/>
      <c r="P47" s="471"/>
      <c r="Q47" s="471"/>
      <c r="R47" s="472"/>
      <c r="W47" s="468">
        <v>40</v>
      </c>
      <c r="X47" s="470">
        <v>0</v>
      </c>
      <c r="Y47" s="470">
        <v>0</v>
      </c>
      <c r="Z47" s="470">
        <v>0</v>
      </c>
      <c r="AA47" s="470">
        <v>0</v>
      </c>
      <c r="AB47" s="470">
        <v>0</v>
      </c>
      <c r="AC47" s="470">
        <v>60</v>
      </c>
      <c r="AD47" s="470">
        <v>0</v>
      </c>
    </row>
    <row r="48" spans="1:30" ht="15" customHeight="1" x14ac:dyDescent="0.2">
      <c r="A48" s="989">
        <v>388</v>
      </c>
      <c r="B48" s="474" t="s">
        <v>174</v>
      </c>
      <c r="C48" s="474" t="s">
        <v>175</v>
      </c>
      <c r="D48" s="989" t="s">
        <v>692</v>
      </c>
      <c r="E48" s="991">
        <v>5664.8</v>
      </c>
      <c r="F48" s="988">
        <v>67</v>
      </c>
      <c r="G48" s="992">
        <v>110794</v>
      </c>
      <c r="H48" s="992">
        <v>0</v>
      </c>
      <c r="I48" s="992">
        <v>630630.19999999995</v>
      </c>
      <c r="J48" s="469">
        <f>H48/(G48+H48)</f>
        <v>0</v>
      </c>
      <c r="K48" s="469">
        <f>(J48*Data!$P$172)+((1-J48)*Data!$P$171)</f>
        <v>0.184</v>
      </c>
      <c r="L48" s="469">
        <f>(J48*Data!$P$179)+((1-K48)*Data!$P$178)</f>
        <v>7.3440000000000005E-2</v>
      </c>
      <c r="O48" s="470"/>
      <c r="W48" s="468">
        <v>0</v>
      </c>
      <c r="X48" s="470">
        <v>0</v>
      </c>
      <c r="Y48" s="470">
        <v>0</v>
      </c>
      <c r="Z48" s="470">
        <v>0</v>
      </c>
      <c r="AA48" s="470">
        <v>0</v>
      </c>
      <c r="AB48" s="470">
        <v>0</v>
      </c>
      <c r="AC48" s="470">
        <v>0</v>
      </c>
      <c r="AD48" s="470">
        <v>100</v>
      </c>
    </row>
    <row r="49" spans="1:30" ht="15" customHeight="1" x14ac:dyDescent="0.2">
      <c r="A49" s="989">
        <v>13</v>
      </c>
      <c r="B49" s="989" t="s">
        <v>44</v>
      </c>
      <c r="C49" s="989" t="s">
        <v>34</v>
      </c>
      <c r="D49" s="989" t="s">
        <v>791</v>
      </c>
      <c r="E49" s="991">
        <v>4970.3999999999996</v>
      </c>
      <c r="F49" s="988">
        <v>168</v>
      </c>
      <c r="G49" s="992">
        <v>0</v>
      </c>
      <c r="H49" s="992">
        <v>752210</v>
      </c>
      <c r="I49" s="992">
        <v>782057.5</v>
      </c>
      <c r="J49" s="469">
        <f>H49/(G49+H49)</f>
        <v>1</v>
      </c>
      <c r="K49" s="469">
        <f>(J49*Data!$P$172)+((1-J49)*Data!$P$171)</f>
        <v>0.17072999999999999</v>
      </c>
      <c r="L49" s="469">
        <f>(J49*Data!$P$179)+((1-K49)*Data!$P$178)</f>
        <v>0.16463429999999998</v>
      </c>
      <c r="O49" s="470"/>
      <c r="P49" s="471"/>
      <c r="Q49" s="471"/>
      <c r="R49" s="472"/>
      <c r="W49" s="468">
        <v>0</v>
      </c>
      <c r="X49" s="470">
        <v>0</v>
      </c>
      <c r="Y49" s="470">
        <v>100</v>
      </c>
      <c r="Z49" s="470">
        <v>0</v>
      </c>
      <c r="AA49" s="470">
        <v>0</v>
      </c>
      <c r="AB49" s="470">
        <v>0</v>
      </c>
      <c r="AC49" s="470">
        <v>0</v>
      </c>
      <c r="AD49" s="470">
        <v>0</v>
      </c>
    </row>
    <row r="50" spans="1:30" ht="15" customHeight="1" x14ac:dyDescent="0.2">
      <c r="A50" s="989">
        <v>235</v>
      </c>
      <c r="B50" s="474" t="s">
        <v>134</v>
      </c>
      <c r="C50" s="474" t="s">
        <v>135</v>
      </c>
      <c r="D50" s="989" t="s">
        <v>692</v>
      </c>
      <c r="E50" s="991">
        <v>4047.1</v>
      </c>
      <c r="F50" s="988">
        <v>84</v>
      </c>
      <c r="G50" s="992">
        <v>35187</v>
      </c>
      <c r="H50" s="992">
        <v>0</v>
      </c>
      <c r="I50" s="992">
        <v>450629</v>
      </c>
      <c r="J50" s="469">
        <f>H50/(G50+H50)</f>
        <v>0</v>
      </c>
      <c r="K50" s="469">
        <f>(J50*Data!$P$172)+((1-J50)*Data!$P$171)</f>
        <v>0.184</v>
      </c>
      <c r="L50" s="469">
        <f>(J50*Data!$P$179)+((1-K50)*Data!$P$178)</f>
        <v>7.3440000000000005E-2</v>
      </c>
      <c r="O50" s="470"/>
      <c r="W50" s="468">
        <v>0</v>
      </c>
      <c r="X50" s="470">
        <v>0</v>
      </c>
      <c r="Y50" s="470">
        <v>0</v>
      </c>
      <c r="Z50" s="470">
        <v>0</v>
      </c>
      <c r="AA50" s="470">
        <v>0</v>
      </c>
      <c r="AB50" s="470">
        <v>0</v>
      </c>
      <c r="AC50" s="470">
        <v>0</v>
      </c>
      <c r="AD50" s="470">
        <v>100</v>
      </c>
    </row>
    <row r="51" spans="1:30" ht="15" customHeight="1" x14ac:dyDescent="0.2">
      <c r="A51" s="989">
        <v>380</v>
      </c>
      <c r="B51" s="474" t="s">
        <v>772</v>
      </c>
      <c r="C51" s="474" t="s">
        <v>773</v>
      </c>
      <c r="D51" s="989" t="s">
        <v>692</v>
      </c>
      <c r="E51" s="991">
        <v>611.20000000000005</v>
      </c>
      <c r="F51" s="988">
        <v>60</v>
      </c>
      <c r="G51" s="992">
        <v>89052</v>
      </c>
      <c r="H51" s="992">
        <v>0</v>
      </c>
      <c r="I51" s="992">
        <v>24042</v>
      </c>
      <c r="J51" s="469">
        <f>H51/(G51+H51)</f>
        <v>0</v>
      </c>
      <c r="K51" s="469">
        <f>(J51*Data!$P$172)+((1-J51)*Data!$P$171)</f>
        <v>0.184</v>
      </c>
      <c r="L51" s="469">
        <f>(J51*Data!$P$179)+((1-K51)*Data!$P$178)</f>
        <v>7.3440000000000005E-2</v>
      </c>
      <c r="O51" s="470"/>
      <c r="W51" s="468">
        <v>0</v>
      </c>
      <c r="X51" s="470">
        <v>0</v>
      </c>
      <c r="Y51" s="470">
        <v>0</v>
      </c>
      <c r="Z51" s="470">
        <v>0</v>
      </c>
      <c r="AA51" s="470">
        <v>0</v>
      </c>
      <c r="AB51" s="470">
        <v>0</v>
      </c>
      <c r="AC51" s="470">
        <v>0</v>
      </c>
      <c r="AD51" s="470">
        <v>100</v>
      </c>
    </row>
    <row r="52" spans="1:30" ht="15" customHeight="1" x14ac:dyDescent="0.2">
      <c r="A52" s="989">
        <v>257</v>
      </c>
      <c r="B52" s="474" t="s">
        <v>148</v>
      </c>
      <c r="C52" s="474" t="s">
        <v>149</v>
      </c>
      <c r="D52" s="989" t="s">
        <v>789</v>
      </c>
      <c r="E52" s="991">
        <v>3603.1</v>
      </c>
      <c r="F52" s="988">
        <v>168</v>
      </c>
      <c r="G52" s="992">
        <v>419330</v>
      </c>
      <c r="H52" s="992">
        <v>0</v>
      </c>
      <c r="I52" s="992">
        <v>574957</v>
      </c>
      <c r="J52" s="469">
        <f>H52/(G52+H52)</f>
        <v>0</v>
      </c>
      <c r="K52" s="469">
        <f>(J52*Data!$P$172)+((1-J52)*Data!$P$171)</f>
        <v>0.184</v>
      </c>
      <c r="L52" s="469">
        <f>(J52*Data!$P$179)+((1-K52)*Data!$P$178)</f>
        <v>7.3440000000000005E-2</v>
      </c>
      <c r="O52" s="470"/>
      <c r="W52" s="468">
        <v>0</v>
      </c>
      <c r="X52" s="470">
        <v>0</v>
      </c>
      <c r="Y52" s="470">
        <v>0</v>
      </c>
      <c r="Z52" s="470">
        <v>100</v>
      </c>
      <c r="AA52" s="470">
        <v>0</v>
      </c>
      <c r="AB52" s="470">
        <v>0</v>
      </c>
      <c r="AC52" s="470">
        <v>0</v>
      </c>
      <c r="AD52" s="470">
        <v>0</v>
      </c>
    </row>
    <row r="53" spans="1:30" ht="15" customHeight="1" x14ac:dyDescent="0.2">
      <c r="A53" s="989">
        <v>204</v>
      </c>
      <c r="B53" s="989" t="s">
        <v>125</v>
      </c>
      <c r="C53" s="989" t="s">
        <v>126</v>
      </c>
      <c r="D53" s="989" t="s">
        <v>789</v>
      </c>
      <c r="E53" s="991">
        <v>1874.5</v>
      </c>
      <c r="F53" s="988">
        <v>84</v>
      </c>
      <c r="G53" s="992">
        <v>0</v>
      </c>
      <c r="H53" s="992">
        <v>460366.49</v>
      </c>
      <c r="I53" s="992">
        <v>305880.5</v>
      </c>
      <c r="J53" s="469">
        <f>H53/(G53+H53)</f>
        <v>1</v>
      </c>
      <c r="K53" s="469">
        <f>(J53*Data!$P$172)+((1-J53)*Data!$P$171)</f>
        <v>0.17072999999999999</v>
      </c>
      <c r="L53" s="469">
        <f>(J53*Data!$P$179)+((1-K53)*Data!$P$178)</f>
        <v>0.16463429999999998</v>
      </c>
      <c r="O53" s="470"/>
      <c r="P53" s="471"/>
      <c r="Q53" s="471"/>
      <c r="R53" s="472"/>
      <c r="W53" s="468">
        <v>0</v>
      </c>
      <c r="X53" s="470">
        <v>0</v>
      </c>
      <c r="Y53" s="470">
        <v>0</v>
      </c>
      <c r="Z53" s="470">
        <v>100</v>
      </c>
      <c r="AA53" s="470">
        <v>0</v>
      </c>
      <c r="AB53" s="470">
        <v>0</v>
      </c>
      <c r="AC53" s="470">
        <v>0</v>
      </c>
      <c r="AD53" s="470">
        <v>0</v>
      </c>
    </row>
    <row r="54" spans="1:30" ht="15" customHeight="1" x14ac:dyDescent="0.2">
      <c r="A54" s="989">
        <v>67</v>
      </c>
      <c r="B54" s="989" t="s">
        <v>67</v>
      </c>
      <c r="C54" s="989" t="s">
        <v>68</v>
      </c>
      <c r="D54" s="989" t="s">
        <v>792</v>
      </c>
      <c r="E54" s="991">
        <v>13049.8</v>
      </c>
      <c r="F54" s="988">
        <v>168</v>
      </c>
      <c r="G54" s="992">
        <v>0</v>
      </c>
      <c r="H54" s="992">
        <v>2879712</v>
      </c>
      <c r="I54" s="992">
        <v>4024613</v>
      </c>
      <c r="J54" s="469">
        <f>H54/(G54+H54)</f>
        <v>1</v>
      </c>
      <c r="K54" s="469">
        <f>(J54*Data!$P$172)+((1-J54)*Data!$P$171)</f>
        <v>0.17072999999999999</v>
      </c>
      <c r="L54" s="469">
        <f>(J54*Data!$P$179)+((1-K54)*Data!$P$178)</f>
        <v>0.16463429999999998</v>
      </c>
      <c r="O54" s="470"/>
      <c r="P54" s="471"/>
      <c r="Q54" s="471"/>
      <c r="R54" s="472"/>
      <c r="W54" s="468">
        <v>0</v>
      </c>
      <c r="X54" s="470">
        <v>100</v>
      </c>
      <c r="Y54" s="470">
        <v>0</v>
      </c>
      <c r="Z54" s="470">
        <v>0</v>
      </c>
      <c r="AA54" s="470">
        <v>0</v>
      </c>
      <c r="AB54" s="470">
        <v>0</v>
      </c>
      <c r="AC54" s="470">
        <v>0</v>
      </c>
      <c r="AD54" s="470">
        <v>0</v>
      </c>
    </row>
    <row r="55" spans="1:30" ht="15" customHeight="1" x14ac:dyDescent="0.2">
      <c r="A55" s="989">
        <v>255</v>
      </c>
      <c r="B55" s="474" t="s">
        <v>817</v>
      </c>
      <c r="C55" s="474" t="s">
        <v>818</v>
      </c>
      <c r="D55" s="989" t="s">
        <v>789</v>
      </c>
      <c r="E55" s="991">
        <v>3271.9</v>
      </c>
      <c r="F55" s="988">
        <v>169</v>
      </c>
      <c r="G55" s="992">
        <v>483907</v>
      </c>
      <c r="H55" s="992">
        <v>0</v>
      </c>
      <c r="I55" s="992">
        <v>1278013</v>
      </c>
      <c r="J55" s="469">
        <f>H55/(G55+H55)</f>
        <v>0</v>
      </c>
      <c r="K55" s="469">
        <f>(J55*Data!$P$172)+((1-J55)*Data!$P$171)</f>
        <v>0.184</v>
      </c>
      <c r="L55" s="469">
        <f>(J55*Data!$P$179)+((1-K55)*Data!$P$178)</f>
        <v>7.3440000000000005E-2</v>
      </c>
      <c r="O55" s="470"/>
      <c r="W55" s="468">
        <v>0</v>
      </c>
      <c r="X55" s="470">
        <v>0</v>
      </c>
      <c r="Y55" s="470">
        <v>0</v>
      </c>
      <c r="Z55" s="470">
        <v>100</v>
      </c>
      <c r="AA55" s="470">
        <v>0</v>
      </c>
      <c r="AB55" s="470">
        <v>0</v>
      </c>
      <c r="AC55" s="470">
        <v>0</v>
      </c>
      <c r="AD55" s="470">
        <v>0</v>
      </c>
    </row>
    <row r="56" spans="1:30" ht="15" customHeight="1" x14ac:dyDescent="0.2">
      <c r="A56" s="989">
        <v>212</v>
      </c>
      <c r="B56" s="989" t="s">
        <v>131</v>
      </c>
      <c r="C56" s="989" t="s">
        <v>34</v>
      </c>
      <c r="D56" s="989" t="s">
        <v>789</v>
      </c>
      <c r="E56" s="991">
        <v>16582.8</v>
      </c>
      <c r="F56" s="988">
        <v>168</v>
      </c>
      <c r="G56" s="992">
        <v>567</v>
      </c>
      <c r="H56" s="992">
        <v>2813299</v>
      </c>
      <c r="I56" s="992">
        <v>4396214</v>
      </c>
      <c r="J56" s="469">
        <f>H56/(G56+H56)</f>
        <v>0.99979849786734687</v>
      </c>
      <c r="K56" s="469">
        <f>(J56*Data!$P$172)+((1-J56)*Data!$P$171)</f>
        <v>0.1707326739333003</v>
      </c>
      <c r="L56" s="469">
        <f>(J56*Data!$P$179)+((1-K56)*Data!$P$178)</f>
        <v>0.16461592415406417</v>
      </c>
      <c r="O56" s="470"/>
      <c r="P56" s="471"/>
      <c r="Q56" s="471"/>
      <c r="R56" s="472"/>
      <c r="W56" s="468">
        <v>0</v>
      </c>
      <c r="X56" s="470">
        <v>0</v>
      </c>
      <c r="Y56" s="470">
        <v>0</v>
      </c>
      <c r="Z56" s="470">
        <v>100</v>
      </c>
      <c r="AA56" s="470">
        <v>0</v>
      </c>
      <c r="AB56" s="470">
        <v>0</v>
      </c>
      <c r="AC56" s="470">
        <v>0</v>
      </c>
      <c r="AD56" s="470">
        <v>0</v>
      </c>
    </row>
    <row r="57" spans="1:30" ht="15" customHeight="1" x14ac:dyDescent="0.2">
      <c r="A57" s="989">
        <v>44</v>
      </c>
      <c r="B57" s="990" t="s">
        <v>53</v>
      </c>
      <c r="C57" s="990" t="s">
        <v>34</v>
      </c>
      <c r="D57" s="989" t="s">
        <v>789</v>
      </c>
      <c r="E57" s="991">
        <v>10512</v>
      </c>
      <c r="F57" s="988">
        <v>168</v>
      </c>
      <c r="G57" s="992">
        <v>4244</v>
      </c>
      <c r="H57" s="992">
        <v>797840.29</v>
      </c>
      <c r="I57" s="992">
        <v>2784824.06</v>
      </c>
      <c r="J57" s="469">
        <f>H57/(G57+H57)</f>
        <v>0.99470878553175501</v>
      </c>
      <c r="K57" s="469">
        <f>(J57*Data!$P$172)+((1-J57)*Data!$P$171)</f>
        <v>0.17080021441599361</v>
      </c>
      <c r="L57" s="469">
        <f>(J57*Data!$P$179)+((1-K57)*Data!$P$178)</f>
        <v>0.16415177140041853</v>
      </c>
      <c r="O57" s="470"/>
      <c r="P57" s="471"/>
      <c r="Q57" s="471"/>
      <c r="R57" s="472"/>
      <c r="W57" s="468">
        <v>0</v>
      </c>
      <c r="X57" s="470">
        <v>0</v>
      </c>
      <c r="Y57" s="470">
        <v>0</v>
      </c>
      <c r="Z57" s="470">
        <v>100</v>
      </c>
      <c r="AA57" s="470">
        <v>0</v>
      </c>
      <c r="AB57" s="470">
        <v>0</v>
      </c>
      <c r="AC57" s="470">
        <v>0</v>
      </c>
      <c r="AD57" s="470">
        <v>0</v>
      </c>
    </row>
    <row r="58" spans="1:30" ht="15" customHeight="1" x14ac:dyDescent="0.2">
      <c r="A58" s="989">
        <v>64</v>
      </c>
      <c r="B58" s="990" t="s">
        <v>64</v>
      </c>
      <c r="C58" s="990" t="s">
        <v>65</v>
      </c>
      <c r="D58" s="989" t="s">
        <v>785</v>
      </c>
      <c r="E58" s="991">
        <v>1838.6</v>
      </c>
      <c r="F58" s="988">
        <v>168</v>
      </c>
      <c r="G58" s="992">
        <v>0</v>
      </c>
      <c r="H58" s="992">
        <v>0</v>
      </c>
      <c r="I58" s="992">
        <v>57480.94953167472</v>
      </c>
      <c r="J58" s="469" t="e">
        <f>H58/(G58+H58)</f>
        <v>#DIV/0!</v>
      </c>
      <c r="K58" s="469" t="e">
        <f>(J58*Data!$P$172)+((1-J58)*Data!$P$171)</f>
        <v>#DIV/0!</v>
      </c>
      <c r="L58" s="469" t="e">
        <f>(J58*Data!$P$179)+((1-K58)*Data!$P$178)</f>
        <v>#DIV/0!</v>
      </c>
      <c r="O58" s="470"/>
      <c r="P58" s="471"/>
      <c r="Q58" s="471"/>
      <c r="R58" s="472"/>
      <c r="W58" s="468">
        <v>0</v>
      </c>
      <c r="X58" s="470">
        <v>0</v>
      </c>
      <c r="Y58" s="470">
        <v>0</v>
      </c>
      <c r="Z58" s="470">
        <v>0</v>
      </c>
      <c r="AA58" s="470">
        <v>0</v>
      </c>
      <c r="AB58" s="470">
        <v>100</v>
      </c>
      <c r="AC58" s="470">
        <v>0</v>
      </c>
      <c r="AD58" s="470">
        <v>0</v>
      </c>
    </row>
    <row r="59" spans="1:30" ht="15" customHeight="1" x14ac:dyDescent="0.2">
      <c r="A59" s="989">
        <v>42</v>
      </c>
      <c r="B59" s="989" t="s">
        <v>52</v>
      </c>
      <c r="C59" s="989" t="s">
        <v>34</v>
      </c>
      <c r="D59" s="989" t="s">
        <v>692</v>
      </c>
      <c r="E59" s="991">
        <v>5530.5</v>
      </c>
      <c r="F59" s="988">
        <v>25</v>
      </c>
      <c r="G59" s="992">
        <v>0</v>
      </c>
      <c r="H59" s="992">
        <v>889441.51</v>
      </c>
      <c r="I59" s="992">
        <v>427561.5</v>
      </c>
      <c r="J59" s="469">
        <f>H59/(G59+H59)</f>
        <v>1</v>
      </c>
      <c r="K59" s="469">
        <f>(J59*Data!$P$172)+((1-J59)*Data!$P$171)</f>
        <v>0.17072999999999999</v>
      </c>
      <c r="L59" s="469">
        <f>(J59*Data!$P$179)+((1-K59)*Data!$P$178)</f>
        <v>0.16463429999999998</v>
      </c>
      <c r="O59" s="470"/>
      <c r="P59" s="471"/>
      <c r="Q59" s="471"/>
      <c r="R59" s="472"/>
      <c r="W59" s="468">
        <v>0</v>
      </c>
      <c r="X59" s="470">
        <v>0</v>
      </c>
      <c r="Y59" s="470">
        <v>0</v>
      </c>
      <c r="Z59" s="470">
        <v>0</v>
      </c>
      <c r="AA59" s="470">
        <v>0</v>
      </c>
      <c r="AB59" s="470">
        <v>0</v>
      </c>
      <c r="AC59" s="470">
        <v>0</v>
      </c>
      <c r="AD59" s="470">
        <v>100</v>
      </c>
    </row>
    <row r="60" spans="1:30" ht="15" customHeight="1" x14ac:dyDescent="0.2">
      <c r="A60" s="989">
        <v>107</v>
      </c>
      <c r="B60" s="990" t="s">
        <v>92</v>
      </c>
      <c r="C60" s="990" t="s">
        <v>93</v>
      </c>
      <c r="D60" s="989" t="s">
        <v>692</v>
      </c>
      <c r="E60" s="991">
        <v>3095.9</v>
      </c>
      <c r="F60" s="988">
        <v>67</v>
      </c>
      <c r="G60" s="992">
        <v>500000</v>
      </c>
      <c r="H60" s="992">
        <v>0</v>
      </c>
      <c r="I60" s="992">
        <v>31231.700000000004</v>
      </c>
      <c r="J60" s="469">
        <f>H60/(G60+H60)</f>
        <v>0</v>
      </c>
      <c r="K60" s="469">
        <f>(J60*Data!$P$172)+((1-J60)*Data!$P$171)</f>
        <v>0.184</v>
      </c>
      <c r="L60" s="469">
        <f>(J60*Data!$P$179)+((1-K60)*Data!$P$178)</f>
        <v>7.3440000000000005E-2</v>
      </c>
      <c r="O60" s="470"/>
      <c r="P60" s="471"/>
      <c r="Q60" s="471"/>
      <c r="R60" s="472"/>
      <c r="W60" s="468">
        <v>0</v>
      </c>
      <c r="X60" s="470">
        <v>0</v>
      </c>
      <c r="Y60" s="470">
        <v>0</v>
      </c>
      <c r="Z60" s="470">
        <v>0</v>
      </c>
      <c r="AA60" s="470">
        <v>0</v>
      </c>
      <c r="AB60" s="470">
        <v>0</v>
      </c>
      <c r="AC60" s="470">
        <v>0</v>
      </c>
      <c r="AD60" s="470">
        <v>100</v>
      </c>
    </row>
    <row r="61" spans="1:30" ht="15" customHeight="1" x14ac:dyDescent="0.2">
      <c r="A61" s="989">
        <v>401</v>
      </c>
      <c r="B61" s="474" t="s">
        <v>779</v>
      </c>
      <c r="C61" s="474" t="s">
        <v>780</v>
      </c>
      <c r="D61" s="989" t="s">
        <v>789</v>
      </c>
      <c r="E61" s="991">
        <v>662.8</v>
      </c>
      <c r="F61" s="988">
        <v>168</v>
      </c>
      <c r="G61" s="992">
        <v>20565</v>
      </c>
      <c r="H61" s="992">
        <v>0</v>
      </c>
      <c r="I61" s="992">
        <v>0</v>
      </c>
      <c r="J61" s="469">
        <f>H61/(G61+H61)</f>
        <v>0</v>
      </c>
      <c r="K61" s="469">
        <f>(J61*Data!$P$172)+((1-J61)*Data!$P$171)</f>
        <v>0.184</v>
      </c>
      <c r="L61" s="469">
        <f>(J61*Data!$P$179)+((1-K61)*Data!$P$178)</f>
        <v>7.3440000000000005E-2</v>
      </c>
      <c r="O61" s="470"/>
      <c r="W61" s="468">
        <v>0</v>
      </c>
      <c r="X61" s="470">
        <v>0</v>
      </c>
      <c r="Y61" s="470">
        <v>0</v>
      </c>
      <c r="Z61" s="470">
        <v>100</v>
      </c>
      <c r="AA61" s="470">
        <v>0</v>
      </c>
      <c r="AB61" s="470">
        <v>0</v>
      </c>
      <c r="AC61" s="470">
        <v>0</v>
      </c>
      <c r="AD61" s="470">
        <v>0</v>
      </c>
    </row>
    <row r="62" spans="1:30" ht="15" customHeight="1" x14ac:dyDescent="0.2">
      <c r="A62" s="989">
        <v>280</v>
      </c>
      <c r="B62" s="474" t="s">
        <v>759</v>
      </c>
      <c r="C62" s="474" t="s">
        <v>159</v>
      </c>
      <c r="D62" s="989" t="s">
        <v>692</v>
      </c>
      <c r="E62" s="991">
        <v>573.1</v>
      </c>
      <c r="F62" s="988">
        <v>60</v>
      </c>
      <c r="G62" s="992">
        <v>0</v>
      </c>
      <c r="H62" s="992">
        <v>0</v>
      </c>
      <c r="I62" s="992">
        <v>0</v>
      </c>
      <c r="J62" s="469" t="e">
        <f>H62/(G62+H62)</f>
        <v>#DIV/0!</v>
      </c>
      <c r="K62" s="469" t="e">
        <f>(J62*Data!$P$172)+((1-J62)*Data!$P$171)</f>
        <v>#DIV/0!</v>
      </c>
      <c r="L62" s="469" t="e">
        <f>(J62*Data!$P$179)+((1-K62)*Data!$P$178)</f>
        <v>#DIV/0!</v>
      </c>
      <c r="O62" s="470"/>
      <c r="W62" s="468">
        <v>0</v>
      </c>
      <c r="X62" s="470">
        <v>0</v>
      </c>
      <c r="Y62" s="470">
        <v>0</v>
      </c>
      <c r="Z62" s="470">
        <v>0</v>
      </c>
      <c r="AA62" s="470">
        <v>0</v>
      </c>
      <c r="AB62" s="470">
        <v>0</v>
      </c>
      <c r="AC62" s="470">
        <v>0</v>
      </c>
      <c r="AD62" s="470">
        <v>100</v>
      </c>
    </row>
    <row r="63" spans="1:30" ht="15" customHeight="1" x14ac:dyDescent="0.2">
      <c r="A63" s="989">
        <v>347</v>
      </c>
      <c r="B63" s="474" t="s">
        <v>805</v>
      </c>
      <c r="C63" s="474" t="s">
        <v>157</v>
      </c>
      <c r="D63" s="989" t="s">
        <v>789</v>
      </c>
      <c r="E63" s="991">
        <v>1699.4</v>
      </c>
      <c r="F63" s="988">
        <v>168</v>
      </c>
      <c r="G63" s="992">
        <v>121290</v>
      </c>
      <c r="H63" s="992">
        <v>0</v>
      </c>
      <c r="I63" s="992">
        <v>117109</v>
      </c>
      <c r="J63" s="469">
        <f>H63/(G63+H63)</f>
        <v>0</v>
      </c>
      <c r="K63" s="469">
        <f>(J63*Data!$P$172)+((1-J63)*Data!$P$171)</f>
        <v>0.184</v>
      </c>
      <c r="L63" s="469">
        <f>(J63*Data!$P$179)+((1-K63)*Data!$P$178)</f>
        <v>7.3440000000000005E-2</v>
      </c>
      <c r="O63" s="470"/>
      <c r="W63" s="468">
        <v>0</v>
      </c>
      <c r="X63" s="470">
        <v>0</v>
      </c>
      <c r="Y63" s="470">
        <v>0</v>
      </c>
      <c r="Z63" s="470">
        <v>100</v>
      </c>
      <c r="AA63" s="470">
        <v>0</v>
      </c>
      <c r="AB63" s="470">
        <v>0</v>
      </c>
      <c r="AC63" s="470">
        <v>0</v>
      </c>
      <c r="AD63" s="470">
        <v>0</v>
      </c>
    </row>
    <row r="64" spans="1:30" ht="15" customHeight="1" x14ac:dyDescent="0.2">
      <c r="A64" s="989">
        <v>41</v>
      </c>
      <c r="B64" s="989" t="s">
        <v>51</v>
      </c>
      <c r="C64" s="989" t="s">
        <v>34</v>
      </c>
      <c r="D64" s="989" t="s">
        <v>790</v>
      </c>
      <c r="E64" s="991">
        <v>1565.3</v>
      </c>
      <c r="F64" s="988">
        <v>50</v>
      </c>
      <c r="G64" s="992">
        <v>0</v>
      </c>
      <c r="H64" s="992">
        <v>907431.07</v>
      </c>
      <c r="I64" s="992">
        <v>320926</v>
      </c>
      <c r="J64" s="469">
        <f>H64/(G64+H64)</f>
        <v>1</v>
      </c>
      <c r="K64" s="469">
        <f>(J64*Data!$P$172)+((1-J64)*Data!$P$171)</f>
        <v>0.17072999999999999</v>
      </c>
      <c r="L64" s="469">
        <f>(J64*Data!$P$179)+((1-K64)*Data!$P$178)</f>
        <v>0.16463429999999998</v>
      </c>
      <c r="O64" s="470"/>
      <c r="P64" s="471"/>
      <c r="Q64" s="471"/>
      <c r="R64" s="472"/>
      <c r="W64" s="468">
        <v>0</v>
      </c>
      <c r="X64" s="470">
        <v>0</v>
      </c>
      <c r="Y64" s="470">
        <v>0</v>
      </c>
      <c r="Z64" s="470">
        <v>0</v>
      </c>
      <c r="AA64" s="470">
        <v>100</v>
      </c>
      <c r="AB64" s="470">
        <v>0</v>
      </c>
      <c r="AC64" s="470">
        <v>0</v>
      </c>
      <c r="AD64" s="470">
        <v>0</v>
      </c>
    </row>
    <row r="65" spans="1:30" ht="15" customHeight="1" x14ac:dyDescent="0.2">
      <c r="A65" s="989">
        <v>365</v>
      </c>
      <c r="B65" s="474" t="s">
        <v>165</v>
      </c>
      <c r="C65" s="474" t="s">
        <v>55</v>
      </c>
      <c r="D65" s="989" t="s">
        <v>692</v>
      </c>
      <c r="E65" s="991">
        <v>1794.9</v>
      </c>
      <c r="F65" s="988">
        <v>168</v>
      </c>
      <c r="G65" s="992">
        <v>0</v>
      </c>
      <c r="H65" s="992">
        <v>163916</v>
      </c>
      <c r="I65" s="992">
        <v>379562.14500000002</v>
      </c>
      <c r="J65" s="469">
        <f>H65/(G65+H65)</f>
        <v>1</v>
      </c>
      <c r="K65" s="469">
        <f>(J65*Data!$P$172)+((1-J65)*Data!$P$171)</f>
        <v>0.17072999999999999</v>
      </c>
      <c r="L65" s="469">
        <f>(J65*Data!$P$179)+((1-K65)*Data!$P$178)</f>
        <v>0.16463429999999998</v>
      </c>
      <c r="O65" s="470"/>
      <c r="W65" s="468">
        <v>0</v>
      </c>
      <c r="X65" s="470">
        <v>0</v>
      </c>
      <c r="Y65" s="470">
        <v>0</v>
      </c>
      <c r="Z65" s="470">
        <v>0</v>
      </c>
      <c r="AA65" s="470">
        <v>0</v>
      </c>
      <c r="AB65" s="470">
        <v>0</v>
      </c>
      <c r="AC65" s="470">
        <v>0</v>
      </c>
      <c r="AD65" s="470">
        <v>100</v>
      </c>
    </row>
    <row r="66" spans="1:30" ht="15" customHeight="1" x14ac:dyDescent="0.2">
      <c r="A66" s="989">
        <v>40</v>
      </c>
      <c r="B66" s="989" t="s">
        <v>50</v>
      </c>
      <c r="C66" s="989" t="s">
        <v>34</v>
      </c>
      <c r="D66" s="989" t="s">
        <v>692</v>
      </c>
      <c r="E66" s="991">
        <v>5957.6</v>
      </c>
      <c r="F66" s="988">
        <v>68</v>
      </c>
      <c r="G66" s="992">
        <v>0</v>
      </c>
      <c r="H66" s="992">
        <v>659307.7333333334</v>
      </c>
      <c r="I66" s="992">
        <v>468787.5</v>
      </c>
      <c r="J66" s="469">
        <f>H66/(G66+H66)</f>
        <v>1</v>
      </c>
      <c r="K66" s="469">
        <f>(J66*Data!$P$172)+((1-J66)*Data!$P$171)</f>
        <v>0.17072999999999999</v>
      </c>
      <c r="L66" s="469">
        <f>(J66*Data!$P$179)+((1-K66)*Data!$P$178)</f>
        <v>0.16463429999999998</v>
      </c>
      <c r="O66" s="470"/>
      <c r="P66" s="471"/>
      <c r="Q66" s="471"/>
      <c r="R66" s="472"/>
      <c r="W66" s="468">
        <v>0</v>
      </c>
      <c r="X66" s="470">
        <v>0</v>
      </c>
      <c r="Y66" s="470">
        <v>0</v>
      </c>
      <c r="Z66" s="470">
        <v>0</v>
      </c>
      <c r="AA66" s="470">
        <v>0</v>
      </c>
      <c r="AB66" s="470">
        <v>0</v>
      </c>
      <c r="AC66" s="470">
        <v>0</v>
      </c>
      <c r="AD66" s="470">
        <v>100</v>
      </c>
    </row>
    <row r="67" spans="1:30" ht="15" customHeight="1" x14ac:dyDescent="0.2">
      <c r="A67" s="989">
        <v>351</v>
      </c>
      <c r="B67" s="474" t="s">
        <v>161</v>
      </c>
      <c r="C67" s="474" t="s">
        <v>85</v>
      </c>
      <c r="D67" s="989" t="s">
        <v>785</v>
      </c>
      <c r="E67" s="991">
        <v>5597.2</v>
      </c>
      <c r="F67" s="988">
        <v>168</v>
      </c>
      <c r="G67" s="992">
        <v>85879</v>
      </c>
      <c r="H67" s="992">
        <v>0</v>
      </c>
      <c r="I67" s="992">
        <v>325166</v>
      </c>
      <c r="J67" s="469">
        <f>H67/(G67+H67)</f>
        <v>0</v>
      </c>
      <c r="K67" s="469">
        <f>(J67*Data!$P$172)+((1-J67)*Data!$P$171)</f>
        <v>0.184</v>
      </c>
      <c r="L67" s="469">
        <f>(J67*Data!$P$179)+((1-K67)*Data!$P$178)</f>
        <v>7.3440000000000005E-2</v>
      </c>
      <c r="O67" s="470"/>
      <c r="W67" s="468">
        <v>0</v>
      </c>
      <c r="X67" s="470">
        <v>0</v>
      </c>
      <c r="Y67" s="470">
        <v>0</v>
      </c>
      <c r="Z67" s="470">
        <v>0</v>
      </c>
      <c r="AA67" s="470">
        <v>0</v>
      </c>
      <c r="AB67" s="470">
        <v>100</v>
      </c>
      <c r="AC67" s="470">
        <v>0</v>
      </c>
      <c r="AD67" s="470">
        <v>0</v>
      </c>
    </row>
    <row r="68" spans="1:30" ht="15" customHeight="1" x14ac:dyDescent="0.2">
      <c r="A68" s="989">
        <v>373</v>
      </c>
      <c r="B68" s="474" t="s">
        <v>168</v>
      </c>
      <c r="C68" s="474" t="s">
        <v>169</v>
      </c>
      <c r="D68" s="989" t="s">
        <v>785</v>
      </c>
      <c r="E68" s="991">
        <v>4364.1000000000004</v>
      </c>
      <c r="F68" s="988">
        <v>168</v>
      </c>
      <c r="G68" s="992">
        <v>527541</v>
      </c>
      <c r="H68" s="992">
        <v>0</v>
      </c>
      <c r="I68" s="992">
        <v>205200</v>
      </c>
      <c r="J68" s="469">
        <f>H68/(G68+H68)</f>
        <v>0</v>
      </c>
      <c r="K68" s="469">
        <f>(J68*Data!$P$172)+((1-J68)*Data!$P$171)</f>
        <v>0.184</v>
      </c>
      <c r="L68" s="469">
        <f>(J68*Data!$P$179)+((1-K68)*Data!$P$178)</f>
        <v>7.3440000000000005E-2</v>
      </c>
      <c r="O68" s="470"/>
      <c r="W68" s="468">
        <v>0</v>
      </c>
      <c r="X68" s="470">
        <v>0</v>
      </c>
      <c r="Y68" s="470">
        <v>0</v>
      </c>
      <c r="Z68" s="470">
        <v>0</v>
      </c>
      <c r="AA68" s="470">
        <v>0</v>
      </c>
      <c r="AB68" s="470">
        <v>100</v>
      </c>
      <c r="AC68" s="470">
        <v>0</v>
      </c>
      <c r="AD68" s="470">
        <v>0</v>
      </c>
    </row>
    <row r="69" spans="1:30" ht="15" customHeight="1" x14ac:dyDescent="0.2">
      <c r="A69" s="989">
        <v>88</v>
      </c>
      <c r="B69" s="989" t="s">
        <v>78</v>
      </c>
      <c r="C69" s="989" t="s">
        <v>79</v>
      </c>
      <c r="D69" s="989" t="s">
        <v>692</v>
      </c>
      <c r="E69" s="991">
        <v>1381.4</v>
      </c>
      <c r="F69" s="988">
        <v>67</v>
      </c>
      <c r="G69" s="992">
        <v>0</v>
      </c>
      <c r="H69" s="992">
        <v>63000</v>
      </c>
      <c r="I69" s="992">
        <v>159601</v>
      </c>
      <c r="J69" s="469">
        <f>H69/(G69+H69)</f>
        <v>1</v>
      </c>
      <c r="K69" s="469">
        <f>(J69*Data!$P$172)+((1-J69)*Data!$P$171)</f>
        <v>0.17072999999999999</v>
      </c>
      <c r="L69" s="469">
        <f>(J69*Data!$P$179)+((1-K69)*Data!$P$178)</f>
        <v>0.16463429999999998</v>
      </c>
      <c r="O69" s="470"/>
      <c r="P69" s="471"/>
      <c r="Q69" s="471"/>
      <c r="R69" s="472"/>
      <c r="W69" s="468">
        <v>0</v>
      </c>
      <c r="X69" s="470">
        <v>0</v>
      </c>
      <c r="Y69" s="470">
        <v>0</v>
      </c>
      <c r="Z69" s="470">
        <v>0</v>
      </c>
      <c r="AA69" s="470">
        <v>0</v>
      </c>
      <c r="AB69" s="470">
        <v>0</v>
      </c>
      <c r="AC69" s="470">
        <v>0</v>
      </c>
      <c r="AD69" s="470">
        <v>100</v>
      </c>
    </row>
    <row r="70" spans="1:30" ht="15" customHeight="1" x14ac:dyDescent="0.2">
      <c r="A70" s="989">
        <v>96</v>
      </c>
      <c r="B70" s="990" t="s">
        <v>82</v>
      </c>
      <c r="C70" s="990" t="s">
        <v>83</v>
      </c>
      <c r="D70" s="989" t="s">
        <v>785</v>
      </c>
      <c r="E70" s="991">
        <v>6811.1</v>
      </c>
      <c r="F70" s="988">
        <v>168</v>
      </c>
      <c r="G70" s="992">
        <v>0</v>
      </c>
      <c r="H70" s="992">
        <v>0</v>
      </c>
      <c r="I70" s="992">
        <v>55666</v>
      </c>
      <c r="J70" s="469" t="e">
        <f>H70/(G70+H70)</f>
        <v>#DIV/0!</v>
      </c>
      <c r="K70" s="469" t="e">
        <f>(J70*Data!$P$172)+((1-J70)*Data!$P$171)</f>
        <v>#DIV/0!</v>
      </c>
      <c r="L70" s="469" t="e">
        <f>(J70*Data!$P$179)+((1-K70)*Data!$P$178)</f>
        <v>#DIV/0!</v>
      </c>
      <c r="O70" s="470"/>
      <c r="P70" s="471"/>
      <c r="Q70" s="471"/>
      <c r="R70" s="472"/>
      <c r="W70" s="468">
        <v>0</v>
      </c>
      <c r="X70" s="470">
        <v>0</v>
      </c>
      <c r="Y70" s="470">
        <v>0</v>
      </c>
      <c r="Z70" s="470">
        <v>0</v>
      </c>
      <c r="AA70" s="470">
        <v>0</v>
      </c>
      <c r="AB70" s="470">
        <v>100</v>
      </c>
      <c r="AC70" s="470">
        <v>0</v>
      </c>
      <c r="AD70" s="470">
        <v>0</v>
      </c>
    </row>
    <row r="71" spans="1:30" ht="15" customHeight="1" x14ac:dyDescent="0.2">
      <c r="A71" s="989">
        <v>36</v>
      </c>
      <c r="B71" s="990" t="s">
        <v>48</v>
      </c>
      <c r="C71" s="990" t="s">
        <v>34</v>
      </c>
      <c r="D71" s="989" t="s">
        <v>692</v>
      </c>
      <c r="E71" s="991">
        <v>534.1</v>
      </c>
      <c r="F71" s="988">
        <v>60</v>
      </c>
      <c r="G71" s="992">
        <v>0</v>
      </c>
      <c r="H71" s="992">
        <v>42512</v>
      </c>
      <c r="I71" s="992">
        <v>35320</v>
      </c>
      <c r="J71" s="469">
        <f>H71/(G71+H71)</f>
        <v>1</v>
      </c>
      <c r="K71" s="469">
        <f>(J71*Data!$P$172)+((1-J71)*Data!$P$171)</f>
        <v>0.17072999999999999</v>
      </c>
      <c r="L71" s="469">
        <f>(J71*Data!$P$179)+((1-K71)*Data!$P$178)</f>
        <v>0.16463429999999998</v>
      </c>
      <c r="O71" s="470"/>
      <c r="P71" s="471"/>
      <c r="Q71" s="471"/>
      <c r="R71" s="472"/>
      <c r="W71" s="468">
        <v>0</v>
      </c>
      <c r="X71" s="470">
        <v>0</v>
      </c>
      <c r="Y71" s="470">
        <v>0</v>
      </c>
      <c r="Z71" s="470">
        <v>0</v>
      </c>
      <c r="AA71" s="470">
        <v>0</v>
      </c>
      <c r="AB71" s="470">
        <v>0</v>
      </c>
      <c r="AC71" s="470">
        <v>0</v>
      </c>
      <c r="AD71" s="470">
        <v>100</v>
      </c>
    </row>
    <row r="72" spans="1:30" ht="15" customHeight="1" x14ac:dyDescent="0.2">
      <c r="A72" s="474">
        <v>412</v>
      </c>
      <c r="B72" s="474" t="s">
        <v>809</v>
      </c>
      <c r="C72" s="474" t="s">
        <v>824</v>
      </c>
      <c r="D72" s="989" t="s">
        <v>791</v>
      </c>
      <c r="E72" s="991">
        <v>5828.8</v>
      </c>
      <c r="F72" s="988">
        <v>168</v>
      </c>
      <c r="G72" s="992">
        <v>0</v>
      </c>
      <c r="H72" s="992">
        <v>1225347.6666666667</v>
      </c>
      <c r="I72" s="992">
        <v>704936</v>
      </c>
      <c r="J72" s="469">
        <f>H72/(G72+H72)</f>
        <v>1</v>
      </c>
      <c r="K72" s="469">
        <f>(J72*Data!$P$172)+((1-J72)*Data!$P$171)</f>
        <v>0.17072999999999999</v>
      </c>
      <c r="L72" s="469">
        <f>(J72*Data!$P$179)+((1-K72)*Data!$P$178)</f>
        <v>0.16463429999999998</v>
      </c>
    </row>
    <row r="73" spans="1:30" ht="15" customHeight="1" x14ac:dyDescent="0.2">
      <c r="A73" s="989">
        <v>124</v>
      </c>
      <c r="B73" s="989" t="s">
        <v>97</v>
      </c>
      <c r="C73" s="989" t="s">
        <v>731</v>
      </c>
      <c r="D73" s="989" t="s">
        <v>785</v>
      </c>
      <c r="E73" s="991">
        <v>2406.9</v>
      </c>
      <c r="F73" s="988">
        <v>168</v>
      </c>
      <c r="G73" s="992">
        <v>0</v>
      </c>
      <c r="H73" s="992">
        <v>0</v>
      </c>
      <c r="I73" s="992">
        <v>127513.1</v>
      </c>
      <c r="J73" s="469" t="e">
        <f>H73/(G73+H73)</f>
        <v>#DIV/0!</v>
      </c>
      <c r="K73" s="469" t="e">
        <f>(J73*Data!$P$172)+((1-J73)*Data!$P$171)</f>
        <v>#DIV/0!</v>
      </c>
      <c r="L73" s="469" t="e">
        <f>(J73*Data!$P$179)+((1-K73)*Data!$P$178)</f>
        <v>#DIV/0!</v>
      </c>
      <c r="O73" s="470"/>
      <c r="P73" s="471"/>
      <c r="Q73" s="471"/>
      <c r="R73" s="472"/>
      <c r="W73" s="468">
        <v>0</v>
      </c>
      <c r="X73" s="470">
        <v>0</v>
      </c>
      <c r="Y73" s="470">
        <v>0</v>
      </c>
      <c r="Z73" s="470">
        <v>0</v>
      </c>
      <c r="AA73" s="470">
        <v>0</v>
      </c>
      <c r="AB73" s="470">
        <v>100</v>
      </c>
      <c r="AC73" s="470">
        <v>0</v>
      </c>
      <c r="AD73" s="470">
        <v>0</v>
      </c>
    </row>
    <row r="74" spans="1:30" ht="15" customHeight="1" x14ac:dyDescent="0.2">
      <c r="A74" s="989">
        <v>237</v>
      </c>
      <c r="B74" s="474" t="s">
        <v>138</v>
      </c>
      <c r="C74" s="474" t="s">
        <v>139</v>
      </c>
      <c r="D74" s="989" t="s">
        <v>789</v>
      </c>
      <c r="E74" s="991">
        <v>6604.7</v>
      </c>
      <c r="F74" s="988">
        <v>168</v>
      </c>
      <c r="G74" s="992">
        <v>3337745</v>
      </c>
      <c r="H74" s="992">
        <v>0</v>
      </c>
      <c r="I74" s="992">
        <v>3402189</v>
      </c>
      <c r="J74" s="469">
        <f>H74/(G74+H74)</f>
        <v>0</v>
      </c>
      <c r="K74" s="469">
        <f>(J74*Data!$P$172)+((1-J74)*Data!$P$171)</f>
        <v>0.184</v>
      </c>
      <c r="L74" s="469">
        <f>(J74*Data!$P$179)+((1-K74)*Data!$P$178)</f>
        <v>7.3440000000000005E-2</v>
      </c>
      <c r="O74" s="470"/>
      <c r="W74" s="468">
        <v>0</v>
      </c>
      <c r="X74" s="470">
        <v>0</v>
      </c>
      <c r="Y74" s="470">
        <v>0</v>
      </c>
      <c r="Z74" s="470">
        <v>100</v>
      </c>
      <c r="AA74" s="470">
        <v>0</v>
      </c>
      <c r="AB74" s="470">
        <v>0</v>
      </c>
      <c r="AC74" s="470">
        <v>0</v>
      </c>
      <c r="AD74" s="470">
        <v>0</v>
      </c>
    </row>
    <row r="75" spans="1:30" ht="15" customHeight="1" x14ac:dyDescent="0.2">
      <c r="A75" s="989">
        <v>239</v>
      </c>
      <c r="B75" s="474" t="s">
        <v>751</v>
      </c>
      <c r="C75" s="474" t="s">
        <v>139</v>
      </c>
      <c r="D75" s="989" t="s">
        <v>789</v>
      </c>
      <c r="E75" s="991">
        <v>3583.4</v>
      </c>
      <c r="F75" s="988">
        <v>168</v>
      </c>
      <c r="G75" s="992">
        <v>0</v>
      </c>
      <c r="H75" s="992">
        <v>0</v>
      </c>
      <c r="I75" s="992">
        <v>0</v>
      </c>
      <c r="J75" s="469" t="e">
        <f>H75/(G75+H75)</f>
        <v>#DIV/0!</v>
      </c>
      <c r="K75" s="469" t="e">
        <f>(J75*Data!$P$172)+((1-J75)*Data!$P$171)</f>
        <v>#DIV/0!</v>
      </c>
      <c r="L75" s="469" t="e">
        <f>(J75*Data!$P$179)+((1-K75)*Data!$P$178)</f>
        <v>#DIV/0!</v>
      </c>
      <c r="O75" s="470"/>
      <c r="W75" s="468">
        <v>0</v>
      </c>
      <c r="X75" s="470">
        <v>0</v>
      </c>
      <c r="Y75" s="470">
        <v>0</v>
      </c>
      <c r="Z75" s="470">
        <v>100</v>
      </c>
      <c r="AA75" s="470">
        <v>0</v>
      </c>
      <c r="AB75" s="470">
        <v>0</v>
      </c>
      <c r="AC75" s="470">
        <v>0</v>
      </c>
      <c r="AD75" s="470">
        <v>0</v>
      </c>
    </row>
    <row r="76" spans="1:30" ht="15" customHeight="1" x14ac:dyDescent="0.2">
      <c r="A76" s="989">
        <v>238</v>
      </c>
      <c r="B76" s="474" t="s">
        <v>750</v>
      </c>
      <c r="C76" s="474" t="s">
        <v>139</v>
      </c>
      <c r="D76" s="989" t="s">
        <v>692</v>
      </c>
      <c r="E76" s="991">
        <v>2998.9</v>
      </c>
      <c r="F76" s="988">
        <v>60</v>
      </c>
      <c r="G76" s="992">
        <v>0</v>
      </c>
      <c r="H76" s="992">
        <v>0</v>
      </c>
      <c r="I76" s="992">
        <v>0</v>
      </c>
      <c r="J76" s="469" t="e">
        <f>H76/(G76+H76)</f>
        <v>#DIV/0!</v>
      </c>
      <c r="K76" s="469" t="e">
        <f>(J76*Data!$P$172)+((1-J76)*Data!$P$171)</f>
        <v>#DIV/0!</v>
      </c>
      <c r="L76" s="469" t="e">
        <f>(J76*Data!$P$179)+((1-K76)*Data!$P$178)</f>
        <v>#DIV/0!</v>
      </c>
      <c r="O76" s="470"/>
      <c r="W76" s="468">
        <v>0</v>
      </c>
      <c r="X76" s="470">
        <v>0</v>
      </c>
      <c r="Y76" s="470">
        <v>0</v>
      </c>
      <c r="Z76" s="470">
        <v>0</v>
      </c>
      <c r="AA76" s="470">
        <v>0</v>
      </c>
      <c r="AB76" s="470">
        <v>0</v>
      </c>
      <c r="AC76" s="470">
        <v>0</v>
      </c>
      <c r="AD76" s="470">
        <v>100</v>
      </c>
    </row>
    <row r="77" spans="1:30" ht="15" customHeight="1" x14ac:dyDescent="0.2">
      <c r="A77" s="989">
        <v>69</v>
      </c>
      <c r="B77" s="989" t="s">
        <v>69</v>
      </c>
      <c r="C77" s="989" t="s">
        <v>65</v>
      </c>
      <c r="D77" s="989" t="s">
        <v>785</v>
      </c>
      <c r="E77" s="991">
        <v>6555.1</v>
      </c>
      <c r="F77" s="988">
        <v>168</v>
      </c>
      <c r="G77" s="992">
        <v>2743079</v>
      </c>
      <c r="H77" s="992">
        <v>0</v>
      </c>
      <c r="I77" s="992">
        <v>831426.36172140564</v>
      </c>
      <c r="J77" s="469">
        <f>H77/(G77+H77)</f>
        <v>0</v>
      </c>
      <c r="K77" s="469">
        <f>(J77*Data!$P$172)+((1-J77)*Data!$P$171)</f>
        <v>0.184</v>
      </c>
      <c r="L77" s="469">
        <f>(J77*Data!$P$179)+((1-K77)*Data!$P$178)</f>
        <v>7.3440000000000005E-2</v>
      </c>
      <c r="O77" s="470"/>
      <c r="P77" s="471"/>
      <c r="Q77" s="471"/>
      <c r="R77" s="472"/>
      <c r="W77" s="468">
        <v>0</v>
      </c>
      <c r="X77" s="470">
        <v>0</v>
      </c>
      <c r="Y77" s="470">
        <v>0</v>
      </c>
      <c r="Z77" s="470">
        <v>0</v>
      </c>
      <c r="AA77" s="470">
        <v>0</v>
      </c>
      <c r="AB77" s="470">
        <v>100</v>
      </c>
      <c r="AC77" s="470">
        <v>0</v>
      </c>
      <c r="AD77" s="470">
        <v>0</v>
      </c>
    </row>
    <row r="78" spans="1:30" ht="15" customHeight="1" x14ac:dyDescent="0.2">
      <c r="A78" s="989">
        <v>246</v>
      </c>
      <c r="B78" s="474" t="s">
        <v>145</v>
      </c>
      <c r="C78" s="474" t="s">
        <v>144</v>
      </c>
      <c r="D78" s="989" t="s">
        <v>692</v>
      </c>
      <c r="E78" s="991">
        <v>1880.4</v>
      </c>
      <c r="F78" s="988">
        <v>67</v>
      </c>
      <c r="G78" s="992">
        <v>389119</v>
      </c>
      <c r="H78" s="992">
        <v>0</v>
      </c>
      <c r="I78" s="992">
        <v>1105836</v>
      </c>
      <c r="J78" s="469">
        <f>H78/(G78+H78)</f>
        <v>0</v>
      </c>
      <c r="K78" s="469">
        <f>(J78*Data!$P$172)+((1-J78)*Data!$P$171)</f>
        <v>0.184</v>
      </c>
      <c r="L78" s="469">
        <f>(J78*Data!$P$179)+((1-K78)*Data!$P$178)</f>
        <v>7.3440000000000005E-2</v>
      </c>
      <c r="O78" s="470"/>
      <c r="W78" s="468">
        <v>0</v>
      </c>
      <c r="X78" s="470">
        <v>0</v>
      </c>
      <c r="Y78" s="470">
        <v>0</v>
      </c>
      <c r="Z78" s="470">
        <v>0</v>
      </c>
      <c r="AA78" s="470">
        <v>0</v>
      </c>
      <c r="AB78" s="470">
        <v>0</v>
      </c>
      <c r="AC78" s="470">
        <v>0</v>
      </c>
      <c r="AD78" s="470">
        <v>100</v>
      </c>
    </row>
    <row r="79" spans="1:30" ht="15" customHeight="1" x14ac:dyDescent="0.2">
      <c r="A79" s="989">
        <v>243</v>
      </c>
      <c r="B79" s="474" t="s">
        <v>754</v>
      </c>
      <c r="C79" s="474" t="s">
        <v>753</v>
      </c>
      <c r="D79" s="989" t="s">
        <v>692</v>
      </c>
      <c r="E79" s="991">
        <v>604.29999999999995</v>
      </c>
      <c r="F79" s="988">
        <v>60</v>
      </c>
      <c r="G79" s="992">
        <v>0</v>
      </c>
      <c r="H79" s="992">
        <v>0</v>
      </c>
      <c r="I79" s="992">
        <v>341250</v>
      </c>
      <c r="J79" s="469" t="e">
        <f>H79/(G79+H79)</f>
        <v>#DIV/0!</v>
      </c>
      <c r="K79" s="469" t="e">
        <f>(J79*Data!$P$172)+((1-J79)*Data!$P$171)</f>
        <v>#DIV/0!</v>
      </c>
      <c r="L79" s="469" t="e">
        <f>(J79*Data!$P$179)+((1-K79)*Data!$P$178)</f>
        <v>#DIV/0!</v>
      </c>
      <c r="O79" s="470"/>
      <c r="W79" s="468">
        <v>0</v>
      </c>
      <c r="X79" s="470">
        <v>0</v>
      </c>
      <c r="Y79" s="470">
        <v>0</v>
      </c>
      <c r="Z79" s="470">
        <v>0</v>
      </c>
      <c r="AA79" s="470">
        <v>0</v>
      </c>
      <c r="AB79" s="470">
        <v>0</v>
      </c>
      <c r="AC79" s="470">
        <v>0</v>
      </c>
      <c r="AD79" s="470">
        <v>100</v>
      </c>
    </row>
    <row r="80" spans="1:30" ht="15" customHeight="1" x14ac:dyDescent="0.2">
      <c r="A80" s="989">
        <v>378</v>
      </c>
      <c r="B80" s="474" t="s">
        <v>771</v>
      </c>
      <c r="C80" s="474" t="s">
        <v>142</v>
      </c>
      <c r="D80" s="989" t="s">
        <v>789</v>
      </c>
      <c r="E80" s="991">
        <v>1622.4</v>
      </c>
      <c r="F80" s="988">
        <v>168</v>
      </c>
      <c r="G80" s="992">
        <v>0</v>
      </c>
      <c r="H80" s="992">
        <v>0</v>
      </c>
      <c r="I80" s="992">
        <v>726250</v>
      </c>
      <c r="J80" s="469" t="e">
        <f>H80/(G80+H80)</f>
        <v>#DIV/0!</v>
      </c>
      <c r="K80" s="469" t="e">
        <f>(J80*Data!$P$172)+((1-J80)*Data!$P$171)</f>
        <v>#DIV/0!</v>
      </c>
      <c r="L80" s="469" t="e">
        <f>(J80*Data!$P$179)+((1-K80)*Data!$P$178)</f>
        <v>#DIV/0!</v>
      </c>
      <c r="O80" s="470"/>
      <c r="W80" s="468">
        <v>0</v>
      </c>
      <c r="X80" s="470">
        <v>0</v>
      </c>
      <c r="Y80" s="470">
        <v>0</v>
      </c>
      <c r="Z80" s="470">
        <v>100</v>
      </c>
      <c r="AA80" s="470">
        <v>0</v>
      </c>
      <c r="AB80" s="470">
        <v>0</v>
      </c>
      <c r="AC80" s="470">
        <v>0</v>
      </c>
      <c r="AD80" s="470">
        <v>0</v>
      </c>
    </row>
    <row r="81" spans="1:30" ht="15" customHeight="1" x14ac:dyDescent="0.2">
      <c r="A81" s="989">
        <v>247</v>
      </c>
      <c r="B81" s="474" t="s">
        <v>756</v>
      </c>
      <c r="C81" s="474" t="s">
        <v>144</v>
      </c>
      <c r="D81" s="989" t="s">
        <v>692</v>
      </c>
      <c r="E81" s="991">
        <v>1008.1</v>
      </c>
      <c r="F81" s="988">
        <v>60</v>
      </c>
      <c r="G81" s="992">
        <v>0</v>
      </c>
      <c r="H81" s="992">
        <v>0</v>
      </c>
      <c r="I81" s="992">
        <v>306250</v>
      </c>
      <c r="J81" s="469" t="e">
        <f>H81/(G81+H81)</f>
        <v>#DIV/0!</v>
      </c>
      <c r="K81" s="469" t="e">
        <f>(J81*Data!$P$172)+((1-J81)*Data!$P$171)</f>
        <v>#DIV/0!</v>
      </c>
      <c r="L81" s="469" t="e">
        <f>(J81*Data!$P$179)+((1-K81)*Data!$P$178)</f>
        <v>#DIV/0!</v>
      </c>
      <c r="O81" s="470"/>
      <c r="W81" s="468">
        <v>0</v>
      </c>
      <c r="X81" s="470">
        <v>0</v>
      </c>
      <c r="Y81" s="470">
        <v>0</v>
      </c>
      <c r="Z81" s="470">
        <v>0</v>
      </c>
      <c r="AA81" s="470">
        <v>0</v>
      </c>
      <c r="AB81" s="470">
        <v>0</v>
      </c>
      <c r="AC81" s="470">
        <v>0</v>
      </c>
      <c r="AD81" s="470">
        <v>100</v>
      </c>
    </row>
    <row r="82" spans="1:30" ht="15" customHeight="1" x14ac:dyDescent="0.2">
      <c r="A82" s="989">
        <v>234</v>
      </c>
      <c r="B82" s="474" t="s">
        <v>748</v>
      </c>
      <c r="C82" s="474" t="s">
        <v>749</v>
      </c>
      <c r="D82" s="989" t="s">
        <v>789</v>
      </c>
      <c r="E82" s="991">
        <v>1718.9</v>
      </c>
      <c r="F82" s="988">
        <v>168</v>
      </c>
      <c r="G82" s="992">
        <v>0</v>
      </c>
      <c r="H82" s="992">
        <v>0</v>
      </c>
      <c r="I82" s="992">
        <v>0</v>
      </c>
      <c r="J82" s="469" t="e">
        <f>H82/(G82+H82)</f>
        <v>#DIV/0!</v>
      </c>
      <c r="K82" s="469" t="e">
        <f>(J82*Data!$P$172)+((1-J82)*Data!$P$171)</f>
        <v>#DIV/0!</v>
      </c>
      <c r="L82" s="469" t="e">
        <f>(J82*Data!$P$179)+((1-K82)*Data!$P$178)</f>
        <v>#DIV/0!</v>
      </c>
      <c r="O82" s="470"/>
      <c r="W82" s="468">
        <v>0</v>
      </c>
      <c r="X82" s="470">
        <v>0</v>
      </c>
      <c r="Y82" s="470">
        <v>0</v>
      </c>
      <c r="Z82" s="470">
        <v>100</v>
      </c>
      <c r="AA82" s="470">
        <v>0</v>
      </c>
      <c r="AB82" s="470">
        <v>0</v>
      </c>
      <c r="AC82" s="470">
        <v>0</v>
      </c>
      <c r="AD82" s="470">
        <v>0</v>
      </c>
    </row>
    <row r="83" spans="1:30" ht="15" customHeight="1" x14ac:dyDescent="0.2">
      <c r="A83" s="989">
        <v>366</v>
      </c>
      <c r="B83" s="474" t="s">
        <v>768</v>
      </c>
      <c r="C83" s="474" t="s">
        <v>133</v>
      </c>
      <c r="D83" s="989" t="s">
        <v>789</v>
      </c>
      <c r="E83" s="991">
        <v>2433.6</v>
      </c>
      <c r="F83" s="988">
        <v>168</v>
      </c>
      <c r="G83" s="992">
        <v>0</v>
      </c>
      <c r="H83" s="992">
        <v>0</v>
      </c>
      <c r="I83" s="992">
        <v>0</v>
      </c>
      <c r="J83" s="469" t="e">
        <f>H83/(G83+H83)</f>
        <v>#DIV/0!</v>
      </c>
      <c r="K83" s="469" t="e">
        <f>(J83*Data!$P$172)+((1-J83)*Data!$P$171)</f>
        <v>#DIV/0!</v>
      </c>
      <c r="L83" s="469" t="e">
        <f>(J83*Data!$P$179)+((1-K83)*Data!$P$178)</f>
        <v>#DIV/0!</v>
      </c>
      <c r="O83" s="470"/>
      <c r="W83" s="468">
        <v>0</v>
      </c>
      <c r="X83" s="470">
        <v>0</v>
      </c>
      <c r="Y83" s="470">
        <v>0</v>
      </c>
      <c r="Z83" s="470">
        <v>100</v>
      </c>
      <c r="AA83" s="470">
        <v>0</v>
      </c>
      <c r="AB83" s="470">
        <v>0</v>
      </c>
      <c r="AC83" s="470">
        <v>0</v>
      </c>
      <c r="AD83" s="470">
        <v>0</v>
      </c>
    </row>
    <row r="84" spans="1:30" ht="15" customHeight="1" x14ac:dyDescent="0.2">
      <c r="A84" s="989">
        <v>367</v>
      </c>
      <c r="B84" s="474" t="s">
        <v>769</v>
      </c>
      <c r="C84" s="474" t="s">
        <v>133</v>
      </c>
      <c r="D84" s="989" t="s">
        <v>789</v>
      </c>
      <c r="E84" s="991">
        <v>1789.5</v>
      </c>
      <c r="F84" s="988">
        <v>168</v>
      </c>
      <c r="G84" s="992">
        <v>0</v>
      </c>
      <c r="H84" s="992">
        <v>0</v>
      </c>
      <c r="I84" s="992">
        <v>0</v>
      </c>
      <c r="J84" s="469" t="e">
        <f>H84/(G84+H84)</f>
        <v>#DIV/0!</v>
      </c>
      <c r="K84" s="469" t="e">
        <f>(J84*Data!$P$172)+((1-J84)*Data!$P$171)</f>
        <v>#DIV/0!</v>
      </c>
      <c r="L84" s="469" t="e">
        <f>(J84*Data!$P$179)+((1-K84)*Data!$P$178)</f>
        <v>#DIV/0!</v>
      </c>
      <c r="O84" s="470"/>
      <c r="W84" s="468">
        <v>0</v>
      </c>
      <c r="X84" s="470">
        <v>0</v>
      </c>
      <c r="Y84" s="470">
        <v>0</v>
      </c>
      <c r="Z84" s="470">
        <v>100</v>
      </c>
      <c r="AA84" s="470">
        <v>0</v>
      </c>
      <c r="AB84" s="470">
        <v>0</v>
      </c>
      <c r="AC84" s="470">
        <v>0</v>
      </c>
      <c r="AD84" s="470">
        <v>0</v>
      </c>
    </row>
    <row r="85" spans="1:30" ht="15" customHeight="1" x14ac:dyDescent="0.2">
      <c r="A85" s="989">
        <v>231</v>
      </c>
      <c r="B85" s="474" t="s">
        <v>746</v>
      </c>
      <c r="C85" s="474" t="s">
        <v>747</v>
      </c>
      <c r="D85" s="989" t="s">
        <v>692</v>
      </c>
      <c r="E85" s="991">
        <v>476.6</v>
      </c>
      <c r="F85" s="988">
        <v>60</v>
      </c>
      <c r="G85" s="992">
        <v>0</v>
      </c>
      <c r="H85" s="992">
        <v>0</v>
      </c>
      <c r="I85" s="992">
        <v>0</v>
      </c>
      <c r="J85" s="469" t="e">
        <f>H85/(G85+H85)</f>
        <v>#DIV/0!</v>
      </c>
      <c r="K85" s="469" t="e">
        <f>(J85*Data!$P$172)+((1-J85)*Data!$P$171)</f>
        <v>#DIV/0!</v>
      </c>
      <c r="L85" s="469" t="e">
        <f>(J85*Data!$P$179)+((1-K85)*Data!$P$178)</f>
        <v>#DIV/0!</v>
      </c>
      <c r="O85" s="470"/>
      <c r="W85" s="468">
        <v>0</v>
      </c>
      <c r="X85" s="470">
        <v>0</v>
      </c>
      <c r="Y85" s="470">
        <v>0</v>
      </c>
      <c r="Z85" s="470">
        <v>0</v>
      </c>
      <c r="AA85" s="470">
        <v>0</v>
      </c>
      <c r="AB85" s="470">
        <v>0</v>
      </c>
      <c r="AC85" s="470">
        <v>0</v>
      </c>
      <c r="AD85" s="470">
        <v>100</v>
      </c>
    </row>
    <row r="86" spans="1:30" ht="15" customHeight="1" x14ac:dyDescent="0.2">
      <c r="A86" s="989">
        <v>90</v>
      </c>
      <c r="B86" s="990" t="s">
        <v>80</v>
      </c>
      <c r="C86" s="990" t="s">
        <v>81</v>
      </c>
      <c r="D86" s="989" t="s">
        <v>692</v>
      </c>
      <c r="E86" s="991">
        <v>8340.2999999999993</v>
      </c>
      <c r="F86" s="988">
        <v>168</v>
      </c>
      <c r="G86" s="992">
        <v>0</v>
      </c>
      <c r="H86" s="992">
        <v>500000</v>
      </c>
      <c r="I86" s="992">
        <v>742208</v>
      </c>
      <c r="J86" s="469">
        <f>H86/(G86+H86)</f>
        <v>1</v>
      </c>
      <c r="K86" s="469">
        <f>(J86*Data!$P$172)+((1-J86)*Data!$P$171)</f>
        <v>0.17072999999999999</v>
      </c>
      <c r="L86" s="469">
        <f>(J86*Data!$P$179)+((1-K86)*Data!$P$178)</f>
        <v>0.16463429999999998</v>
      </c>
      <c r="O86" s="470"/>
      <c r="P86" s="471"/>
      <c r="Q86" s="471"/>
      <c r="R86" s="472"/>
      <c r="W86" s="468">
        <v>0</v>
      </c>
      <c r="X86" s="470">
        <v>0</v>
      </c>
      <c r="Y86" s="470">
        <v>0</v>
      </c>
      <c r="Z86" s="470">
        <v>0</v>
      </c>
      <c r="AA86" s="470">
        <v>0</v>
      </c>
      <c r="AB86" s="470">
        <v>0</v>
      </c>
      <c r="AC86" s="470">
        <v>0</v>
      </c>
      <c r="AD86" s="470">
        <v>100</v>
      </c>
    </row>
    <row r="87" spans="1:30" ht="15" customHeight="1" x14ac:dyDescent="0.2">
      <c r="A87" s="989">
        <v>348</v>
      </c>
      <c r="B87" s="474" t="s">
        <v>158</v>
      </c>
      <c r="C87" s="474" t="s">
        <v>159</v>
      </c>
      <c r="D87" s="989" t="s">
        <v>789</v>
      </c>
      <c r="E87" s="991">
        <v>2213.1</v>
      </c>
      <c r="F87" s="988">
        <v>67</v>
      </c>
      <c r="G87" s="992">
        <v>666307</v>
      </c>
      <c r="H87" s="992">
        <v>0</v>
      </c>
      <c r="I87" s="992">
        <v>1049265</v>
      </c>
      <c r="J87" s="469">
        <f>H87/(G87+H87)</f>
        <v>0</v>
      </c>
      <c r="K87" s="469">
        <f>(J87*Data!$P$172)+((1-J87)*Data!$P$171)</f>
        <v>0.184</v>
      </c>
      <c r="L87" s="469">
        <f>(J87*Data!$P$179)+((1-K87)*Data!$P$178)</f>
        <v>7.3440000000000005E-2</v>
      </c>
      <c r="O87" s="470"/>
      <c r="W87" s="468">
        <v>0</v>
      </c>
      <c r="X87" s="470">
        <v>0</v>
      </c>
      <c r="Y87" s="470">
        <v>0</v>
      </c>
      <c r="Z87" s="470">
        <v>100</v>
      </c>
      <c r="AA87" s="470">
        <v>0</v>
      </c>
      <c r="AB87" s="470">
        <v>0</v>
      </c>
      <c r="AC87" s="470">
        <v>0</v>
      </c>
      <c r="AD87" s="470">
        <v>0</v>
      </c>
    </row>
    <row r="88" spans="1:30" ht="15" customHeight="1" x14ac:dyDescent="0.2">
      <c r="A88" s="989">
        <v>236</v>
      </c>
      <c r="B88" s="474" t="s">
        <v>136</v>
      </c>
      <c r="C88" s="474" t="s">
        <v>137</v>
      </c>
      <c r="D88" s="989" t="s">
        <v>789</v>
      </c>
      <c r="E88" s="991">
        <v>2982.5</v>
      </c>
      <c r="F88" s="988">
        <v>168</v>
      </c>
      <c r="G88" s="992">
        <v>1631725</v>
      </c>
      <c r="H88" s="992">
        <v>0</v>
      </c>
      <c r="I88" s="992">
        <v>1359064</v>
      </c>
      <c r="J88" s="469">
        <f>H88/(G88+H88)</f>
        <v>0</v>
      </c>
      <c r="K88" s="469">
        <f>(J88*Data!$P$172)+((1-J88)*Data!$P$171)</f>
        <v>0.184</v>
      </c>
      <c r="L88" s="469">
        <f>(J88*Data!$P$179)+((1-K88)*Data!$P$178)</f>
        <v>7.3440000000000005E-2</v>
      </c>
      <c r="O88" s="470"/>
      <c r="W88" s="468">
        <v>0</v>
      </c>
      <c r="X88" s="470">
        <v>0</v>
      </c>
      <c r="Y88" s="470">
        <v>0</v>
      </c>
      <c r="Z88" s="470">
        <v>100</v>
      </c>
      <c r="AA88" s="470">
        <v>0</v>
      </c>
      <c r="AB88" s="470">
        <v>0</v>
      </c>
      <c r="AC88" s="470">
        <v>0</v>
      </c>
      <c r="AD88" s="470">
        <v>0</v>
      </c>
    </row>
    <row r="89" spans="1:30" ht="15" customHeight="1" x14ac:dyDescent="0.2">
      <c r="A89" s="989">
        <v>267</v>
      </c>
      <c r="B89" s="474" t="s">
        <v>150</v>
      </c>
      <c r="C89" s="474" t="s">
        <v>151</v>
      </c>
      <c r="D89" s="989" t="s">
        <v>789</v>
      </c>
      <c r="E89" s="991">
        <v>1538.2</v>
      </c>
      <c r="F89" s="988">
        <v>168</v>
      </c>
      <c r="G89" s="992">
        <v>20959</v>
      </c>
      <c r="H89" s="992">
        <v>0</v>
      </c>
      <c r="I89" s="992">
        <v>177709</v>
      </c>
      <c r="J89" s="469">
        <f>H89/(G89+H89)</f>
        <v>0</v>
      </c>
      <c r="K89" s="469">
        <f>(J89*Data!$P$172)+((1-J89)*Data!$P$171)</f>
        <v>0.184</v>
      </c>
      <c r="L89" s="469">
        <f>(J89*Data!$P$179)+((1-K89)*Data!$P$178)</f>
        <v>7.3440000000000005E-2</v>
      </c>
      <c r="O89" s="470"/>
      <c r="W89" s="468">
        <v>0</v>
      </c>
      <c r="X89" s="470">
        <v>0</v>
      </c>
      <c r="Y89" s="470">
        <v>0</v>
      </c>
      <c r="Z89" s="470">
        <v>100</v>
      </c>
      <c r="AA89" s="470">
        <v>0</v>
      </c>
      <c r="AB89" s="470">
        <v>0</v>
      </c>
      <c r="AC89" s="470">
        <v>0</v>
      </c>
      <c r="AD89" s="470">
        <v>0</v>
      </c>
    </row>
    <row r="90" spans="1:30" ht="15" customHeight="1" x14ac:dyDescent="0.2">
      <c r="A90" s="989">
        <v>162</v>
      </c>
      <c r="B90" s="989" t="s">
        <v>105</v>
      </c>
      <c r="C90" s="989" t="s">
        <v>736</v>
      </c>
      <c r="D90" s="989" t="s">
        <v>692</v>
      </c>
      <c r="E90" s="991">
        <v>29176.6</v>
      </c>
      <c r="F90" s="988">
        <v>84</v>
      </c>
      <c r="G90" s="992">
        <v>111</v>
      </c>
      <c r="H90" s="992">
        <v>1797453.3045469667</v>
      </c>
      <c r="I90" s="992">
        <v>2090975</v>
      </c>
      <c r="J90" s="469">
        <f>H90/(G90+H90)</f>
        <v>0.99993824977514334</v>
      </c>
      <c r="K90" s="469">
        <f>(J90*Data!$P$172)+((1-J90)*Data!$P$171)</f>
        <v>0.17073081942548382</v>
      </c>
      <c r="L90" s="469">
        <f>(J90*Data!$P$179)+((1-K90)*Data!$P$178)</f>
        <v>0.16462866873146936</v>
      </c>
      <c r="O90" s="470"/>
      <c r="P90" s="471"/>
      <c r="Q90" s="471"/>
      <c r="R90" s="472"/>
      <c r="W90" s="468">
        <v>0</v>
      </c>
      <c r="X90" s="470">
        <v>0</v>
      </c>
      <c r="Y90" s="470">
        <v>0</v>
      </c>
      <c r="Z90" s="470">
        <v>0</v>
      </c>
      <c r="AA90" s="470">
        <v>0</v>
      </c>
      <c r="AB90" s="470">
        <v>0</v>
      </c>
      <c r="AC90" s="470">
        <v>0</v>
      </c>
      <c r="AD90" s="470">
        <v>100</v>
      </c>
    </row>
    <row r="91" spans="1:30" ht="15" customHeight="1" x14ac:dyDescent="0.2">
      <c r="A91" s="989">
        <v>176</v>
      </c>
      <c r="B91" s="989" t="s">
        <v>119</v>
      </c>
      <c r="C91" s="989" t="s">
        <v>742</v>
      </c>
      <c r="D91" s="989" t="s">
        <v>692</v>
      </c>
      <c r="E91" s="991">
        <v>1481.2</v>
      </c>
      <c r="F91" s="988">
        <v>60</v>
      </c>
      <c r="G91" s="992">
        <v>57945</v>
      </c>
      <c r="H91" s="992">
        <v>0</v>
      </c>
      <c r="I91" s="992">
        <v>122627</v>
      </c>
      <c r="J91" s="469">
        <f>H91/(G91+H91)</f>
        <v>0</v>
      </c>
      <c r="K91" s="469">
        <f>(J91*Data!$P$172)+((1-J91)*Data!$P$171)</f>
        <v>0.184</v>
      </c>
      <c r="L91" s="469">
        <f>(J91*Data!$P$179)+((1-K91)*Data!$P$178)</f>
        <v>7.3440000000000005E-2</v>
      </c>
      <c r="O91" s="470"/>
      <c r="P91" s="471"/>
      <c r="Q91" s="471"/>
      <c r="R91" s="472"/>
      <c r="W91" s="468">
        <v>0</v>
      </c>
      <c r="X91" s="470">
        <v>0</v>
      </c>
      <c r="Y91" s="470">
        <v>0</v>
      </c>
      <c r="Z91" s="470">
        <v>0</v>
      </c>
      <c r="AA91" s="470">
        <v>0</v>
      </c>
      <c r="AB91" s="470">
        <v>0</v>
      </c>
      <c r="AC91" s="470">
        <v>0</v>
      </c>
      <c r="AD91" s="470">
        <v>100</v>
      </c>
    </row>
    <row r="92" spans="1:30" ht="15" customHeight="1" x14ac:dyDescent="0.2">
      <c r="A92" s="989">
        <v>84</v>
      </c>
      <c r="B92" s="989" t="s">
        <v>719</v>
      </c>
      <c r="C92" s="989" t="s">
        <v>720</v>
      </c>
      <c r="D92" s="989" t="s">
        <v>785</v>
      </c>
      <c r="E92" s="991">
        <v>2028.7</v>
      </c>
      <c r="F92" s="988">
        <v>168</v>
      </c>
      <c r="G92" s="992">
        <v>303129</v>
      </c>
      <c r="H92" s="992">
        <v>0</v>
      </c>
      <c r="I92" s="992">
        <v>128299.49999999999</v>
      </c>
      <c r="J92" s="469">
        <f>H92/(G92+H92)</f>
        <v>0</v>
      </c>
      <c r="K92" s="469">
        <f>(J92*Data!$P$172)+((1-J92)*Data!$P$171)</f>
        <v>0.184</v>
      </c>
      <c r="L92" s="469">
        <f>(J92*Data!$P$179)+((1-K92)*Data!$P$178)</f>
        <v>7.3440000000000005E-2</v>
      </c>
      <c r="O92" s="470"/>
      <c r="P92" s="471"/>
      <c r="Q92" s="471"/>
      <c r="R92" s="472"/>
      <c r="W92" s="468">
        <v>0</v>
      </c>
      <c r="X92" s="470">
        <v>0</v>
      </c>
      <c r="Y92" s="470">
        <v>0</v>
      </c>
      <c r="Z92" s="470">
        <v>0</v>
      </c>
      <c r="AA92" s="470">
        <v>0</v>
      </c>
      <c r="AB92" s="470">
        <v>100</v>
      </c>
      <c r="AC92" s="470">
        <v>0</v>
      </c>
      <c r="AD92" s="470">
        <v>0</v>
      </c>
    </row>
    <row r="93" spans="1:30" ht="15" customHeight="1" x14ac:dyDescent="0.2">
      <c r="A93" s="989">
        <v>174</v>
      </c>
      <c r="B93" s="989" t="s">
        <v>739</v>
      </c>
      <c r="C93" s="989" t="s">
        <v>740</v>
      </c>
      <c r="D93" s="989" t="s">
        <v>692</v>
      </c>
      <c r="E93" s="991">
        <v>442.3</v>
      </c>
      <c r="F93" s="988">
        <v>60</v>
      </c>
      <c r="G93" s="992">
        <v>9979</v>
      </c>
      <c r="H93" s="992">
        <v>0</v>
      </c>
      <c r="I93" s="992">
        <v>27992</v>
      </c>
      <c r="J93" s="469">
        <v>0</v>
      </c>
      <c r="K93" s="469">
        <f>(J93*Data!$P$172)+((1-J93)*Data!$P$171)</f>
        <v>0.184</v>
      </c>
      <c r="L93" s="469">
        <f>(J93*Data!$P$179)+((1-K93)*Data!$P$178)</f>
        <v>7.3440000000000005E-2</v>
      </c>
      <c r="O93" s="470"/>
      <c r="P93" s="471"/>
      <c r="Q93" s="471"/>
      <c r="R93" s="472"/>
      <c r="W93" s="468">
        <v>0</v>
      </c>
      <c r="X93" s="470">
        <v>0</v>
      </c>
      <c r="Y93" s="470">
        <v>0</v>
      </c>
      <c r="Z93" s="470">
        <v>0</v>
      </c>
      <c r="AA93" s="470">
        <v>0</v>
      </c>
      <c r="AB93" s="470">
        <v>0</v>
      </c>
      <c r="AC93" s="470">
        <v>0</v>
      </c>
      <c r="AD93" s="470">
        <v>100</v>
      </c>
    </row>
    <row r="94" spans="1:30" ht="15" customHeight="1" x14ac:dyDescent="0.2">
      <c r="A94" s="989">
        <v>394</v>
      </c>
      <c r="B94" s="474" t="s">
        <v>776</v>
      </c>
      <c r="C94" s="474" t="s">
        <v>777</v>
      </c>
      <c r="D94" s="989" t="s">
        <v>692</v>
      </c>
      <c r="E94" s="991">
        <v>2354.1</v>
      </c>
      <c r="F94" s="988">
        <v>60</v>
      </c>
      <c r="G94" s="992">
        <v>0</v>
      </c>
      <c r="H94" s="992">
        <v>245887.6487815798</v>
      </c>
      <c r="I94" s="992">
        <v>54234.900000000009</v>
      </c>
      <c r="J94" s="469">
        <f>H94/(G94+H94)</f>
        <v>1</v>
      </c>
      <c r="K94" s="469">
        <f>(J94*Data!$P$172)+((1-J94)*Data!$P$171)</f>
        <v>0.17072999999999999</v>
      </c>
      <c r="L94" s="469">
        <f>(J94*Data!$P$179)+((1-K94)*Data!$P$178)</f>
        <v>0.16463429999999998</v>
      </c>
      <c r="O94" s="470"/>
      <c r="W94" s="468">
        <v>0</v>
      </c>
      <c r="X94" s="470">
        <v>0</v>
      </c>
      <c r="Y94" s="470">
        <v>0</v>
      </c>
      <c r="Z94" s="470">
        <v>0</v>
      </c>
      <c r="AA94" s="470">
        <v>0</v>
      </c>
      <c r="AB94" s="470">
        <v>0</v>
      </c>
      <c r="AC94" s="470">
        <v>0</v>
      </c>
      <c r="AD94" s="470">
        <v>100</v>
      </c>
    </row>
    <row r="95" spans="1:30" ht="15" customHeight="1" x14ac:dyDescent="0.2">
      <c r="A95" s="989">
        <v>175</v>
      </c>
      <c r="B95" s="989" t="s">
        <v>118</v>
      </c>
      <c r="C95" s="989" t="s">
        <v>741</v>
      </c>
      <c r="D95" s="989" t="s">
        <v>785</v>
      </c>
      <c r="E95" s="991">
        <v>4718.7</v>
      </c>
      <c r="F95" s="988">
        <v>168</v>
      </c>
      <c r="G95" s="992">
        <v>901457</v>
      </c>
      <c r="H95" s="992">
        <v>0</v>
      </c>
      <c r="I95" s="992">
        <v>216040</v>
      </c>
      <c r="J95" s="469">
        <f>H95/(G95+H95)</f>
        <v>0</v>
      </c>
      <c r="K95" s="469">
        <f>(J95*Data!$P$172)+((1-J95)*Data!$P$171)</f>
        <v>0.184</v>
      </c>
      <c r="L95" s="469">
        <f>(J95*Data!$P$179)+((1-K95)*Data!$P$178)</f>
        <v>7.3440000000000005E-2</v>
      </c>
      <c r="O95" s="470"/>
      <c r="P95" s="471"/>
      <c r="Q95" s="471"/>
      <c r="R95" s="472"/>
      <c r="W95" s="468">
        <v>0</v>
      </c>
      <c r="X95" s="470">
        <v>0</v>
      </c>
      <c r="Y95" s="470">
        <v>0</v>
      </c>
      <c r="Z95" s="470">
        <v>0</v>
      </c>
      <c r="AA95" s="470">
        <v>0</v>
      </c>
      <c r="AB95" s="470">
        <v>100</v>
      </c>
      <c r="AC95" s="470">
        <v>0</v>
      </c>
      <c r="AD95" s="470">
        <v>0</v>
      </c>
    </row>
    <row r="96" spans="1:30" ht="15" customHeight="1" x14ac:dyDescent="0.2">
      <c r="A96" s="989">
        <v>163</v>
      </c>
      <c r="B96" s="989" t="s">
        <v>107</v>
      </c>
      <c r="C96" s="989" t="s">
        <v>106</v>
      </c>
      <c r="D96" s="989" t="s">
        <v>692</v>
      </c>
      <c r="E96" s="991">
        <v>335.4</v>
      </c>
      <c r="F96" s="988">
        <v>60</v>
      </c>
      <c r="G96" s="992">
        <v>7157</v>
      </c>
      <c r="H96" s="992">
        <v>0</v>
      </c>
      <c r="I96" s="992">
        <v>7760.7</v>
      </c>
      <c r="J96" s="469">
        <f>H96/(G96+H96)</f>
        <v>0</v>
      </c>
      <c r="K96" s="469">
        <f>(J96*Data!$P$172)+((1-J96)*Data!$P$171)</f>
        <v>0.184</v>
      </c>
      <c r="L96" s="469">
        <f>(J96*Data!$P$179)+((1-K96)*Data!$P$178)</f>
        <v>7.3440000000000005E-2</v>
      </c>
      <c r="O96" s="470"/>
      <c r="P96" s="471"/>
      <c r="Q96" s="471"/>
      <c r="R96" s="472"/>
      <c r="W96" s="468">
        <v>0</v>
      </c>
      <c r="X96" s="470">
        <v>0</v>
      </c>
      <c r="Y96" s="470">
        <v>0</v>
      </c>
      <c r="Z96" s="470">
        <v>0</v>
      </c>
      <c r="AA96" s="470">
        <v>0</v>
      </c>
      <c r="AB96" s="470">
        <v>0</v>
      </c>
      <c r="AC96" s="470">
        <v>0</v>
      </c>
      <c r="AD96" s="470">
        <v>100</v>
      </c>
    </row>
    <row r="97" spans="1:30" ht="15" customHeight="1" x14ac:dyDescent="0.2">
      <c r="A97" s="989">
        <v>164</v>
      </c>
      <c r="B97" s="989" t="s">
        <v>108</v>
      </c>
      <c r="C97" s="989" t="s">
        <v>106</v>
      </c>
      <c r="D97" s="989" t="s">
        <v>692</v>
      </c>
      <c r="E97" s="991">
        <v>359.1</v>
      </c>
      <c r="F97" s="988">
        <v>69</v>
      </c>
      <c r="G97" s="992">
        <v>40182</v>
      </c>
      <c r="H97" s="992">
        <v>0</v>
      </c>
      <c r="I97" s="992">
        <v>11495.6</v>
      </c>
      <c r="J97" s="469">
        <f>H97/(G97+H97)</f>
        <v>0</v>
      </c>
      <c r="K97" s="469">
        <f>(J97*Data!$P$172)+((1-J97)*Data!$P$171)</f>
        <v>0.184</v>
      </c>
      <c r="L97" s="469">
        <f>(J97*Data!$P$179)+((1-K97)*Data!$P$178)</f>
        <v>7.3440000000000005E-2</v>
      </c>
      <c r="O97" s="470"/>
      <c r="P97" s="471"/>
      <c r="Q97" s="471"/>
      <c r="R97" s="472"/>
      <c r="W97" s="468">
        <v>0</v>
      </c>
      <c r="X97" s="470">
        <v>0</v>
      </c>
      <c r="Y97" s="470">
        <v>0</v>
      </c>
      <c r="Z97" s="470">
        <v>0</v>
      </c>
      <c r="AA97" s="470">
        <v>0</v>
      </c>
      <c r="AB97" s="470">
        <v>0</v>
      </c>
      <c r="AC97" s="470">
        <v>0</v>
      </c>
      <c r="AD97" s="470">
        <v>100</v>
      </c>
    </row>
    <row r="98" spans="1:30" ht="15" customHeight="1" x14ac:dyDescent="0.2">
      <c r="A98" s="989">
        <v>165</v>
      </c>
      <c r="B98" s="989" t="s">
        <v>109</v>
      </c>
      <c r="C98" s="989" t="s">
        <v>106</v>
      </c>
      <c r="D98" s="989" t="s">
        <v>785</v>
      </c>
      <c r="E98" s="991">
        <v>319.5</v>
      </c>
      <c r="F98" s="988">
        <v>168</v>
      </c>
      <c r="G98" s="992">
        <v>21220</v>
      </c>
      <c r="H98" s="992">
        <v>0</v>
      </c>
      <c r="I98" s="992">
        <v>0</v>
      </c>
      <c r="J98" s="469">
        <f>H98/(G98+H98)</f>
        <v>0</v>
      </c>
      <c r="K98" s="469">
        <f>(J98*Data!$P$172)+((1-J98)*Data!$P$171)</f>
        <v>0.184</v>
      </c>
      <c r="L98" s="469">
        <f>(J98*Data!$P$179)+((1-K98)*Data!$P$178)</f>
        <v>7.3440000000000005E-2</v>
      </c>
      <c r="O98" s="470"/>
      <c r="P98" s="471"/>
      <c r="Q98" s="471"/>
      <c r="R98" s="472"/>
      <c r="W98" s="468">
        <v>0</v>
      </c>
      <c r="X98" s="470">
        <v>0</v>
      </c>
      <c r="Y98" s="470">
        <v>0</v>
      </c>
      <c r="Z98" s="470">
        <v>0</v>
      </c>
      <c r="AA98" s="470">
        <v>0</v>
      </c>
      <c r="AB98" s="470">
        <v>100</v>
      </c>
      <c r="AC98" s="470">
        <v>0</v>
      </c>
      <c r="AD98" s="470">
        <v>0</v>
      </c>
    </row>
    <row r="99" spans="1:30" ht="15" customHeight="1" x14ac:dyDescent="0.2">
      <c r="A99" s="989">
        <v>166</v>
      </c>
      <c r="B99" s="990" t="s">
        <v>110</v>
      </c>
      <c r="C99" s="990" t="s">
        <v>106</v>
      </c>
      <c r="D99" s="989" t="s">
        <v>692</v>
      </c>
      <c r="E99" s="991">
        <v>320.2</v>
      </c>
      <c r="F99" s="988">
        <v>60</v>
      </c>
      <c r="G99" s="992">
        <v>48327</v>
      </c>
      <c r="H99" s="992">
        <v>0</v>
      </c>
      <c r="I99" s="992">
        <v>0</v>
      </c>
      <c r="J99" s="469">
        <f>H99/(G99+H99)</f>
        <v>0</v>
      </c>
      <c r="K99" s="469">
        <f>(J99*Data!$P$172)+((1-J99)*Data!$P$171)</f>
        <v>0.184</v>
      </c>
      <c r="L99" s="469">
        <f>(J99*Data!$P$179)+((1-K99)*Data!$P$178)</f>
        <v>7.3440000000000005E-2</v>
      </c>
      <c r="O99" s="470"/>
      <c r="P99" s="471"/>
      <c r="Q99" s="471"/>
      <c r="R99" s="472"/>
      <c r="W99" s="468">
        <v>0</v>
      </c>
      <c r="X99" s="470">
        <v>0</v>
      </c>
      <c r="Y99" s="470">
        <v>0</v>
      </c>
      <c r="Z99" s="470">
        <v>0</v>
      </c>
      <c r="AA99" s="470">
        <v>0</v>
      </c>
      <c r="AB99" s="470">
        <v>0</v>
      </c>
      <c r="AC99" s="470">
        <v>0</v>
      </c>
      <c r="AD99" s="470">
        <v>100</v>
      </c>
    </row>
    <row r="100" spans="1:30" ht="15" customHeight="1" x14ac:dyDescent="0.2">
      <c r="A100" s="989">
        <v>167</v>
      </c>
      <c r="B100" s="989" t="s">
        <v>111</v>
      </c>
      <c r="C100" s="989" t="s">
        <v>106</v>
      </c>
      <c r="D100" s="989" t="s">
        <v>785</v>
      </c>
      <c r="E100" s="991">
        <v>322.10000000000002</v>
      </c>
      <c r="F100" s="988">
        <v>168</v>
      </c>
      <c r="G100" s="992">
        <v>48908</v>
      </c>
      <c r="H100" s="992">
        <v>0</v>
      </c>
      <c r="I100" s="992">
        <v>7667.7</v>
      </c>
      <c r="J100" s="469">
        <f>H100/(G100+H100)</f>
        <v>0</v>
      </c>
      <c r="K100" s="469">
        <f>(J100*Data!$P$172)+((1-J100)*Data!$P$171)</f>
        <v>0.184</v>
      </c>
      <c r="L100" s="469">
        <f>(J100*Data!$P$179)+((1-K100)*Data!$P$178)</f>
        <v>7.3440000000000005E-2</v>
      </c>
      <c r="O100" s="470"/>
      <c r="P100" s="471"/>
      <c r="Q100" s="471"/>
      <c r="R100" s="472"/>
      <c r="W100" s="468">
        <v>0</v>
      </c>
      <c r="X100" s="470">
        <v>0</v>
      </c>
      <c r="Y100" s="470">
        <v>0</v>
      </c>
      <c r="Z100" s="470">
        <v>0</v>
      </c>
      <c r="AA100" s="470">
        <v>0</v>
      </c>
      <c r="AB100" s="470">
        <v>100</v>
      </c>
      <c r="AC100" s="470">
        <v>0</v>
      </c>
      <c r="AD100" s="470">
        <v>0</v>
      </c>
    </row>
    <row r="101" spans="1:30" ht="15" customHeight="1" x14ac:dyDescent="0.2">
      <c r="A101" s="989">
        <v>168</v>
      </c>
      <c r="B101" s="989" t="s">
        <v>112</v>
      </c>
      <c r="C101" s="989" t="s">
        <v>106</v>
      </c>
      <c r="D101" s="989" t="s">
        <v>692</v>
      </c>
      <c r="E101" s="991">
        <v>350.3</v>
      </c>
      <c r="F101" s="988">
        <v>60</v>
      </c>
      <c r="G101" s="992">
        <v>36875</v>
      </c>
      <c r="H101" s="992">
        <v>0</v>
      </c>
      <c r="I101" s="992">
        <v>14305.9</v>
      </c>
      <c r="J101" s="469">
        <f>H101/(G101+H101)</f>
        <v>0</v>
      </c>
      <c r="K101" s="469">
        <f>(J101*Data!$P$172)+((1-J101)*Data!$P$171)</f>
        <v>0.184</v>
      </c>
      <c r="L101" s="469">
        <f>(J101*Data!$P$179)+((1-K101)*Data!$P$178)</f>
        <v>7.3440000000000005E-2</v>
      </c>
      <c r="O101" s="470"/>
      <c r="P101" s="471"/>
      <c r="Q101" s="471"/>
      <c r="R101" s="472"/>
      <c r="W101" s="468">
        <v>0</v>
      </c>
      <c r="X101" s="470">
        <v>0</v>
      </c>
      <c r="Y101" s="470">
        <v>0</v>
      </c>
      <c r="Z101" s="470">
        <v>0</v>
      </c>
      <c r="AA101" s="470">
        <v>0</v>
      </c>
      <c r="AB101" s="470">
        <v>0</v>
      </c>
      <c r="AC101" s="470">
        <v>0</v>
      </c>
      <c r="AD101" s="470">
        <v>100</v>
      </c>
    </row>
    <row r="102" spans="1:30" ht="15" customHeight="1" x14ac:dyDescent="0.2">
      <c r="A102" s="989">
        <v>169</v>
      </c>
      <c r="B102" s="989" t="s">
        <v>113</v>
      </c>
      <c r="C102" s="989" t="s">
        <v>106</v>
      </c>
      <c r="D102" s="989" t="s">
        <v>692</v>
      </c>
      <c r="E102" s="991">
        <v>328.4</v>
      </c>
      <c r="F102" s="988">
        <v>60</v>
      </c>
      <c r="G102" s="992">
        <v>0</v>
      </c>
      <c r="H102" s="992">
        <v>0</v>
      </c>
      <c r="I102" s="992">
        <v>0</v>
      </c>
      <c r="J102" s="469" t="e">
        <f>H102/(G102+H102)</f>
        <v>#DIV/0!</v>
      </c>
      <c r="K102" s="469" t="e">
        <f>(J102*Data!$P$172)+((1-J102)*Data!$P$171)</f>
        <v>#DIV/0!</v>
      </c>
      <c r="L102" s="469" t="e">
        <f>(J102*Data!$P$179)+((1-K102)*Data!$P$178)</f>
        <v>#DIV/0!</v>
      </c>
      <c r="O102" s="470"/>
      <c r="P102" s="471"/>
      <c r="Q102" s="471"/>
      <c r="R102" s="472"/>
      <c r="W102" s="468">
        <v>0</v>
      </c>
      <c r="X102" s="470">
        <v>0</v>
      </c>
      <c r="Y102" s="470">
        <v>0</v>
      </c>
      <c r="Z102" s="470">
        <v>0</v>
      </c>
      <c r="AA102" s="470">
        <v>0</v>
      </c>
      <c r="AB102" s="470">
        <v>0</v>
      </c>
      <c r="AC102" s="470">
        <v>0</v>
      </c>
      <c r="AD102" s="470">
        <v>100</v>
      </c>
    </row>
    <row r="103" spans="1:30" ht="15" customHeight="1" x14ac:dyDescent="0.2">
      <c r="A103" s="989">
        <v>170</v>
      </c>
      <c r="B103" s="989" t="s">
        <v>114</v>
      </c>
      <c r="C103" s="989" t="s">
        <v>106</v>
      </c>
      <c r="D103" s="989" t="s">
        <v>785</v>
      </c>
      <c r="E103" s="991">
        <v>362</v>
      </c>
      <c r="F103" s="988">
        <v>168</v>
      </c>
      <c r="G103" s="992">
        <v>0</v>
      </c>
      <c r="H103" s="992">
        <v>0</v>
      </c>
      <c r="I103" s="992">
        <v>4899</v>
      </c>
      <c r="J103" s="469" t="e">
        <f>H103/(G103+H103)</f>
        <v>#DIV/0!</v>
      </c>
      <c r="K103" s="469" t="e">
        <f>(J103*Data!$P$172)+((1-J103)*Data!$P$171)</f>
        <v>#DIV/0!</v>
      </c>
      <c r="L103" s="469" t="e">
        <f>(J103*Data!$P$179)+((1-K103)*Data!$P$178)</f>
        <v>#DIV/0!</v>
      </c>
      <c r="O103" s="470"/>
      <c r="P103" s="471"/>
      <c r="Q103" s="471"/>
      <c r="R103" s="472"/>
      <c r="W103" s="468">
        <v>0</v>
      </c>
      <c r="X103" s="470">
        <v>0</v>
      </c>
      <c r="Y103" s="470">
        <v>0</v>
      </c>
      <c r="Z103" s="470">
        <v>0</v>
      </c>
      <c r="AA103" s="470">
        <v>0</v>
      </c>
      <c r="AB103" s="470">
        <v>100</v>
      </c>
      <c r="AC103" s="470">
        <v>0</v>
      </c>
      <c r="AD103" s="470">
        <v>0</v>
      </c>
    </row>
    <row r="104" spans="1:30" ht="15" customHeight="1" x14ac:dyDescent="0.2">
      <c r="A104" s="989">
        <v>171</v>
      </c>
      <c r="B104" s="989" t="s">
        <v>115</v>
      </c>
      <c r="C104" s="989" t="s">
        <v>737</v>
      </c>
      <c r="D104" s="989" t="s">
        <v>692</v>
      </c>
      <c r="E104" s="991">
        <v>353.4</v>
      </c>
      <c r="F104" s="988">
        <v>60</v>
      </c>
      <c r="G104" s="992">
        <v>0</v>
      </c>
      <c r="H104" s="992">
        <v>0</v>
      </c>
      <c r="I104" s="992">
        <v>41713.1</v>
      </c>
      <c r="J104" s="469" t="e">
        <f>H104/(G104+H104)</f>
        <v>#DIV/0!</v>
      </c>
      <c r="K104" s="469" t="e">
        <f>(J104*Data!$P$172)+((1-J104)*Data!$P$171)</f>
        <v>#DIV/0!</v>
      </c>
      <c r="L104" s="469" t="e">
        <f>(J104*Data!$P$179)+((1-K104)*Data!$P$178)</f>
        <v>#DIV/0!</v>
      </c>
      <c r="O104" s="470"/>
      <c r="P104" s="471"/>
      <c r="Q104" s="471"/>
      <c r="R104" s="472"/>
      <c r="W104" s="468">
        <v>0</v>
      </c>
      <c r="X104" s="470">
        <v>0</v>
      </c>
      <c r="Y104" s="470">
        <v>0</v>
      </c>
      <c r="Z104" s="470">
        <v>0</v>
      </c>
      <c r="AA104" s="470">
        <v>0</v>
      </c>
      <c r="AB104" s="470">
        <v>0</v>
      </c>
      <c r="AC104" s="470">
        <v>0</v>
      </c>
      <c r="AD104" s="470">
        <v>100</v>
      </c>
    </row>
    <row r="105" spans="1:30" ht="15" customHeight="1" x14ac:dyDescent="0.2">
      <c r="A105" s="989">
        <v>172</v>
      </c>
      <c r="B105" s="989" t="s">
        <v>116</v>
      </c>
      <c r="C105" s="989" t="s">
        <v>738</v>
      </c>
      <c r="D105" s="989" t="s">
        <v>692</v>
      </c>
      <c r="E105" s="991">
        <v>1060.5999999999999</v>
      </c>
      <c r="F105" s="988">
        <v>60</v>
      </c>
      <c r="G105" s="992">
        <v>394245</v>
      </c>
      <c r="H105" s="992">
        <v>0</v>
      </c>
      <c r="I105" s="992">
        <v>55219.5</v>
      </c>
      <c r="J105" s="469">
        <f>H105/(G105+H105)</f>
        <v>0</v>
      </c>
      <c r="K105" s="469">
        <f>(J105*Data!$P$172)+((1-J105)*Data!$P$171)</f>
        <v>0.184</v>
      </c>
      <c r="L105" s="469">
        <f>(J105*Data!$P$179)+((1-K105)*Data!$P$178)</f>
        <v>7.3440000000000005E-2</v>
      </c>
      <c r="O105" s="470"/>
      <c r="P105" s="471"/>
      <c r="Q105" s="471"/>
      <c r="R105" s="472"/>
      <c r="W105" s="468">
        <v>0</v>
      </c>
      <c r="X105" s="470">
        <v>0</v>
      </c>
      <c r="Y105" s="470">
        <v>0</v>
      </c>
      <c r="Z105" s="470">
        <v>0</v>
      </c>
      <c r="AA105" s="470">
        <v>0</v>
      </c>
      <c r="AB105" s="470">
        <v>0</v>
      </c>
      <c r="AC105" s="470">
        <v>0</v>
      </c>
      <c r="AD105" s="470">
        <v>100</v>
      </c>
    </row>
    <row r="106" spans="1:30" ht="15" customHeight="1" x14ac:dyDescent="0.2">
      <c r="A106" s="989">
        <v>173</v>
      </c>
      <c r="B106" s="989" t="s">
        <v>117</v>
      </c>
      <c r="C106" s="989" t="s">
        <v>738</v>
      </c>
      <c r="D106" s="989" t="s">
        <v>692</v>
      </c>
      <c r="E106" s="991">
        <v>742.6</v>
      </c>
      <c r="F106" s="988">
        <v>60</v>
      </c>
      <c r="G106" s="992">
        <v>0</v>
      </c>
      <c r="H106" s="992">
        <v>0</v>
      </c>
      <c r="I106" s="992">
        <v>0</v>
      </c>
      <c r="J106" s="469" t="e">
        <f>H106/(G106+H106)</f>
        <v>#DIV/0!</v>
      </c>
      <c r="K106" s="469" t="e">
        <f>(J106*Data!$P$172)+((1-J106)*Data!$P$171)</f>
        <v>#DIV/0!</v>
      </c>
      <c r="L106" s="469" t="e">
        <f>(J106*Data!$P$179)+((1-K106)*Data!$P$178)</f>
        <v>#DIV/0!</v>
      </c>
      <c r="O106" s="470"/>
      <c r="P106" s="471"/>
      <c r="Q106" s="471"/>
      <c r="R106" s="472"/>
      <c r="W106" s="468">
        <v>0</v>
      </c>
      <c r="X106" s="470">
        <v>0</v>
      </c>
      <c r="Y106" s="470">
        <v>0</v>
      </c>
      <c r="Z106" s="470">
        <v>0</v>
      </c>
      <c r="AA106" s="470">
        <v>0</v>
      </c>
      <c r="AB106" s="470">
        <v>0</v>
      </c>
      <c r="AC106" s="470">
        <v>0</v>
      </c>
      <c r="AD106" s="470">
        <v>100</v>
      </c>
    </row>
    <row r="107" spans="1:30" ht="15" customHeight="1" x14ac:dyDescent="0.2">
      <c r="A107" s="989">
        <v>106</v>
      </c>
      <c r="B107" s="990" t="s">
        <v>90</v>
      </c>
      <c r="C107" s="990" t="s">
        <v>91</v>
      </c>
      <c r="D107" s="989" t="s">
        <v>785</v>
      </c>
      <c r="E107" s="991">
        <v>4957.5</v>
      </c>
      <c r="F107" s="988">
        <v>168</v>
      </c>
      <c r="G107" s="992">
        <v>197722</v>
      </c>
      <c r="H107" s="992">
        <v>0</v>
      </c>
      <c r="I107" s="992">
        <v>735697</v>
      </c>
      <c r="J107" s="469">
        <f>H107/(G107+H107)</f>
        <v>0</v>
      </c>
      <c r="K107" s="469">
        <f>(J107*Data!$P$172)+((1-J107)*Data!$P$171)</f>
        <v>0.184</v>
      </c>
      <c r="L107" s="469">
        <f>(J107*Data!$P$179)+((1-K107)*Data!$P$178)</f>
        <v>7.3440000000000005E-2</v>
      </c>
      <c r="O107" s="470"/>
      <c r="P107" s="471"/>
      <c r="Q107" s="471"/>
      <c r="R107" s="472"/>
      <c r="W107" s="468">
        <v>0</v>
      </c>
      <c r="X107" s="470">
        <v>0</v>
      </c>
      <c r="Y107" s="470">
        <v>0</v>
      </c>
      <c r="Z107" s="470">
        <v>0</v>
      </c>
      <c r="AA107" s="470">
        <v>0</v>
      </c>
      <c r="AB107" s="470">
        <v>100</v>
      </c>
      <c r="AC107" s="470">
        <v>0</v>
      </c>
      <c r="AD107" s="470">
        <v>0</v>
      </c>
    </row>
    <row r="108" spans="1:30" ht="15" customHeight="1" x14ac:dyDescent="0.2">
      <c r="A108" s="989">
        <v>105</v>
      </c>
      <c r="B108" s="990" t="s">
        <v>88</v>
      </c>
      <c r="C108" s="990" t="s">
        <v>89</v>
      </c>
      <c r="D108" s="989" t="s">
        <v>785</v>
      </c>
      <c r="E108" s="991">
        <v>6427.5</v>
      </c>
      <c r="F108" s="988">
        <v>168</v>
      </c>
      <c r="G108" s="992">
        <v>542868</v>
      </c>
      <c r="H108" s="992">
        <v>0</v>
      </c>
      <c r="I108" s="992">
        <v>270552</v>
      </c>
      <c r="J108" s="469">
        <f>H108/(G108+H108)</f>
        <v>0</v>
      </c>
      <c r="K108" s="469">
        <f>(J108*Data!$P$172)+((1-J108)*Data!$P$171)</f>
        <v>0.184</v>
      </c>
      <c r="L108" s="469">
        <f>(J108*Data!$P$179)+((1-K108)*Data!$P$178)</f>
        <v>7.3440000000000005E-2</v>
      </c>
      <c r="O108" s="470"/>
      <c r="P108" s="471"/>
      <c r="Q108" s="471"/>
      <c r="R108" s="472"/>
      <c r="W108" s="468">
        <v>0</v>
      </c>
      <c r="X108" s="470">
        <v>0</v>
      </c>
      <c r="Y108" s="470">
        <v>0</v>
      </c>
      <c r="Z108" s="470">
        <v>0</v>
      </c>
      <c r="AA108" s="470">
        <v>0</v>
      </c>
      <c r="AB108" s="470">
        <v>100</v>
      </c>
      <c r="AC108" s="470">
        <v>0</v>
      </c>
      <c r="AD108" s="470">
        <v>0</v>
      </c>
    </row>
    <row r="109" spans="1:30" ht="15" customHeight="1" x14ac:dyDescent="0.2">
      <c r="A109" s="989">
        <v>79</v>
      </c>
      <c r="B109" s="989" t="s">
        <v>713</v>
      </c>
      <c r="C109" s="989" t="s">
        <v>73</v>
      </c>
      <c r="D109" s="989" t="s">
        <v>785</v>
      </c>
      <c r="E109" s="991">
        <v>440.8</v>
      </c>
      <c r="F109" s="988">
        <v>168</v>
      </c>
      <c r="G109" s="992">
        <v>4682</v>
      </c>
      <c r="H109" s="992">
        <v>0</v>
      </c>
      <c r="I109" s="992">
        <v>54776.700000000012</v>
      </c>
      <c r="J109" s="469">
        <f>H109/(G109+H109)</f>
        <v>0</v>
      </c>
      <c r="K109" s="469">
        <f>(J109*Data!$P$172)+((1-J109)*Data!$P$171)</f>
        <v>0.184</v>
      </c>
      <c r="L109" s="469">
        <f>(J109*Data!$P$179)+((1-K109)*Data!$P$178)</f>
        <v>7.3440000000000005E-2</v>
      </c>
      <c r="O109" s="470"/>
      <c r="P109" s="471"/>
      <c r="Q109" s="471"/>
      <c r="R109" s="472"/>
      <c r="W109" s="468">
        <v>0</v>
      </c>
      <c r="X109" s="470">
        <v>0</v>
      </c>
      <c r="Y109" s="470">
        <v>0</v>
      </c>
      <c r="Z109" s="470">
        <v>0</v>
      </c>
      <c r="AA109" s="470">
        <v>0</v>
      </c>
      <c r="AB109" s="470">
        <v>100</v>
      </c>
      <c r="AC109" s="470">
        <v>0</v>
      </c>
      <c r="AD109" s="470">
        <v>0</v>
      </c>
    </row>
    <row r="110" spans="1:30" ht="15" customHeight="1" x14ac:dyDescent="0.2">
      <c r="A110" s="989">
        <v>1</v>
      </c>
      <c r="B110" s="989" t="s">
        <v>33</v>
      </c>
      <c r="C110" s="989" t="s">
        <v>34</v>
      </c>
      <c r="D110" s="989" t="s">
        <v>791</v>
      </c>
      <c r="E110" s="991">
        <v>8236.2000000000007</v>
      </c>
      <c r="F110" s="988">
        <v>168</v>
      </c>
      <c r="G110" s="992">
        <v>0</v>
      </c>
      <c r="H110" s="992">
        <v>2344842</v>
      </c>
      <c r="I110" s="992">
        <v>3495258</v>
      </c>
      <c r="J110" s="469">
        <f>H110/(G110+H110)</f>
        <v>1</v>
      </c>
      <c r="K110" s="469">
        <f>(J110*Data!$P$172)+((1-J110)*Data!$P$171)</f>
        <v>0.17072999999999999</v>
      </c>
      <c r="L110" s="469">
        <f>(J110*Data!$P$179)+((1-K110)*Data!$P$178)</f>
        <v>0.16463429999999998</v>
      </c>
      <c r="O110" s="470"/>
      <c r="P110" s="471"/>
      <c r="Q110" s="471"/>
      <c r="R110" s="472"/>
      <c r="W110" s="468">
        <v>0</v>
      </c>
      <c r="X110" s="470">
        <v>0</v>
      </c>
      <c r="Y110" s="470">
        <v>100</v>
      </c>
      <c r="Z110" s="470">
        <v>0</v>
      </c>
      <c r="AA110" s="470">
        <v>0</v>
      </c>
      <c r="AB110" s="470">
        <v>0</v>
      </c>
      <c r="AC110" s="470">
        <v>0</v>
      </c>
      <c r="AD110" s="470">
        <v>0</v>
      </c>
    </row>
    <row r="111" spans="1:30" ht="15" customHeight="1" x14ac:dyDescent="0.2">
      <c r="A111" s="989">
        <v>7</v>
      </c>
      <c r="B111" s="989" t="s">
        <v>40</v>
      </c>
      <c r="C111" s="989" t="s">
        <v>41</v>
      </c>
      <c r="D111" s="989" t="s">
        <v>791</v>
      </c>
      <c r="E111" s="991">
        <v>2784.9</v>
      </c>
      <c r="F111" s="988">
        <v>168</v>
      </c>
      <c r="G111" s="992">
        <v>0</v>
      </c>
      <c r="H111" s="992">
        <v>500000</v>
      </c>
      <c r="I111" s="992">
        <v>2226708.5</v>
      </c>
      <c r="J111" s="469">
        <f>H111/(G111+H111)</f>
        <v>1</v>
      </c>
      <c r="K111" s="469">
        <f>(J111*Data!$P$172)+((1-J111)*Data!$P$171)</f>
        <v>0.17072999999999999</v>
      </c>
      <c r="L111" s="469">
        <f>(J111*Data!$P$179)+((1-K111)*Data!$P$178)</f>
        <v>0.16463429999999998</v>
      </c>
      <c r="O111" s="470"/>
      <c r="P111" s="471"/>
      <c r="Q111" s="471"/>
      <c r="R111" s="472"/>
      <c r="W111" s="468">
        <v>0</v>
      </c>
      <c r="X111" s="470">
        <v>0</v>
      </c>
      <c r="Y111" s="470">
        <v>100</v>
      </c>
      <c r="Z111" s="470">
        <v>0</v>
      </c>
      <c r="AA111" s="470">
        <v>0</v>
      </c>
      <c r="AB111" s="470">
        <v>0</v>
      </c>
      <c r="AC111" s="470">
        <v>0</v>
      </c>
      <c r="AD111" s="470">
        <v>0</v>
      </c>
    </row>
    <row r="112" spans="1:30" ht="15" customHeight="1" x14ac:dyDescent="0.2">
      <c r="A112" s="989">
        <v>350</v>
      </c>
      <c r="B112" s="474" t="s">
        <v>160</v>
      </c>
      <c r="C112" s="474" t="s">
        <v>34</v>
      </c>
      <c r="D112" s="989" t="s">
        <v>793</v>
      </c>
      <c r="E112" s="991">
        <v>9537.4</v>
      </c>
      <c r="F112" s="988">
        <v>168</v>
      </c>
      <c r="G112" s="992">
        <v>0</v>
      </c>
      <c r="H112" s="992">
        <v>1334666</v>
      </c>
      <c r="I112" s="992">
        <v>3276889</v>
      </c>
      <c r="J112" s="469">
        <f>H112/(G112+H112)</f>
        <v>1</v>
      </c>
      <c r="K112" s="469">
        <f>(J112*Data!$P$172)+((1-J112)*Data!$P$171)</f>
        <v>0.17072999999999999</v>
      </c>
      <c r="L112" s="469">
        <f>(J112*Data!$P$179)+((1-K112)*Data!$P$178)</f>
        <v>0.16463429999999998</v>
      </c>
      <c r="O112" s="470"/>
      <c r="W112" s="468">
        <v>0</v>
      </c>
      <c r="X112" s="470">
        <v>0</v>
      </c>
      <c r="Y112" s="470">
        <v>60</v>
      </c>
      <c r="Z112" s="470">
        <v>0</v>
      </c>
      <c r="AA112" s="470">
        <v>0</v>
      </c>
      <c r="AB112" s="470">
        <v>0</v>
      </c>
      <c r="AC112" s="470">
        <v>0</v>
      </c>
      <c r="AD112" s="470">
        <v>40</v>
      </c>
    </row>
    <row r="113" spans="1:30" ht="15" customHeight="1" x14ac:dyDescent="0.2">
      <c r="A113" s="989">
        <v>46</v>
      </c>
      <c r="B113" s="989" t="s">
        <v>704</v>
      </c>
      <c r="C113" s="989" t="s">
        <v>705</v>
      </c>
      <c r="D113" s="989" t="s">
        <v>692</v>
      </c>
      <c r="E113" s="991">
        <v>907.6</v>
      </c>
      <c r="F113" s="988">
        <v>60</v>
      </c>
      <c r="G113" s="992">
        <v>0</v>
      </c>
      <c r="H113" s="992">
        <v>30000</v>
      </c>
      <c r="I113" s="992">
        <v>93482.8</v>
      </c>
      <c r="J113" s="469">
        <f>H113/(G113+H113)</f>
        <v>1</v>
      </c>
      <c r="K113" s="469">
        <f>(J113*Data!$P$172)+((1-J113)*Data!$P$171)</f>
        <v>0.17072999999999999</v>
      </c>
      <c r="L113" s="469">
        <f>(J113*Data!$P$179)+((1-K113)*Data!$P$178)</f>
        <v>0.16463429999999998</v>
      </c>
      <c r="O113" s="470"/>
      <c r="P113" s="471"/>
      <c r="Q113" s="471"/>
      <c r="R113" s="472"/>
      <c r="W113" s="468">
        <v>0</v>
      </c>
      <c r="X113" s="470">
        <v>0</v>
      </c>
      <c r="Y113" s="470">
        <v>0</v>
      </c>
      <c r="Z113" s="470">
        <v>0</v>
      </c>
      <c r="AA113" s="470">
        <v>0</v>
      </c>
      <c r="AB113" s="470">
        <v>0</v>
      </c>
      <c r="AC113" s="470">
        <v>0</v>
      </c>
      <c r="AD113" s="470">
        <v>100</v>
      </c>
    </row>
    <row r="114" spans="1:30" ht="15" customHeight="1" x14ac:dyDescent="0.2">
      <c r="A114" s="989">
        <v>387</v>
      </c>
      <c r="B114" s="474" t="s">
        <v>172</v>
      </c>
      <c r="C114" s="474" t="s">
        <v>173</v>
      </c>
      <c r="D114" s="989" t="s">
        <v>788</v>
      </c>
      <c r="E114" s="991">
        <v>3540.6</v>
      </c>
      <c r="F114" s="988">
        <v>50</v>
      </c>
      <c r="G114" s="992">
        <v>0</v>
      </c>
      <c r="H114" s="992">
        <v>0</v>
      </c>
      <c r="I114" s="992">
        <v>191616.7</v>
      </c>
      <c r="J114" s="469" t="e">
        <f>H114/(G114+H114)</f>
        <v>#DIV/0!</v>
      </c>
      <c r="K114" s="469" t="e">
        <f>(J114*Data!$P$172)+((1-J114)*Data!$P$171)</f>
        <v>#DIV/0!</v>
      </c>
      <c r="L114" s="469" t="e">
        <f>(J114*Data!$P$179)+((1-K114)*Data!$P$178)</f>
        <v>#DIV/0!</v>
      </c>
      <c r="O114" s="470"/>
      <c r="W114" s="468">
        <v>100</v>
      </c>
      <c r="X114" s="470">
        <v>0</v>
      </c>
      <c r="Y114" s="470">
        <v>0</v>
      </c>
      <c r="Z114" s="470">
        <v>0</v>
      </c>
      <c r="AA114" s="470">
        <v>0</v>
      </c>
      <c r="AB114" s="470">
        <v>0</v>
      </c>
      <c r="AC114" s="470">
        <v>0</v>
      </c>
      <c r="AD114" s="470">
        <v>0</v>
      </c>
    </row>
    <row r="115" spans="1:30" ht="15" customHeight="1" x14ac:dyDescent="0.2">
      <c r="A115" s="989">
        <v>70</v>
      </c>
      <c r="B115" s="989" t="s">
        <v>70</v>
      </c>
      <c r="C115" s="989" t="s">
        <v>65</v>
      </c>
      <c r="D115" s="989" t="s">
        <v>785</v>
      </c>
      <c r="E115" s="991">
        <v>6429.8</v>
      </c>
      <c r="F115" s="988">
        <v>168</v>
      </c>
      <c r="G115" s="992">
        <v>0</v>
      </c>
      <c r="H115" s="992">
        <v>0</v>
      </c>
      <c r="I115" s="992">
        <v>201019.35250494874</v>
      </c>
      <c r="J115" s="469" t="e">
        <f>H115/(G115+H115)</f>
        <v>#DIV/0!</v>
      </c>
      <c r="K115" s="469" t="e">
        <f>(J115*Data!$P$172)+((1-J115)*Data!$P$171)</f>
        <v>#DIV/0!</v>
      </c>
      <c r="L115" s="469" t="e">
        <f>(J115*Data!$P$179)+((1-K115)*Data!$P$178)</f>
        <v>#DIV/0!</v>
      </c>
      <c r="O115" s="470"/>
      <c r="P115" s="471"/>
      <c r="Q115" s="471"/>
      <c r="R115" s="472"/>
      <c r="W115" s="468">
        <v>0</v>
      </c>
      <c r="X115" s="470">
        <v>0</v>
      </c>
      <c r="Y115" s="470">
        <v>0</v>
      </c>
      <c r="Z115" s="470">
        <v>0</v>
      </c>
      <c r="AA115" s="470">
        <v>0</v>
      </c>
      <c r="AB115" s="470">
        <v>100</v>
      </c>
      <c r="AC115" s="470">
        <v>0</v>
      </c>
      <c r="AD115" s="470">
        <v>0</v>
      </c>
    </row>
    <row r="116" spans="1:30" ht="15" customHeight="1" x14ac:dyDescent="0.2">
      <c r="A116" s="989">
        <v>37</v>
      </c>
      <c r="B116" s="989" t="s">
        <v>49</v>
      </c>
      <c r="C116" s="989" t="s">
        <v>34</v>
      </c>
      <c r="D116" s="989" t="s">
        <v>789</v>
      </c>
      <c r="E116" s="991">
        <v>3183.2</v>
      </c>
      <c r="F116" s="988">
        <v>168</v>
      </c>
      <c r="G116" s="992">
        <v>0</v>
      </c>
      <c r="H116" s="992">
        <v>802969.59999999998</v>
      </c>
      <c r="I116" s="992">
        <v>681308</v>
      </c>
      <c r="J116" s="469">
        <f>H116/(G116+H116)</f>
        <v>1</v>
      </c>
      <c r="K116" s="469">
        <f>(J116*Data!$P$172)+((1-J116)*Data!$P$171)</f>
        <v>0.17072999999999999</v>
      </c>
      <c r="L116" s="469">
        <f>(J116*Data!$P$179)+((1-K116)*Data!$P$178)</f>
        <v>0.16463429999999998</v>
      </c>
      <c r="O116" s="470"/>
      <c r="P116" s="471"/>
      <c r="Q116" s="471"/>
      <c r="R116" s="472"/>
      <c r="W116" s="468">
        <v>0</v>
      </c>
      <c r="X116" s="470">
        <v>0</v>
      </c>
      <c r="Y116" s="470">
        <v>0</v>
      </c>
      <c r="Z116" s="470">
        <v>100</v>
      </c>
      <c r="AA116" s="470">
        <v>0</v>
      </c>
      <c r="AB116" s="470">
        <v>0</v>
      </c>
      <c r="AC116" s="470">
        <v>0</v>
      </c>
      <c r="AD116" s="470">
        <v>0</v>
      </c>
    </row>
    <row r="117" spans="1:30" ht="15" customHeight="1" x14ac:dyDescent="0.2">
      <c r="A117" s="989">
        <v>374</v>
      </c>
      <c r="B117" s="474" t="s">
        <v>170</v>
      </c>
      <c r="C117" s="474" t="s">
        <v>171</v>
      </c>
      <c r="D117" s="989" t="s">
        <v>692</v>
      </c>
      <c r="E117" s="991">
        <v>3695.7</v>
      </c>
      <c r="F117" s="988">
        <v>67</v>
      </c>
      <c r="G117" s="992">
        <v>0</v>
      </c>
      <c r="H117" s="992">
        <v>240000</v>
      </c>
      <c r="I117" s="992">
        <v>642291</v>
      </c>
      <c r="J117" s="469">
        <f>H117/(G117+H117)</f>
        <v>1</v>
      </c>
      <c r="K117" s="469">
        <f>(J117*Data!$P$172)+((1-J117)*Data!$P$171)</f>
        <v>0.17072999999999999</v>
      </c>
      <c r="L117" s="469">
        <f>(J117*Data!$P$179)+((1-K117)*Data!$P$178)</f>
        <v>0.16463429999999998</v>
      </c>
      <c r="O117" s="470"/>
      <c r="W117" s="468">
        <v>0</v>
      </c>
      <c r="X117" s="470">
        <v>0</v>
      </c>
      <c r="Y117" s="470">
        <v>0</v>
      </c>
      <c r="Z117" s="470">
        <v>0</v>
      </c>
      <c r="AA117" s="470">
        <v>0</v>
      </c>
      <c r="AB117" s="470">
        <v>0</v>
      </c>
      <c r="AC117" s="470">
        <v>0</v>
      </c>
      <c r="AD117" s="470">
        <v>100</v>
      </c>
    </row>
    <row r="118" spans="1:30" ht="15" customHeight="1" x14ac:dyDescent="0.2">
      <c r="A118" s="989">
        <v>16</v>
      </c>
      <c r="B118" s="989" t="s">
        <v>45</v>
      </c>
      <c r="C118" s="989" t="s">
        <v>34</v>
      </c>
      <c r="D118" s="989" t="s">
        <v>789</v>
      </c>
      <c r="E118" s="991">
        <v>12135.7</v>
      </c>
      <c r="F118" s="988">
        <v>168</v>
      </c>
      <c r="G118" s="992">
        <v>0</v>
      </c>
      <c r="H118" s="992">
        <v>828931.64</v>
      </c>
      <c r="I118" s="992">
        <v>3095429.27</v>
      </c>
      <c r="J118" s="469">
        <f>H118/(G118+H118)</f>
        <v>1</v>
      </c>
      <c r="K118" s="469">
        <f>(J118*Data!$P$172)+((1-J118)*Data!$P$171)</f>
        <v>0.17072999999999999</v>
      </c>
      <c r="L118" s="469">
        <f>(J118*Data!$P$179)+((1-K118)*Data!$P$178)</f>
        <v>0.16463429999999998</v>
      </c>
      <c r="O118" s="470"/>
      <c r="P118" s="471"/>
      <c r="Q118" s="471"/>
      <c r="R118" s="472"/>
      <c r="W118" s="468">
        <v>0</v>
      </c>
      <c r="X118" s="470">
        <v>0</v>
      </c>
      <c r="Y118" s="470">
        <v>0</v>
      </c>
      <c r="Z118" s="470">
        <v>100</v>
      </c>
      <c r="AA118" s="470">
        <v>0</v>
      </c>
      <c r="AB118" s="470">
        <v>0</v>
      </c>
      <c r="AC118" s="470">
        <v>0</v>
      </c>
      <c r="AD118" s="470">
        <v>0</v>
      </c>
    </row>
    <row r="119" spans="1:30" ht="15" customHeight="1" x14ac:dyDescent="0.2">
      <c r="A119" s="989">
        <v>122</v>
      </c>
      <c r="B119" s="989" t="s">
        <v>730</v>
      </c>
      <c r="C119" s="989" t="s">
        <v>728</v>
      </c>
      <c r="D119" s="989" t="s">
        <v>692</v>
      </c>
      <c r="E119" s="991">
        <v>138.80000000000001</v>
      </c>
      <c r="F119" s="988">
        <v>60</v>
      </c>
      <c r="G119" s="992">
        <v>0</v>
      </c>
      <c r="H119" s="992">
        <v>0</v>
      </c>
      <c r="I119" s="992">
        <v>0</v>
      </c>
      <c r="J119" s="469" t="e">
        <f>H119/(G119+H119)</f>
        <v>#DIV/0!</v>
      </c>
      <c r="K119" s="469" t="e">
        <f>(J119*Data!$P$172)+((1-J119)*Data!$P$171)</f>
        <v>#DIV/0!</v>
      </c>
      <c r="L119" s="469" t="e">
        <f>(J119*Data!$P$179)+((1-K119)*Data!$P$178)</f>
        <v>#DIV/0!</v>
      </c>
      <c r="O119" s="470"/>
      <c r="P119" s="471"/>
      <c r="Q119" s="471"/>
      <c r="R119" s="472"/>
      <c r="W119" s="468">
        <v>0</v>
      </c>
      <c r="X119" s="470">
        <v>0</v>
      </c>
      <c r="Y119" s="470">
        <v>0</v>
      </c>
      <c r="Z119" s="470">
        <v>0</v>
      </c>
      <c r="AA119" s="470">
        <v>0</v>
      </c>
      <c r="AB119" s="470">
        <v>0</v>
      </c>
      <c r="AC119" s="470">
        <v>0</v>
      </c>
      <c r="AD119" s="470">
        <v>100</v>
      </c>
    </row>
    <row r="120" spans="1:30" ht="15" customHeight="1" x14ac:dyDescent="0.2">
      <c r="A120" s="989">
        <v>121</v>
      </c>
      <c r="B120" s="990" t="s">
        <v>729</v>
      </c>
      <c r="C120" s="990" t="s">
        <v>728</v>
      </c>
      <c r="D120" s="989" t="s">
        <v>791</v>
      </c>
      <c r="E120" s="991">
        <v>518.70000000000005</v>
      </c>
      <c r="F120" s="988">
        <v>60</v>
      </c>
      <c r="G120" s="992">
        <v>0</v>
      </c>
      <c r="H120" s="992">
        <v>0</v>
      </c>
      <c r="I120" s="992">
        <v>0</v>
      </c>
      <c r="J120" s="469" t="e">
        <f>H120/(G120+H120)</f>
        <v>#DIV/0!</v>
      </c>
      <c r="K120" s="469" t="e">
        <f>(J120*Data!$P$172)+((1-J120)*Data!$P$171)</f>
        <v>#DIV/0!</v>
      </c>
      <c r="L120" s="469" t="e">
        <f>(J120*Data!$P$179)+((1-K120)*Data!$P$178)</f>
        <v>#DIV/0!</v>
      </c>
      <c r="O120" s="470"/>
      <c r="P120" s="471"/>
      <c r="Q120" s="471"/>
      <c r="R120" s="472"/>
      <c r="W120" s="468">
        <v>0</v>
      </c>
      <c r="X120" s="470">
        <v>0</v>
      </c>
      <c r="Y120" s="470">
        <v>100</v>
      </c>
      <c r="Z120" s="470">
        <v>0</v>
      </c>
      <c r="AA120" s="470">
        <v>0</v>
      </c>
      <c r="AB120" s="470">
        <v>0</v>
      </c>
      <c r="AC120" s="470">
        <v>0</v>
      </c>
      <c r="AD120" s="470">
        <v>0</v>
      </c>
    </row>
    <row r="121" spans="1:30" ht="15" customHeight="1" x14ac:dyDescent="0.2">
      <c r="A121" s="989">
        <v>120</v>
      </c>
      <c r="B121" s="990" t="s">
        <v>727</v>
      </c>
      <c r="C121" s="990" t="s">
        <v>728</v>
      </c>
      <c r="D121" s="989" t="s">
        <v>791</v>
      </c>
      <c r="E121" s="991">
        <v>105.5</v>
      </c>
      <c r="F121" s="988">
        <v>60</v>
      </c>
      <c r="G121" s="992">
        <v>57035</v>
      </c>
      <c r="H121" s="992">
        <v>0</v>
      </c>
      <c r="I121" s="992">
        <v>84447.400000000009</v>
      </c>
      <c r="J121" s="469">
        <f>H121/(G121+H121)</f>
        <v>0</v>
      </c>
      <c r="K121" s="469">
        <f>(J121*Data!$P$172)+((1-J121)*Data!$P$171)</f>
        <v>0.184</v>
      </c>
      <c r="L121" s="469">
        <f>(J121*Data!$P$179)+((1-K121)*Data!$P$178)</f>
        <v>7.3440000000000005E-2</v>
      </c>
      <c r="O121" s="470"/>
      <c r="P121" s="471"/>
      <c r="Q121" s="471"/>
      <c r="R121" s="472"/>
      <c r="W121" s="468">
        <v>0</v>
      </c>
      <c r="X121" s="470">
        <v>0</v>
      </c>
      <c r="Y121" s="470">
        <v>100</v>
      </c>
      <c r="Z121" s="470">
        <v>0</v>
      </c>
      <c r="AA121" s="470">
        <v>0</v>
      </c>
      <c r="AB121" s="470">
        <v>0</v>
      </c>
      <c r="AC121" s="470">
        <v>0</v>
      </c>
      <c r="AD121" s="470">
        <v>0</v>
      </c>
    </row>
    <row r="122" spans="1:30" ht="15" customHeight="1" x14ac:dyDescent="0.2">
      <c r="A122" s="989">
        <v>53</v>
      </c>
      <c r="B122" s="989" t="s">
        <v>58</v>
      </c>
      <c r="C122" s="989" t="s">
        <v>34</v>
      </c>
      <c r="D122" s="989" t="s">
        <v>789</v>
      </c>
      <c r="E122" s="991">
        <v>2948.8</v>
      </c>
      <c r="F122" s="988">
        <v>168</v>
      </c>
      <c r="G122" s="992">
        <v>0</v>
      </c>
      <c r="H122" s="992">
        <v>0</v>
      </c>
      <c r="I122" s="992">
        <v>1152964</v>
      </c>
      <c r="J122" s="469" t="e">
        <f>H122/(G122+H122)</f>
        <v>#DIV/0!</v>
      </c>
      <c r="K122" s="469" t="e">
        <f>(J122*Data!$P$172)+((1-J122)*Data!$P$171)</f>
        <v>#DIV/0!</v>
      </c>
      <c r="L122" s="469" t="e">
        <f>(J122*Data!$P$179)+((1-K122)*Data!$P$178)</f>
        <v>#DIV/0!</v>
      </c>
      <c r="O122" s="470"/>
      <c r="P122" s="471"/>
      <c r="Q122" s="471"/>
      <c r="R122" s="472"/>
      <c r="W122" s="468">
        <v>0</v>
      </c>
      <c r="X122" s="470">
        <v>0</v>
      </c>
      <c r="Y122" s="470">
        <v>0</v>
      </c>
      <c r="Z122" s="470">
        <v>100</v>
      </c>
      <c r="AA122" s="470">
        <v>0</v>
      </c>
      <c r="AB122" s="470">
        <v>0</v>
      </c>
      <c r="AC122" s="470">
        <v>0</v>
      </c>
      <c r="AD122" s="470">
        <v>0</v>
      </c>
    </row>
    <row r="123" spans="1:30" ht="15" customHeight="1" x14ac:dyDescent="0.2">
      <c r="A123" s="989">
        <v>110</v>
      </c>
      <c r="B123" s="990" t="s">
        <v>94</v>
      </c>
      <c r="C123" s="990" t="s">
        <v>95</v>
      </c>
      <c r="D123" s="989" t="s">
        <v>791</v>
      </c>
      <c r="E123" s="991">
        <v>2043</v>
      </c>
      <c r="F123" s="988">
        <v>168</v>
      </c>
      <c r="G123" s="992">
        <v>514384.92947450868</v>
      </c>
      <c r="H123" s="992">
        <v>0</v>
      </c>
      <c r="I123" s="992">
        <v>1399176</v>
      </c>
      <c r="J123" s="469">
        <f>H123/(G123+H123)</f>
        <v>0</v>
      </c>
      <c r="K123" s="469">
        <f>(J123*Data!$P$172)+((1-J123)*Data!$P$171)</f>
        <v>0.184</v>
      </c>
      <c r="L123" s="469">
        <f>(J123*Data!$P$179)+((1-K123)*Data!$P$178)</f>
        <v>7.3440000000000005E-2</v>
      </c>
      <c r="O123" s="470"/>
      <c r="P123" s="471"/>
      <c r="Q123" s="471"/>
      <c r="R123" s="472"/>
      <c r="W123" s="468">
        <v>0</v>
      </c>
      <c r="X123" s="470">
        <v>0</v>
      </c>
      <c r="Y123" s="470">
        <v>100</v>
      </c>
      <c r="Z123" s="470">
        <v>0</v>
      </c>
      <c r="AA123" s="470">
        <v>0</v>
      </c>
      <c r="AB123" s="470">
        <v>0</v>
      </c>
      <c r="AC123" s="470">
        <v>0</v>
      </c>
      <c r="AD123" s="470">
        <v>0</v>
      </c>
    </row>
    <row r="124" spans="1:30" ht="15" customHeight="1" x14ac:dyDescent="0.2">
      <c r="A124" s="989">
        <v>307</v>
      </c>
      <c r="B124" s="474" t="s">
        <v>156</v>
      </c>
      <c r="C124" s="474" t="s">
        <v>144</v>
      </c>
      <c r="D124" s="989" t="s">
        <v>692</v>
      </c>
      <c r="E124" s="991">
        <v>879.9</v>
      </c>
      <c r="F124" s="988">
        <v>67</v>
      </c>
      <c r="G124" s="992">
        <v>0</v>
      </c>
      <c r="H124" s="992">
        <v>0</v>
      </c>
      <c r="I124" s="992">
        <v>151052.10000000003</v>
      </c>
      <c r="J124" s="469" t="e">
        <f>H124/(G124+H124)</f>
        <v>#DIV/0!</v>
      </c>
      <c r="K124" s="469" t="e">
        <f>(J124*Data!$P$172)+((1-J124)*Data!$P$171)</f>
        <v>#DIV/0!</v>
      </c>
      <c r="L124" s="469" t="e">
        <f>(J124*Data!$P$179)+((1-K124)*Data!$P$178)</f>
        <v>#DIV/0!</v>
      </c>
      <c r="O124" s="470"/>
      <c r="W124" s="468">
        <v>0</v>
      </c>
      <c r="X124" s="470">
        <v>0</v>
      </c>
      <c r="Y124" s="470">
        <v>0</v>
      </c>
      <c r="Z124" s="470">
        <v>0</v>
      </c>
      <c r="AA124" s="470">
        <v>0</v>
      </c>
      <c r="AB124" s="470">
        <v>0</v>
      </c>
      <c r="AC124" s="470">
        <v>0</v>
      </c>
      <c r="AD124" s="470">
        <v>100</v>
      </c>
    </row>
    <row r="125" spans="1:30" ht="15" customHeight="1" x14ac:dyDescent="0.2">
      <c r="A125" s="989">
        <v>355</v>
      </c>
      <c r="B125" s="474" t="s">
        <v>164</v>
      </c>
      <c r="C125" s="474" t="s">
        <v>65</v>
      </c>
      <c r="D125" s="989" t="s">
        <v>785</v>
      </c>
      <c r="E125" s="991">
        <v>1394.8</v>
      </c>
      <c r="F125" s="988">
        <v>168</v>
      </c>
      <c r="G125" s="992">
        <v>0</v>
      </c>
      <c r="H125" s="992">
        <v>0</v>
      </c>
      <c r="I125" s="992">
        <v>43606.340068214478</v>
      </c>
      <c r="J125" s="469" t="e">
        <f>H125/(G125+H125)</f>
        <v>#DIV/0!</v>
      </c>
      <c r="K125" s="469" t="e">
        <f>(J125*Data!$P$172)+((1-J125)*Data!$P$171)</f>
        <v>#DIV/0!</v>
      </c>
      <c r="L125" s="469" t="e">
        <f>(J125*Data!$P$179)+((1-K125)*Data!$P$178)</f>
        <v>#DIV/0!</v>
      </c>
      <c r="O125" s="470"/>
      <c r="W125" s="468">
        <v>0</v>
      </c>
      <c r="X125" s="470">
        <v>0</v>
      </c>
      <c r="Y125" s="470">
        <v>0</v>
      </c>
      <c r="Z125" s="470">
        <v>0</v>
      </c>
      <c r="AA125" s="470">
        <v>0</v>
      </c>
      <c r="AB125" s="470">
        <v>100</v>
      </c>
      <c r="AC125" s="470">
        <v>0</v>
      </c>
      <c r="AD125" s="470">
        <v>0</v>
      </c>
    </row>
    <row r="126" spans="1:30" ht="15" customHeight="1" x14ac:dyDescent="0.2">
      <c r="A126" s="989">
        <v>395</v>
      </c>
      <c r="B126" s="474" t="s">
        <v>176</v>
      </c>
      <c r="C126" s="474" t="s">
        <v>177</v>
      </c>
      <c r="D126" s="989" t="s">
        <v>785</v>
      </c>
      <c r="E126" s="991">
        <v>12668.6</v>
      </c>
      <c r="F126" s="988">
        <v>168</v>
      </c>
      <c r="G126" s="992">
        <v>1572567</v>
      </c>
      <c r="H126" s="992">
        <v>0</v>
      </c>
      <c r="I126" s="992">
        <v>652221</v>
      </c>
      <c r="J126" s="469">
        <f>H126/(G126+H126)</f>
        <v>0</v>
      </c>
      <c r="K126" s="469">
        <f>(J126*Data!$P$172)+((1-J126)*Data!$P$171)</f>
        <v>0.184</v>
      </c>
      <c r="L126" s="469">
        <f>(J126*Data!$P$179)+((1-K126)*Data!$P$178)</f>
        <v>7.3440000000000005E-2</v>
      </c>
      <c r="O126" s="470"/>
      <c r="W126" s="468">
        <v>0</v>
      </c>
      <c r="X126" s="470">
        <v>0</v>
      </c>
      <c r="Y126" s="470">
        <v>0</v>
      </c>
      <c r="Z126" s="470">
        <v>0</v>
      </c>
      <c r="AA126" s="470">
        <v>0</v>
      </c>
      <c r="AB126" s="470">
        <v>100</v>
      </c>
      <c r="AC126" s="470">
        <v>0</v>
      </c>
      <c r="AD126" s="470">
        <v>0</v>
      </c>
    </row>
    <row r="127" spans="1:30" ht="15" customHeight="1" x14ac:dyDescent="0.2">
      <c r="A127" s="989">
        <v>4</v>
      </c>
      <c r="B127" s="990" t="s">
        <v>37</v>
      </c>
      <c r="C127" s="990" t="s">
        <v>34</v>
      </c>
      <c r="D127" s="989" t="s">
        <v>692</v>
      </c>
      <c r="E127" s="991">
        <v>4310.8999999999996</v>
      </c>
      <c r="F127" s="988">
        <v>97</v>
      </c>
      <c r="G127" s="992">
        <v>0</v>
      </c>
      <c r="H127" s="992">
        <v>684502.63974096032</v>
      </c>
      <c r="I127" s="992">
        <v>197392</v>
      </c>
      <c r="J127" s="469">
        <f>H127/(G127+H127)</f>
        <v>1</v>
      </c>
      <c r="K127" s="469">
        <f>(J127*Data!$P$172)+((1-J127)*Data!$P$171)</f>
        <v>0.17072999999999999</v>
      </c>
      <c r="L127" s="469">
        <f>(J127*Data!$P$179)+((1-K127)*Data!$P$178)</f>
        <v>0.16463429999999998</v>
      </c>
      <c r="O127" s="470"/>
      <c r="P127" s="471"/>
      <c r="Q127" s="471"/>
      <c r="R127" s="472"/>
      <c r="W127" s="468">
        <v>0</v>
      </c>
      <c r="X127" s="470">
        <v>0</v>
      </c>
      <c r="Y127" s="470">
        <v>0</v>
      </c>
      <c r="Z127" s="470">
        <v>0</v>
      </c>
      <c r="AA127" s="470">
        <v>0</v>
      </c>
      <c r="AB127" s="470">
        <v>0</v>
      </c>
      <c r="AC127" s="470">
        <v>0</v>
      </c>
      <c r="AD127" s="470">
        <v>100</v>
      </c>
    </row>
    <row r="128" spans="1:30" ht="15" customHeight="1" x14ac:dyDescent="0.2">
      <c r="A128" s="989">
        <v>354</v>
      </c>
      <c r="B128" s="474" t="s">
        <v>762</v>
      </c>
      <c r="C128" s="474" t="s">
        <v>763</v>
      </c>
      <c r="D128" s="989" t="s">
        <v>692</v>
      </c>
      <c r="E128" s="991">
        <v>94.3</v>
      </c>
      <c r="F128" s="988">
        <v>60</v>
      </c>
      <c r="G128" s="992">
        <v>0</v>
      </c>
      <c r="H128" s="992">
        <v>0</v>
      </c>
      <c r="I128" s="992">
        <v>18011.000000000004</v>
      </c>
      <c r="J128" s="469" t="e">
        <f>H128/(G128+H128)</f>
        <v>#DIV/0!</v>
      </c>
      <c r="K128" s="469" t="e">
        <f>(J128*Data!$P$172)+((1-J128)*Data!$P$171)</f>
        <v>#DIV/0!</v>
      </c>
      <c r="L128" s="469" t="e">
        <f>(J128*Data!$P$179)+((1-K128)*Data!$P$178)</f>
        <v>#DIV/0!</v>
      </c>
      <c r="O128" s="470"/>
      <c r="W128" s="468">
        <v>0</v>
      </c>
      <c r="X128" s="470">
        <v>0</v>
      </c>
      <c r="Y128" s="470">
        <v>0</v>
      </c>
      <c r="Z128" s="470">
        <v>0</v>
      </c>
      <c r="AA128" s="470">
        <v>0</v>
      </c>
      <c r="AB128" s="470">
        <v>0</v>
      </c>
      <c r="AC128" s="470">
        <v>0</v>
      </c>
      <c r="AD128" s="470">
        <v>100</v>
      </c>
    </row>
    <row r="129" spans="1:30" ht="15" customHeight="1" x14ac:dyDescent="0.2">
      <c r="A129" s="989">
        <v>200</v>
      </c>
      <c r="B129" s="989" t="s">
        <v>120</v>
      </c>
      <c r="C129" s="989" t="s">
        <v>121</v>
      </c>
      <c r="D129" s="989" t="s">
        <v>789</v>
      </c>
      <c r="E129" s="991">
        <v>9397.5</v>
      </c>
      <c r="F129" s="988">
        <v>168</v>
      </c>
      <c r="G129" s="992">
        <v>0</v>
      </c>
      <c r="H129" s="992">
        <v>2344891</v>
      </c>
      <c r="I129" s="992">
        <v>4096511</v>
      </c>
      <c r="J129" s="469">
        <f>H129/(G129+H129)</f>
        <v>1</v>
      </c>
      <c r="K129" s="469">
        <f>(J129*Data!$P$172)+((1-J129)*Data!$P$171)</f>
        <v>0.17072999999999999</v>
      </c>
      <c r="L129" s="469">
        <f>(J129*Data!$P$179)+((1-K129)*Data!$P$178)</f>
        <v>0.16463429999999998</v>
      </c>
      <c r="O129" s="470"/>
      <c r="P129" s="471"/>
      <c r="Q129" s="471"/>
      <c r="R129" s="472"/>
      <c r="W129" s="468">
        <v>0</v>
      </c>
      <c r="X129" s="470">
        <v>0</v>
      </c>
      <c r="Y129" s="470">
        <v>0</v>
      </c>
      <c r="Z129" s="470">
        <v>100</v>
      </c>
      <c r="AA129" s="470">
        <v>0</v>
      </c>
      <c r="AB129" s="470">
        <v>0</v>
      </c>
      <c r="AC129" s="470">
        <v>0</v>
      </c>
      <c r="AD129" s="470">
        <v>0</v>
      </c>
    </row>
    <row r="130" spans="1:30" ht="15" customHeight="1" x14ac:dyDescent="0.2">
      <c r="A130" s="474">
        <v>454</v>
      </c>
      <c r="B130" s="474" t="s">
        <v>811</v>
      </c>
      <c r="D130" s="989" t="s">
        <v>791</v>
      </c>
      <c r="E130" s="991">
        <v>6217</v>
      </c>
      <c r="F130" s="988">
        <v>168</v>
      </c>
      <c r="G130" s="992">
        <v>0</v>
      </c>
      <c r="H130" s="992">
        <v>0</v>
      </c>
      <c r="I130" s="992">
        <v>0</v>
      </c>
      <c r="J130" s="469" t="e">
        <f>H130/(G130+H130)</f>
        <v>#DIV/0!</v>
      </c>
      <c r="K130" s="469" t="e">
        <f>(J130*Data!$P$172)+((1-J130)*Data!$P$171)</f>
        <v>#DIV/0!</v>
      </c>
      <c r="L130" s="469" t="e">
        <f>(J130*Data!$P$179)+((1-K130)*Data!$P$178)</f>
        <v>#DIV/0!</v>
      </c>
    </row>
    <row r="131" spans="1:30" ht="15" customHeight="1" x14ac:dyDescent="0.2">
      <c r="A131" s="474">
        <v>409</v>
      </c>
      <c r="B131" s="474" t="s">
        <v>807</v>
      </c>
      <c r="D131" s="989" t="s">
        <v>789</v>
      </c>
      <c r="E131" s="991"/>
      <c r="F131" s="988">
        <v>168</v>
      </c>
      <c r="G131" s="992">
        <v>0</v>
      </c>
      <c r="H131" s="992">
        <v>0</v>
      </c>
      <c r="I131" s="992">
        <v>0</v>
      </c>
      <c r="J131" s="469" t="e">
        <f>H131/(G131+H131)</f>
        <v>#DIV/0!</v>
      </c>
      <c r="K131" s="469" t="e">
        <f>(J131*Data!$P$172)+((1-J131)*Data!$P$171)</f>
        <v>#DIV/0!</v>
      </c>
      <c r="L131" s="469" t="e">
        <f>(J131*Data!$P$179)+((1-K131)*Data!$P$178)</f>
        <v>#DIV/0!</v>
      </c>
    </row>
    <row r="132" spans="1:30" ht="15" customHeight="1" x14ac:dyDescent="0.2">
      <c r="A132" s="989">
        <v>3</v>
      </c>
      <c r="B132" s="989" t="s">
        <v>36</v>
      </c>
      <c r="C132" s="989" t="s">
        <v>34</v>
      </c>
      <c r="D132" s="989" t="s">
        <v>692</v>
      </c>
      <c r="E132" s="991">
        <v>4620.8999999999996</v>
      </c>
      <c r="F132" s="988">
        <v>168</v>
      </c>
      <c r="G132" s="992">
        <v>0</v>
      </c>
      <c r="H132" s="992">
        <v>520235.50113290816</v>
      </c>
      <c r="I132" s="992">
        <v>405594.5</v>
      </c>
      <c r="J132" s="469">
        <f>H132/(G132+H132)</f>
        <v>1</v>
      </c>
      <c r="K132" s="469">
        <f>(J132*Data!$P$172)+((1-J132)*Data!$P$171)</f>
        <v>0.17072999999999999</v>
      </c>
      <c r="L132" s="469">
        <f>(J132*Data!$P$179)+((1-K132)*Data!$P$178)</f>
        <v>0.16463429999999998</v>
      </c>
      <c r="O132" s="470"/>
      <c r="P132" s="471"/>
      <c r="Q132" s="471"/>
      <c r="R132" s="472"/>
      <c r="W132" s="468">
        <v>0</v>
      </c>
      <c r="X132" s="470">
        <v>0</v>
      </c>
      <c r="Y132" s="470">
        <v>0</v>
      </c>
      <c r="Z132" s="470">
        <v>0</v>
      </c>
      <c r="AA132" s="470">
        <v>0</v>
      </c>
      <c r="AB132" s="470">
        <v>0</v>
      </c>
      <c r="AC132" s="470">
        <v>0</v>
      </c>
      <c r="AD132" s="470">
        <v>100</v>
      </c>
    </row>
    <row r="133" spans="1:30" ht="15" customHeight="1" x14ac:dyDescent="0.2">
      <c r="A133" s="989">
        <v>6</v>
      </c>
      <c r="B133" s="990" t="s">
        <v>39</v>
      </c>
      <c r="C133" s="990" t="s">
        <v>34</v>
      </c>
      <c r="D133" s="989" t="s">
        <v>791</v>
      </c>
      <c r="E133" s="991">
        <v>7030.4</v>
      </c>
      <c r="F133" s="988">
        <v>168</v>
      </c>
      <c r="G133" s="992">
        <v>0</v>
      </c>
      <c r="H133" s="992">
        <v>356100</v>
      </c>
      <c r="I133" s="992">
        <v>1736040</v>
      </c>
      <c r="J133" s="469">
        <f>H133/(G133+H133)</f>
        <v>1</v>
      </c>
      <c r="K133" s="469">
        <f>(J133*Data!$P$172)+((1-J133)*Data!$P$171)</f>
        <v>0.17072999999999999</v>
      </c>
      <c r="L133" s="469">
        <f>(J133*Data!$P$179)+((1-K133)*Data!$P$178)</f>
        <v>0.16463429999999998</v>
      </c>
      <c r="O133" s="470"/>
      <c r="P133" s="471"/>
      <c r="Q133" s="471"/>
      <c r="R133" s="472"/>
      <c r="W133" s="468">
        <v>0</v>
      </c>
      <c r="X133" s="470">
        <v>0</v>
      </c>
      <c r="Y133" s="470">
        <v>100</v>
      </c>
      <c r="Z133" s="470">
        <v>0</v>
      </c>
      <c r="AA133" s="470">
        <v>0</v>
      </c>
      <c r="AB133" s="470">
        <v>0</v>
      </c>
      <c r="AC133" s="470">
        <v>0</v>
      </c>
      <c r="AD133" s="470">
        <v>0</v>
      </c>
    </row>
    <row r="134" spans="1:30" ht="15" customHeight="1" x14ac:dyDescent="0.2">
      <c r="A134" s="989">
        <v>209</v>
      </c>
      <c r="B134" s="989" t="s">
        <v>129</v>
      </c>
      <c r="C134" s="989" t="s">
        <v>130</v>
      </c>
      <c r="D134" s="989" t="s">
        <v>785</v>
      </c>
      <c r="E134" s="991">
        <v>1292.3</v>
      </c>
      <c r="F134" s="988">
        <v>168</v>
      </c>
      <c r="G134" s="992">
        <v>335602</v>
      </c>
      <c r="H134" s="992">
        <v>0</v>
      </c>
      <c r="I134" s="992">
        <v>52721.1</v>
      </c>
      <c r="J134" s="469">
        <f>H134/(G134+H134)</f>
        <v>0</v>
      </c>
      <c r="K134" s="469">
        <f>(J134*Data!$P$172)+((1-J134)*Data!$P$171)</f>
        <v>0.184</v>
      </c>
      <c r="L134" s="469">
        <f>(J134*Data!$P$179)+((1-K134)*Data!$P$178)</f>
        <v>7.3440000000000005E-2</v>
      </c>
      <c r="O134" s="470"/>
      <c r="P134" s="471"/>
      <c r="Q134" s="471"/>
      <c r="R134" s="472"/>
      <c r="W134" s="468">
        <v>0</v>
      </c>
      <c r="X134" s="470">
        <v>0</v>
      </c>
      <c r="Y134" s="470">
        <v>0</v>
      </c>
      <c r="Z134" s="470">
        <v>0</v>
      </c>
      <c r="AA134" s="470">
        <v>0</v>
      </c>
      <c r="AB134" s="470">
        <v>100</v>
      </c>
      <c r="AC134" s="470">
        <v>0</v>
      </c>
      <c r="AD134" s="470">
        <v>0</v>
      </c>
    </row>
    <row r="135" spans="1:30" ht="15" customHeight="1" x14ac:dyDescent="0.2">
      <c r="A135" s="989">
        <v>242</v>
      </c>
      <c r="B135" s="474" t="s">
        <v>141</v>
      </c>
      <c r="C135" s="474" t="s">
        <v>753</v>
      </c>
      <c r="D135" s="989" t="s">
        <v>789</v>
      </c>
      <c r="E135" s="991">
        <v>10590.6</v>
      </c>
      <c r="F135" s="988">
        <v>168</v>
      </c>
      <c r="G135" s="992">
        <v>1915569.8360999997</v>
      </c>
      <c r="H135" s="992">
        <v>0</v>
      </c>
      <c r="I135" s="992">
        <v>2862785.58</v>
      </c>
      <c r="J135" s="469">
        <f>H135/(G135+H135)</f>
        <v>0</v>
      </c>
      <c r="K135" s="469">
        <f>(J135*Data!$P$172)+((1-J135)*Data!$P$171)</f>
        <v>0.184</v>
      </c>
      <c r="L135" s="469">
        <f>(J135*Data!$P$179)+((1-K135)*Data!$P$178)</f>
        <v>7.3440000000000005E-2</v>
      </c>
      <c r="O135" s="470"/>
      <c r="W135" s="468">
        <v>0</v>
      </c>
      <c r="X135" s="470">
        <v>0</v>
      </c>
      <c r="Y135" s="470">
        <v>0</v>
      </c>
      <c r="Z135" s="470">
        <v>100</v>
      </c>
      <c r="AA135" s="470">
        <v>0</v>
      </c>
      <c r="AB135" s="470">
        <v>0</v>
      </c>
      <c r="AC135" s="470">
        <v>0</v>
      </c>
      <c r="AD135" s="470">
        <v>0</v>
      </c>
    </row>
    <row r="136" spans="1:30" ht="15" customHeight="1" x14ac:dyDescent="0.2">
      <c r="A136" s="989">
        <v>55</v>
      </c>
      <c r="B136" s="989" t="s">
        <v>61</v>
      </c>
      <c r="C136" s="989" t="s">
        <v>709</v>
      </c>
      <c r="D136" s="989" t="s">
        <v>785</v>
      </c>
      <c r="E136" s="991">
        <v>9956.5</v>
      </c>
      <c r="F136" s="988">
        <v>168</v>
      </c>
      <c r="G136" s="992">
        <v>2520161</v>
      </c>
      <c r="H136" s="992">
        <v>0</v>
      </c>
      <c r="I136" s="992">
        <v>964635</v>
      </c>
      <c r="J136" s="469">
        <f>H136/(G136+H136)</f>
        <v>0</v>
      </c>
      <c r="K136" s="469">
        <f>(J136*Data!$P$172)+((1-J136)*Data!$P$171)</f>
        <v>0.184</v>
      </c>
      <c r="L136" s="469">
        <f>(J136*Data!$P$179)+((1-K136)*Data!$P$178)</f>
        <v>7.3440000000000005E-2</v>
      </c>
      <c r="O136" s="470"/>
      <c r="P136" s="471"/>
      <c r="Q136" s="471"/>
      <c r="R136" s="472"/>
      <c r="W136" s="468">
        <v>0</v>
      </c>
      <c r="X136" s="470">
        <v>0</v>
      </c>
      <c r="Y136" s="470">
        <v>0</v>
      </c>
      <c r="Z136" s="470">
        <v>0</v>
      </c>
      <c r="AA136" s="470">
        <v>0</v>
      </c>
      <c r="AB136" s="470">
        <v>100</v>
      </c>
      <c r="AC136" s="470">
        <v>0</v>
      </c>
      <c r="AD136" s="470">
        <v>0</v>
      </c>
    </row>
    <row r="137" spans="1:30" ht="15" customHeight="1" x14ac:dyDescent="0.2">
      <c r="A137" s="989">
        <v>78</v>
      </c>
      <c r="B137" s="989" t="s">
        <v>711</v>
      </c>
      <c r="C137" s="989" t="s">
        <v>712</v>
      </c>
      <c r="D137" s="989" t="s">
        <v>785</v>
      </c>
      <c r="E137" s="991">
        <v>1072.3</v>
      </c>
      <c r="F137" s="988">
        <v>168</v>
      </c>
      <c r="G137" s="992">
        <v>97439</v>
      </c>
      <c r="H137" s="992">
        <v>0</v>
      </c>
      <c r="I137" s="992">
        <v>85784</v>
      </c>
      <c r="J137" s="469">
        <f>H137/(G137+H137)</f>
        <v>0</v>
      </c>
      <c r="K137" s="469">
        <f>(J137*Data!$P$172)+((1-J137)*Data!$P$171)</f>
        <v>0.184</v>
      </c>
      <c r="L137" s="469">
        <f>(J137*Data!$P$179)+((1-K137)*Data!$P$178)</f>
        <v>7.3440000000000005E-2</v>
      </c>
      <c r="O137" s="470"/>
      <c r="P137" s="471"/>
      <c r="Q137" s="471"/>
      <c r="R137" s="472"/>
      <c r="W137" s="468">
        <v>0</v>
      </c>
      <c r="X137" s="470">
        <v>0</v>
      </c>
      <c r="Y137" s="470">
        <v>0</v>
      </c>
      <c r="Z137" s="470">
        <v>0</v>
      </c>
      <c r="AA137" s="470">
        <v>0</v>
      </c>
      <c r="AB137" s="470">
        <v>100</v>
      </c>
      <c r="AC137" s="470">
        <v>0</v>
      </c>
      <c r="AD137" s="470">
        <v>0</v>
      </c>
    </row>
    <row r="138" spans="1:30" ht="15" customHeight="1" x14ac:dyDescent="0.2">
      <c r="A138" s="989">
        <v>202</v>
      </c>
      <c r="B138" s="989" t="s">
        <v>124</v>
      </c>
      <c r="C138" s="989" t="s">
        <v>743</v>
      </c>
      <c r="D138" s="989" t="s">
        <v>789</v>
      </c>
      <c r="E138" s="991">
        <v>5945.9</v>
      </c>
      <c r="F138" s="988">
        <v>168</v>
      </c>
      <c r="G138" s="992">
        <v>0</v>
      </c>
      <c r="H138" s="992">
        <v>824960</v>
      </c>
      <c r="I138" s="992">
        <v>1603308</v>
      </c>
      <c r="J138" s="469">
        <f>H138/(G138+H138)</f>
        <v>1</v>
      </c>
      <c r="K138" s="469">
        <f>(J138*Data!$P$172)+((1-J138)*Data!$P$171)</f>
        <v>0.17072999999999999</v>
      </c>
      <c r="L138" s="469">
        <f>(J138*Data!$P$179)+((1-K138)*Data!$P$178)</f>
        <v>0.16463429999999998</v>
      </c>
      <c r="O138" s="470"/>
      <c r="P138" s="471"/>
      <c r="Q138" s="471"/>
      <c r="R138" s="472"/>
      <c r="W138" s="468">
        <v>0</v>
      </c>
      <c r="X138" s="470">
        <v>0</v>
      </c>
      <c r="Y138" s="470">
        <v>0</v>
      </c>
      <c r="Z138" s="470">
        <v>100</v>
      </c>
      <c r="AA138" s="470">
        <v>0</v>
      </c>
      <c r="AB138" s="470">
        <v>0</v>
      </c>
      <c r="AC138" s="470">
        <v>0</v>
      </c>
      <c r="AD138" s="470">
        <v>0</v>
      </c>
    </row>
    <row r="139" spans="1:30" ht="15" customHeight="1" x14ac:dyDescent="0.2">
      <c r="A139" s="989">
        <v>45</v>
      </c>
      <c r="B139" s="989" t="s">
        <v>54</v>
      </c>
      <c r="C139" s="989" t="s">
        <v>55</v>
      </c>
      <c r="D139" s="989" t="s">
        <v>791</v>
      </c>
      <c r="E139" s="991">
        <v>13709.2</v>
      </c>
      <c r="F139" s="988">
        <v>168</v>
      </c>
      <c r="G139" s="992">
        <v>0</v>
      </c>
      <c r="H139" s="992">
        <v>1475243.1</v>
      </c>
      <c r="I139" s="992">
        <v>3416059.3050000002</v>
      </c>
      <c r="J139" s="469">
        <f>H139/(G139+H139)</f>
        <v>1</v>
      </c>
      <c r="K139" s="469">
        <f>(J139*Data!$P$172)+((1-J139)*Data!$P$171)</f>
        <v>0.17072999999999999</v>
      </c>
      <c r="L139" s="469">
        <f>(J139*Data!$P$179)+((1-K139)*Data!$P$178)</f>
        <v>0.16463429999999998</v>
      </c>
      <c r="O139" s="470"/>
      <c r="P139" s="471"/>
      <c r="Q139" s="471"/>
      <c r="R139" s="472"/>
      <c r="W139" s="468">
        <v>0</v>
      </c>
      <c r="X139" s="470">
        <v>0</v>
      </c>
      <c r="Y139" s="470">
        <v>100</v>
      </c>
      <c r="Z139" s="470">
        <v>0</v>
      </c>
      <c r="AA139" s="470">
        <v>0</v>
      </c>
      <c r="AB139" s="470">
        <v>0</v>
      </c>
      <c r="AC139" s="470">
        <v>0</v>
      </c>
      <c r="AD139" s="470">
        <v>0</v>
      </c>
    </row>
    <row r="140" spans="1:30" ht="15" customHeight="1" x14ac:dyDescent="0.2">
      <c r="A140" s="989">
        <v>201</v>
      </c>
      <c r="B140" s="989" t="s">
        <v>122</v>
      </c>
      <c r="C140" s="989" t="s">
        <v>123</v>
      </c>
      <c r="D140" s="989" t="s">
        <v>789</v>
      </c>
      <c r="E140" s="991">
        <v>7687.9</v>
      </c>
      <c r="F140" s="988">
        <v>168</v>
      </c>
      <c r="G140" s="992">
        <v>3722</v>
      </c>
      <c r="H140" s="992">
        <v>417500</v>
      </c>
      <c r="I140" s="992">
        <v>1915567</v>
      </c>
      <c r="J140" s="469">
        <f>H140/(G140+H140)</f>
        <v>0.99116380435969631</v>
      </c>
      <c r="K140" s="469">
        <f>(J140*Data!$P$172)+((1-J140)*Data!$P$171)</f>
        <v>0.17084725631614683</v>
      </c>
      <c r="L140" s="469">
        <f>(J140*Data!$P$179)+((1-K140)*Data!$P$178)</f>
        <v>0.16382848932391947</v>
      </c>
      <c r="O140" s="470"/>
      <c r="P140" s="471"/>
      <c r="Q140" s="471"/>
      <c r="R140" s="472"/>
      <c r="W140" s="468">
        <v>0</v>
      </c>
      <c r="X140" s="470">
        <v>0</v>
      </c>
      <c r="Y140" s="470">
        <v>0</v>
      </c>
      <c r="Z140" s="470">
        <v>100</v>
      </c>
      <c r="AA140" s="470">
        <v>0</v>
      </c>
      <c r="AB140" s="470">
        <v>0</v>
      </c>
      <c r="AC140" s="470">
        <v>0</v>
      </c>
      <c r="AD140" s="470">
        <v>0</v>
      </c>
    </row>
    <row r="141" spans="1:30" ht="15" customHeight="1" x14ac:dyDescent="0.2">
      <c r="A141" s="989">
        <v>281</v>
      </c>
      <c r="B141" s="474" t="s">
        <v>152</v>
      </c>
      <c r="C141" s="474" t="s">
        <v>760</v>
      </c>
      <c r="D141" s="989" t="s">
        <v>789</v>
      </c>
      <c r="E141" s="991">
        <v>36789</v>
      </c>
      <c r="F141" s="988">
        <v>168</v>
      </c>
      <c r="G141" s="992">
        <v>21524491.471666668</v>
      </c>
      <c r="H141" s="992">
        <v>0</v>
      </c>
      <c r="I141" s="992">
        <v>2605812.0177499996</v>
      </c>
      <c r="J141" s="469">
        <f>H141/(G141+H141)</f>
        <v>0</v>
      </c>
      <c r="K141" s="469">
        <f>(J141*Data!$P$172)+((1-J141)*Data!$P$171)</f>
        <v>0.184</v>
      </c>
      <c r="L141" s="469">
        <f>(J141*Data!$P$179)+((1-K141)*Data!$P$178)</f>
        <v>7.3440000000000005E-2</v>
      </c>
      <c r="O141" s="470"/>
      <c r="W141" s="468">
        <v>0</v>
      </c>
      <c r="X141" s="470">
        <v>0</v>
      </c>
      <c r="Y141" s="470">
        <v>0</v>
      </c>
      <c r="Z141" s="470">
        <v>100</v>
      </c>
      <c r="AA141" s="470">
        <v>0</v>
      </c>
      <c r="AB141" s="470">
        <v>0</v>
      </c>
      <c r="AC141" s="470">
        <v>0</v>
      </c>
      <c r="AD141" s="470">
        <v>0</v>
      </c>
    </row>
    <row r="142" spans="1:30" ht="15" customHeight="1" x14ac:dyDescent="0.2">
      <c r="A142" s="989">
        <v>117</v>
      </c>
      <c r="B142" s="990" t="s">
        <v>96</v>
      </c>
      <c r="C142" s="990" t="s">
        <v>726</v>
      </c>
      <c r="D142" s="989" t="s">
        <v>692</v>
      </c>
      <c r="E142" s="991">
        <v>1354.7</v>
      </c>
      <c r="F142" s="988">
        <v>60</v>
      </c>
      <c r="G142" s="992">
        <v>122845</v>
      </c>
      <c r="H142" s="992">
        <v>0</v>
      </c>
      <c r="I142" s="992">
        <v>66117.400000000009</v>
      </c>
      <c r="J142" s="469">
        <f>H142/(G142+H142)</f>
        <v>0</v>
      </c>
      <c r="K142" s="469">
        <f>(J142*Data!$P$172)+((1-J142)*Data!$P$171)</f>
        <v>0.184</v>
      </c>
      <c r="L142" s="469">
        <f>(J142*Data!$P$179)+((1-K142)*Data!$P$178)</f>
        <v>7.3440000000000005E-2</v>
      </c>
      <c r="O142" s="470"/>
      <c r="P142" s="471"/>
      <c r="Q142" s="471"/>
      <c r="R142" s="472"/>
      <c r="W142" s="468">
        <v>0</v>
      </c>
      <c r="X142" s="470">
        <v>0</v>
      </c>
      <c r="Y142" s="470">
        <v>0</v>
      </c>
      <c r="Z142" s="470">
        <v>0</v>
      </c>
      <c r="AA142" s="470">
        <v>0</v>
      </c>
      <c r="AB142" s="470">
        <v>0</v>
      </c>
      <c r="AC142" s="470">
        <v>0</v>
      </c>
      <c r="AD142" s="470">
        <v>100</v>
      </c>
    </row>
    <row r="143" spans="1:30" ht="15" customHeight="1" x14ac:dyDescent="0.2">
      <c r="A143" s="989">
        <v>403</v>
      </c>
      <c r="B143" s="474" t="s">
        <v>781</v>
      </c>
      <c r="C143" s="474" t="s">
        <v>782</v>
      </c>
      <c r="D143" s="989" t="s">
        <v>692</v>
      </c>
      <c r="E143" s="991">
        <v>1561.1</v>
      </c>
      <c r="F143" s="988">
        <v>60</v>
      </c>
      <c r="G143" s="992">
        <v>0</v>
      </c>
      <c r="H143" s="992">
        <v>0</v>
      </c>
      <c r="I143" s="992">
        <v>252738.66666666669</v>
      </c>
      <c r="J143" s="469" t="e">
        <f>H143/(G143+H143)</f>
        <v>#DIV/0!</v>
      </c>
      <c r="K143" s="469" t="e">
        <f>(J143*Data!$P$172)+((1-J143)*Data!$P$171)</f>
        <v>#DIV/0!</v>
      </c>
      <c r="L143" s="469" t="e">
        <f>(J143*Data!$P$179)+((1-K143)*Data!$P$178)</f>
        <v>#DIV/0!</v>
      </c>
      <c r="O143" s="470"/>
      <c r="W143" s="468">
        <v>0</v>
      </c>
      <c r="X143" s="470">
        <v>0</v>
      </c>
      <c r="Y143" s="470">
        <v>0</v>
      </c>
      <c r="Z143" s="470">
        <v>0</v>
      </c>
      <c r="AA143" s="470">
        <v>0</v>
      </c>
      <c r="AB143" s="470">
        <v>0</v>
      </c>
      <c r="AC143" s="470">
        <v>0</v>
      </c>
      <c r="AD143" s="470">
        <v>100</v>
      </c>
    </row>
    <row r="144" spans="1:30" ht="15" customHeight="1" x14ac:dyDescent="0.2">
      <c r="A144" s="989">
        <v>104</v>
      </c>
      <c r="B144" s="990" t="s">
        <v>86</v>
      </c>
      <c r="C144" s="990" t="s">
        <v>87</v>
      </c>
      <c r="D144" s="989" t="s">
        <v>785</v>
      </c>
      <c r="E144" s="991">
        <v>8417.9</v>
      </c>
      <c r="F144" s="988">
        <v>168</v>
      </c>
      <c r="G144" s="992">
        <v>1278532</v>
      </c>
      <c r="H144" s="992">
        <v>0</v>
      </c>
      <c r="I144" s="992">
        <v>406949</v>
      </c>
      <c r="J144" s="469">
        <f>H144/(G144+H144)</f>
        <v>0</v>
      </c>
      <c r="K144" s="469">
        <f>(J144*Data!$P$172)+((1-J144)*Data!$P$171)</f>
        <v>0.184</v>
      </c>
      <c r="L144" s="469">
        <f>(J144*Data!$P$179)+((1-K144)*Data!$P$178)</f>
        <v>7.3440000000000005E-2</v>
      </c>
      <c r="O144" s="470"/>
      <c r="P144" s="471"/>
      <c r="Q144" s="471"/>
      <c r="R144" s="472"/>
      <c r="W144" s="468">
        <v>0</v>
      </c>
      <c r="X144" s="470">
        <v>0</v>
      </c>
      <c r="Y144" s="470">
        <v>0</v>
      </c>
      <c r="Z144" s="470">
        <v>0</v>
      </c>
      <c r="AA144" s="470">
        <v>0</v>
      </c>
      <c r="AB144" s="470">
        <v>100</v>
      </c>
      <c r="AC144" s="470">
        <v>0</v>
      </c>
      <c r="AD144" s="470">
        <v>0</v>
      </c>
    </row>
    <row r="145" spans="1:30" ht="15" customHeight="1" x14ac:dyDescent="0.2">
      <c r="A145" s="989">
        <v>131</v>
      </c>
      <c r="B145" s="989" t="s">
        <v>732</v>
      </c>
      <c r="C145" s="989" t="s">
        <v>733</v>
      </c>
      <c r="D145" s="989" t="s">
        <v>792</v>
      </c>
      <c r="E145" s="991">
        <v>15079</v>
      </c>
      <c r="F145" s="988">
        <v>168</v>
      </c>
      <c r="G145" s="992">
        <v>3004805</v>
      </c>
      <c r="H145" s="992">
        <v>0</v>
      </c>
      <c r="I145" s="992">
        <v>2767118</v>
      </c>
      <c r="J145" s="469">
        <f>H145/(G145+H145)</f>
        <v>0</v>
      </c>
      <c r="K145" s="469">
        <f>(J145*Data!$P$172)+((1-J145)*Data!$P$171)</f>
        <v>0.184</v>
      </c>
      <c r="L145" s="469">
        <f>(J145*Data!$P$179)+((1-K145)*Data!$P$178)</f>
        <v>7.3440000000000005E-2</v>
      </c>
      <c r="O145" s="470"/>
      <c r="P145" s="471"/>
      <c r="Q145" s="471"/>
      <c r="R145" s="472"/>
      <c r="W145" s="468">
        <v>0</v>
      </c>
      <c r="X145" s="470">
        <v>100</v>
      </c>
      <c r="Y145" s="470">
        <v>0</v>
      </c>
      <c r="Z145" s="470">
        <v>0</v>
      </c>
      <c r="AA145" s="470">
        <v>0</v>
      </c>
      <c r="AB145" s="470">
        <v>0</v>
      </c>
      <c r="AC145" s="470">
        <v>0</v>
      </c>
      <c r="AD145" s="470">
        <v>0</v>
      </c>
    </row>
    <row r="146" spans="1:30" ht="15" customHeight="1" x14ac:dyDescent="0.2">
      <c r="A146" s="989">
        <v>219</v>
      </c>
      <c r="B146" s="989" t="s">
        <v>815</v>
      </c>
      <c r="C146" s="989" t="s">
        <v>816</v>
      </c>
      <c r="D146" s="989" t="s">
        <v>788</v>
      </c>
      <c r="E146" s="991">
        <v>1205.8</v>
      </c>
      <c r="F146" s="988">
        <v>60</v>
      </c>
      <c r="G146" s="992">
        <v>0</v>
      </c>
      <c r="H146" s="992">
        <v>0</v>
      </c>
      <c r="I146" s="992">
        <v>181475.99999999997</v>
      </c>
      <c r="J146" s="469" t="e">
        <f>H146/(G146+H146)</f>
        <v>#DIV/0!</v>
      </c>
      <c r="K146" s="469" t="e">
        <f>(J146*Data!$P$172)+((1-J146)*Data!$P$171)</f>
        <v>#DIV/0!</v>
      </c>
      <c r="L146" s="469" t="e">
        <f>(J146*Data!$P$179)+((1-K146)*Data!$P$178)</f>
        <v>#DIV/0!</v>
      </c>
      <c r="O146" s="470"/>
      <c r="P146" s="471"/>
      <c r="Q146" s="471"/>
      <c r="R146" s="472"/>
      <c r="W146" s="468">
        <v>0</v>
      </c>
      <c r="X146" s="470">
        <v>0</v>
      </c>
      <c r="Y146" s="470">
        <v>0</v>
      </c>
      <c r="Z146" s="470">
        <v>100</v>
      </c>
      <c r="AA146" s="470">
        <v>0</v>
      </c>
      <c r="AB146" s="470">
        <v>0</v>
      </c>
      <c r="AC146" s="470">
        <v>0</v>
      </c>
      <c r="AD146" s="470">
        <v>0</v>
      </c>
    </row>
    <row r="147" spans="1:30" ht="15" customHeight="1" x14ac:dyDescent="0.2">
      <c r="A147" s="989">
        <v>94</v>
      </c>
      <c r="B147" s="990" t="s">
        <v>722</v>
      </c>
      <c r="C147" s="990" t="s">
        <v>723</v>
      </c>
      <c r="D147" s="989" t="s">
        <v>692</v>
      </c>
      <c r="E147" s="991">
        <v>994.5</v>
      </c>
      <c r="F147" s="988">
        <v>60</v>
      </c>
      <c r="G147" s="992">
        <v>0</v>
      </c>
      <c r="H147" s="992">
        <v>82406.272727272706</v>
      </c>
      <c r="I147" s="992">
        <v>73126</v>
      </c>
      <c r="J147" s="469">
        <f>H147/(G147+H147)</f>
        <v>1</v>
      </c>
      <c r="K147" s="469">
        <f>(J147*Data!$P$172)+((1-J147)*Data!$P$171)</f>
        <v>0.17072999999999999</v>
      </c>
      <c r="L147" s="469">
        <f>(J147*Data!$P$179)+((1-K147)*Data!$P$178)</f>
        <v>0.16463429999999998</v>
      </c>
      <c r="O147" s="470"/>
      <c r="P147" s="471"/>
      <c r="Q147" s="471"/>
      <c r="R147" s="472"/>
      <c r="W147" s="468">
        <v>0</v>
      </c>
      <c r="X147" s="470">
        <v>0</v>
      </c>
      <c r="Y147" s="470">
        <v>0</v>
      </c>
      <c r="Z147" s="470">
        <v>0</v>
      </c>
      <c r="AA147" s="470">
        <v>0</v>
      </c>
      <c r="AB147" s="470">
        <v>0</v>
      </c>
      <c r="AC147" s="470">
        <v>0</v>
      </c>
      <c r="AD147" s="470">
        <v>100</v>
      </c>
    </row>
    <row r="148" spans="1:30" ht="15" customHeight="1" x14ac:dyDescent="0.2">
      <c r="A148" s="474">
        <v>450</v>
      </c>
      <c r="B148" s="474" t="s">
        <v>810</v>
      </c>
      <c r="D148" s="989" t="s">
        <v>788</v>
      </c>
      <c r="E148" s="991"/>
      <c r="F148" s="988">
        <v>60</v>
      </c>
      <c r="G148" s="992">
        <v>0</v>
      </c>
      <c r="H148" s="992">
        <v>0</v>
      </c>
      <c r="I148" s="992">
        <v>25940</v>
      </c>
      <c r="J148" s="469" t="e">
        <f>H148/(G148+H148)</f>
        <v>#DIV/0!</v>
      </c>
      <c r="K148" s="469" t="e">
        <f>(J148*Data!$P$172)+((1-J148)*Data!$P$171)</f>
        <v>#DIV/0!</v>
      </c>
      <c r="L148" s="469" t="e">
        <f>(J148*Data!$P$179)+((1-K148)*Data!$P$178)</f>
        <v>#DIV/0!</v>
      </c>
    </row>
    <row r="149" spans="1:30" ht="15" customHeight="1" x14ac:dyDescent="0.2">
      <c r="A149" s="989">
        <v>12</v>
      </c>
      <c r="B149" s="990" t="s">
        <v>43</v>
      </c>
      <c r="C149" s="990" t="s">
        <v>34</v>
      </c>
      <c r="D149" s="989" t="s">
        <v>692</v>
      </c>
      <c r="E149" s="991">
        <v>4149.6000000000004</v>
      </c>
      <c r="F149" s="988">
        <v>60</v>
      </c>
      <c r="G149" s="992">
        <v>0</v>
      </c>
      <c r="H149" s="992">
        <v>684799.8</v>
      </c>
      <c r="I149" s="992">
        <v>167376.88</v>
      </c>
      <c r="J149" s="469">
        <f>H149/(G149+H149)</f>
        <v>1</v>
      </c>
      <c r="K149" s="469">
        <f>(J149*Data!$P$172)+((1-J149)*Data!$P$171)</f>
        <v>0.17072999999999999</v>
      </c>
      <c r="L149" s="469">
        <f>(J149*Data!$P$179)+((1-K149)*Data!$P$178)</f>
        <v>0.16463429999999998</v>
      </c>
      <c r="O149" s="470"/>
      <c r="P149" s="471"/>
      <c r="Q149" s="471"/>
      <c r="R149" s="472"/>
      <c r="W149" s="468">
        <v>0</v>
      </c>
      <c r="X149" s="470">
        <v>0</v>
      </c>
      <c r="Y149" s="470">
        <v>0</v>
      </c>
      <c r="Z149" s="470">
        <v>0</v>
      </c>
      <c r="AA149" s="470">
        <v>0</v>
      </c>
      <c r="AB149" s="470">
        <v>0</v>
      </c>
      <c r="AC149" s="470">
        <v>0</v>
      </c>
      <c r="AD149" s="470">
        <v>100</v>
      </c>
    </row>
    <row r="150" spans="1:30" ht="15" customHeight="1" x14ac:dyDescent="0.2">
      <c r="A150" s="989">
        <v>126</v>
      </c>
      <c r="B150" s="989" t="s">
        <v>99</v>
      </c>
      <c r="C150" s="989" t="s">
        <v>100</v>
      </c>
      <c r="D150" s="989" t="s">
        <v>692</v>
      </c>
      <c r="E150" s="991">
        <v>3960.6</v>
      </c>
      <c r="F150" s="988">
        <v>105</v>
      </c>
      <c r="G150" s="992">
        <v>0</v>
      </c>
      <c r="H150" s="992">
        <v>427029.78</v>
      </c>
      <c r="I150" s="992">
        <v>321030.8</v>
      </c>
      <c r="J150" s="469">
        <f>H150/(G150+H150)</f>
        <v>1</v>
      </c>
      <c r="K150" s="469">
        <f>(J150*Data!$P$172)+((1-J150)*Data!$P$171)</f>
        <v>0.17072999999999999</v>
      </c>
      <c r="L150" s="469">
        <f>(J150*Data!$P$179)+((1-K150)*Data!$P$178)</f>
        <v>0.16463429999999998</v>
      </c>
      <c r="O150" s="470"/>
      <c r="P150" s="471"/>
      <c r="Q150" s="471"/>
      <c r="R150" s="472"/>
      <c r="W150" s="468">
        <v>0</v>
      </c>
      <c r="X150" s="470">
        <v>0</v>
      </c>
      <c r="Y150" s="470">
        <v>0</v>
      </c>
      <c r="Z150" s="470">
        <v>0</v>
      </c>
      <c r="AA150" s="470">
        <v>0</v>
      </c>
      <c r="AB150" s="470">
        <v>0</v>
      </c>
      <c r="AC150" s="470">
        <v>0</v>
      </c>
      <c r="AD150" s="470">
        <v>100</v>
      </c>
    </row>
    <row r="151" spans="1:30" ht="15" customHeight="1" x14ac:dyDescent="0.2">
      <c r="A151" s="989">
        <v>51</v>
      </c>
      <c r="B151" s="989" t="s">
        <v>812</v>
      </c>
      <c r="C151" s="989" t="s">
        <v>701</v>
      </c>
      <c r="D151" s="989" t="s">
        <v>790</v>
      </c>
      <c r="E151" s="991">
        <v>5795.3</v>
      </c>
      <c r="F151" s="988">
        <v>168</v>
      </c>
      <c r="G151" s="992">
        <v>0</v>
      </c>
      <c r="H151" s="992">
        <v>539127.27272727271</v>
      </c>
      <c r="I151" s="992">
        <v>996351.60000000009</v>
      </c>
      <c r="J151" s="469">
        <f>H151/(G151+H151)</f>
        <v>1</v>
      </c>
      <c r="K151" s="469">
        <f>(J151*Data!$P$172)+((1-J151)*Data!$P$171)</f>
        <v>0.17072999999999999</v>
      </c>
      <c r="L151" s="469">
        <f>(J151*Data!$P$179)+((1-K151)*Data!$P$178)</f>
        <v>0.16463429999999998</v>
      </c>
      <c r="O151" s="470"/>
      <c r="P151" s="471"/>
      <c r="Q151" s="471"/>
      <c r="R151" s="472"/>
      <c r="W151" s="468">
        <v>0</v>
      </c>
      <c r="X151" s="470">
        <v>0</v>
      </c>
      <c r="Y151" s="470">
        <v>100</v>
      </c>
      <c r="Z151" s="470">
        <v>0</v>
      </c>
      <c r="AA151" s="470">
        <v>0</v>
      </c>
      <c r="AB151" s="470">
        <v>0</v>
      </c>
      <c r="AC151" s="470">
        <v>0</v>
      </c>
      <c r="AD151" s="470">
        <v>0</v>
      </c>
    </row>
    <row r="152" spans="1:30" ht="15" customHeight="1" x14ac:dyDescent="0.2">
      <c r="A152" s="989">
        <v>399</v>
      </c>
      <c r="B152" s="474" t="s">
        <v>778</v>
      </c>
      <c r="C152" s="474" t="s">
        <v>726</v>
      </c>
      <c r="D152" s="989" t="s">
        <v>692</v>
      </c>
      <c r="E152" s="991">
        <v>587.1</v>
      </c>
      <c r="F152" s="988">
        <v>60</v>
      </c>
      <c r="G152" s="992">
        <v>0</v>
      </c>
      <c r="H152" s="992">
        <v>0</v>
      </c>
      <c r="I152" s="992">
        <v>31355.599999999999</v>
      </c>
      <c r="J152" s="469" t="e">
        <f>H152/(G152+H152)</f>
        <v>#DIV/0!</v>
      </c>
      <c r="K152" s="469" t="e">
        <f>(J152*Data!$P$172)+((1-J152)*Data!$P$171)</f>
        <v>#DIV/0!</v>
      </c>
      <c r="L152" s="469" t="e">
        <f>(J152*Data!$P$179)+((1-K152)*Data!$P$178)</f>
        <v>#DIV/0!</v>
      </c>
      <c r="O152" s="470"/>
      <c r="W152" s="468">
        <v>0</v>
      </c>
      <c r="X152" s="470">
        <v>0</v>
      </c>
      <c r="Y152" s="470">
        <v>0</v>
      </c>
      <c r="Z152" s="470">
        <v>0</v>
      </c>
      <c r="AA152" s="470">
        <v>0</v>
      </c>
      <c r="AB152" s="470">
        <v>0</v>
      </c>
      <c r="AC152" s="470">
        <v>0</v>
      </c>
      <c r="AD152" s="470">
        <v>100</v>
      </c>
    </row>
    <row r="153" spans="1:30" ht="15" customHeight="1" x14ac:dyDescent="0.2">
      <c r="A153" s="989">
        <v>377</v>
      </c>
      <c r="B153" s="474" t="s">
        <v>770</v>
      </c>
      <c r="C153" s="474" t="s">
        <v>726</v>
      </c>
      <c r="D153" s="989" t="s">
        <v>692</v>
      </c>
      <c r="E153" s="991">
        <v>542.79999999999995</v>
      </c>
      <c r="F153" s="988">
        <v>60</v>
      </c>
      <c r="G153" s="992">
        <v>94313</v>
      </c>
      <c r="H153" s="992">
        <v>0</v>
      </c>
      <c r="I153" s="992">
        <v>13582.2</v>
      </c>
      <c r="J153" s="469">
        <f>H153/(G153+H153)</f>
        <v>0</v>
      </c>
      <c r="K153" s="469">
        <f>(J153*Data!$P$172)+((1-J153)*Data!$P$171)</f>
        <v>0.184</v>
      </c>
      <c r="L153" s="469">
        <f>(J153*Data!$P$179)+((1-K153)*Data!$P$178)</f>
        <v>7.3440000000000005E-2</v>
      </c>
      <c r="O153" s="470"/>
      <c r="W153" s="468">
        <v>0</v>
      </c>
      <c r="X153" s="470">
        <v>0</v>
      </c>
      <c r="Y153" s="470">
        <v>0</v>
      </c>
      <c r="Z153" s="470">
        <v>0</v>
      </c>
      <c r="AA153" s="470">
        <v>0</v>
      </c>
      <c r="AB153" s="470">
        <v>0</v>
      </c>
      <c r="AC153" s="470">
        <v>0</v>
      </c>
      <c r="AD153" s="470">
        <v>100</v>
      </c>
    </row>
    <row r="154" spans="1:30" ht="15" customHeight="1" x14ac:dyDescent="0.2">
      <c r="A154" s="989">
        <v>389</v>
      </c>
      <c r="B154" s="474" t="s">
        <v>775</v>
      </c>
      <c r="C154" s="474" t="s">
        <v>726</v>
      </c>
      <c r="D154" s="989" t="s">
        <v>692</v>
      </c>
      <c r="E154" s="991">
        <v>579.1</v>
      </c>
      <c r="F154" s="988">
        <v>60</v>
      </c>
      <c r="G154" s="992">
        <v>0</v>
      </c>
      <c r="H154" s="992">
        <v>0</v>
      </c>
      <c r="I154" s="992">
        <v>16963.2</v>
      </c>
      <c r="J154" s="469" t="e">
        <f>H154/(G154+H154)</f>
        <v>#DIV/0!</v>
      </c>
      <c r="K154" s="469" t="e">
        <f>(J154*Data!$P$172)+((1-J154)*Data!$P$171)</f>
        <v>#DIV/0!</v>
      </c>
      <c r="L154" s="469" t="e">
        <f>(J154*Data!$P$179)+((1-K154)*Data!$P$178)</f>
        <v>#DIV/0!</v>
      </c>
      <c r="O154" s="470"/>
      <c r="W154" s="468">
        <v>0</v>
      </c>
      <c r="X154" s="470">
        <v>0</v>
      </c>
      <c r="Y154" s="470">
        <v>0</v>
      </c>
      <c r="Z154" s="470">
        <v>0</v>
      </c>
      <c r="AA154" s="470">
        <v>0</v>
      </c>
      <c r="AB154" s="470">
        <v>0</v>
      </c>
      <c r="AC154" s="470">
        <v>0</v>
      </c>
      <c r="AD154" s="470">
        <v>100</v>
      </c>
    </row>
    <row r="155" spans="1:30" ht="15" customHeight="1" x14ac:dyDescent="0.2">
      <c r="A155" s="989">
        <v>386</v>
      </c>
      <c r="B155" s="474" t="s">
        <v>774</v>
      </c>
      <c r="C155" s="474" t="s">
        <v>716</v>
      </c>
      <c r="D155" s="989" t="s">
        <v>788</v>
      </c>
      <c r="E155" s="991">
        <v>497.2</v>
      </c>
      <c r="F155" s="988">
        <v>60</v>
      </c>
      <c r="G155" s="992">
        <v>51196</v>
      </c>
      <c r="H155" s="992">
        <v>0</v>
      </c>
      <c r="I155" s="992">
        <v>12098.000000000002</v>
      </c>
      <c r="J155" s="469">
        <f>H155/(G155+H155)</f>
        <v>0</v>
      </c>
      <c r="K155" s="469">
        <f>(J155*Data!$P$172)+((1-J155)*Data!$P$171)</f>
        <v>0.184</v>
      </c>
      <c r="L155" s="469">
        <f>(J155*Data!$P$179)+((1-K155)*Data!$P$178)</f>
        <v>7.3440000000000005E-2</v>
      </c>
      <c r="O155" s="470"/>
      <c r="W155" s="468">
        <v>100</v>
      </c>
      <c r="X155" s="470">
        <v>0</v>
      </c>
      <c r="Y155" s="470">
        <v>0</v>
      </c>
      <c r="Z155" s="470">
        <v>0</v>
      </c>
      <c r="AA155" s="470">
        <v>0</v>
      </c>
      <c r="AB155" s="470">
        <v>0</v>
      </c>
      <c r="AC155" s="470">
        <v>0</v>
      </c>
      <c r="AD155" s="470">
        <v>0</v>
      </c>
    </row>
    <row r="156" spans="1:30" ht="15" customHeight="1" x14ac:dyDescent="0.2">
      <c r="A156" s="989">
        <v>81</v>
      </c>
      <c r="B156" s="989" t="s">
        <v>715</v>
      </c>
      <c r="C156" s="989" t="s">
        <v>716</v>
      </c>
      <c r="D156" s="989" t="s">
        <v>692</v>
      </c>
      <c r="E156" s="991">
        <v>967.8</v>
      </c>
      <c r="F156" s="988">
        <v>60</v>
      </c>
      <c r="G156" s="992">
        <v>104616</v>
      </c>
      <c r="H156" s="992">
        <v>0</v>
      </c>
      <c r="I156" s="992">
        <v>48738</v>
      </c>
      <c r="J156" s="469">
        <f>H156/(G156+H156)</f>
        <v>0</v>
      </c>
      <c r="K156" s="469">
        <f>(J156*Data!$P$172)+((1-J156)*Data!$P$171)</f>
        <v>0.184</v>
      </c>
      <c r="L156" s="469">
        <f>(J156*Data!$P$179)+((1-K156)*Data!$P$178)</f>
        <v>7.3440000000000005E-2</v>
      </c>
      <c r="O156" s="470"/>
      <c r="P156" s="471"/>
      <c r="Q156" s="471"/>
      <c r="R156" s="472"/>
      <c r="W156" s="468">
        <v>0</v>
      </c>
      <c r="X156" s="470">
        <v>0</v>
      </c>
      <c r="Y156" s="470">
        <v>0</v>
      </c>
      <c r="Z156" s="470">
        <v>0</v>
      </c>
      <c r="AA156" s="470">
        <v>0</v>
      </c>
      <c r="AB156" s="470">
        <v>0</v>
      </c>
      <c r="AC156" s="470">
        <v>0</v>
      </c>
      <c r="AD156" s="470">
        <v>100</v>
      </c>
    </row>
    <row r="157" spans="1:30" ht="15" customHeight="1" x14ac:dyDescent="0.2">
      <c r="A157" s="989">
        <v>252</v>
      </c>
      <c r="B157" s="474" t="s">
        <v>757</v>
      </c>
      <c r="C157" s="474" t="s">
        <v>758</v>
      </c>
      <c r="D157" s="989" t="s">
        <v>789</v>
      </c>
      <c r="E157" s="991">
        <v>14403.6</v>
      </c>
      <c r="F157" s="988">
        <v>168</v>
      </c>
      <c r="G157" s="992">
        <v>3753585</v>
      </c>
      <c r="H157" s="992">
        <v>0</v>
      </c>
      <c r="I157" s="992">
        <v>4883472</v>
      </c>
      <c r="J157" s="469">
        <f>H157/(G157+H157)</f>
        <v>0</v>
      </c>
      <c r="K157" s="469">
        <f>(J157*Data!$P$172)+((1-J157)*Data!$P$171)</f>
        <v>0.184</v>
      </c>
      <c r="L157" s="469">
        <f>(J157*Data!$P$179)+((1-K157)*Data!$P$178)</f>
        <v>7.3440000000000005E-2</v>
      </c>
      <c r="O157" s="470"/>
      <c r="W157" s="468">
        <v>0</v>
      </c>
      <c r="X157" s="470">
        <v>0</v>
      </c>
      <c r="Y157" s="470">
        <v>0</v>
      </c>
      <c r="Z157" s="470">
        <v>100</v>
      </c>
      <c r="AA157" s="470">
        <v>0</v>
      </c>
      <c r="AB157" s="470">
        <v>0</v>
      </c>
      <c r="AC157" s="470">
        <v>0</v>
      </c>
      <c r="AD157" s="470">
        <v>0</v>
      </c>
    </row>
    <row r="158" spans="1:30" ht="15" customHeight="1" x14ac:dyDescent="0.2">
      <c r="A158" s="989">
        <v>47</v>
      </c>
      <c r="B158" s="989" t="s">
        <v>706</v>
      </c>
      <c r="C158" s="989" t="s">
        <v>707</v>
      </c>
      <c r="D158" s="989" t="s">
        <v>692</v>
      </c>
      <c r="E158" s="991">
        <v>874.8</v>
      </c>
      <c r="F158" s="988">
        <v>60</v>
      </c>
      <c r="G158" s="992">
        <v>0</v>
      </c>
      <c r="H158" s="992">
        <v>38739</v>
      </c>
      <c r="I158" s="992">
        <v>90104.4</v>
      </c>
      <c r="J158" s="469">
        <f>H158/(G158+H158)</f>
        <v>1</v>
      </c>
      <c r="K158" s="469">
        <f>(J158*Data!$P$172)+((1-J158)*Data!$P$171)</f>
        <v>0.17072999999999999</v>
      </c>
      <c r="L158" s="469">
        <f>(J158*Data!$P$179)+((1-K158)*Data!$P$178)</f>
        <v>0.16463429999999998</v>
      </c>
      <c r="O158" s="470"/>
      <c r="P158" s="471"/>
      <c r="Q158" s="471"/>
      <c r="R158" s="472"/>
      <c r="W158" s="468">
        <v>0</v>
      </c>
      <c r="X158" s="470">
        <v>0</v>
      </c>
      <c r="Y158" s="470">
        <v>0</v>
      </c>
      <c r="Z158" s="470">
        <v>0</v>
      </c>
      <c r="AA158" s="470">
        <v>0</v>
      </c>
      <c r="AB158" s="470">
        <v>0</v>
      </c>
      <c r="AC158" s="470">
        <v>0</v>
      </c>
      <c r="AD158" s="470">
        <v>100</v>
      </c>
    </row>
    <row r="159" spans="1:30" ht="15" customHeight="1" x14ac:dyDescent="0.2">
      <c r="A159" s="989">
        <v>363</v>
      </c>
      <c r="B159" s="474" t="s">
        <v>766</v>
      </c>
      <c r="C159" s="474" t="s">
        <v>767</v>
      </c>
      <c r="D159" s="989" t="s">
        <v>692</v>
      </c>
      <c r="E159" s="991">
        <v>859.6</v>
      </c>
      <c r="F159" s="988">
        <v>60</v>
      </c>
      <c r="G159" s="992">
        <v>0</v>
      </c>
      <c r="H159" s="992">
        <v>0</v>
      </c>
      <c r="I159" s="992">
        <v>0</v>
      </c>
      <c r="J159" s="469" t="e">
        <f>H159/(G159+H159)</f>
        <v>#DIV/0!</v>
      </c>
      <c r="K159" s="469" t="e">
        <f>(J159*Data!$P$172)+((1-J159)*Data!$P$171)</f>
        <v>#DIV/0!</v>
      </c>
      <c r="L159" s="469" t="e">
        <f>(J159*Data!$P$179)+((1-K159)*Data!$P$178)</f>
        <v>#DIV/0!</v>
      </c>
      <c r="O159" s="470"/>
      <c r="W159" s="468">
        <v>0</v>
      </c>
      <c r="X159" s="470">
        <v>0</v>
      </c>
      <c r="Y159" s="470">
        <v>0</v>
      </c>
      <c r="Z159" s="470">
        <v>0</v>
      </c>
      <c r="AA159" s="470">
        <v>0</v>
      </c>
      <c r="AB159" s="470">
        <v>0</v>
      </c>
      <c r="AC159" s="470">
        <v>0</v>
      </c>
      <c r="AD159" s="470">
        <v>100</v>
      </c>
    </row>
    <row r="160" spans="1:30" ht="15" customHeight="1" x14ac:dyDescent="0.2">
      <c r="A160" s="989">
        <v>359</v>
      </c>
      <c r="B160" s="474" t="s">
        <v>764</v>
      </c>
      <c r="C160" s="474" t="s">
        <v>765</v>
      </c>
      <c r="D160" s="989" t="s">
        <v>791</v>
      </c>
      <c r="E160" s="991">
        <v>420.7</v>
      </c>
      <c r="F160" s="988">
        <v>168</v>
      </c>
      <c r="G160" s="992">
        <v>33</v>
      </c>
      <c r="H160" s="992">
        <v>0</v>
      </c>
      <c r="I160" s="992">
        <v>35191</v>
      </c>
      <c r="J160" s="469">
        <f>H160/(G160+H160)</f>
        <v>0</v>
      </c>
      <c r="K160" s="469">
        <f>(J160*Data!$P$172)+((1-J160)*Data!$P$171)</f>
        <v>0.184</v>
      </c>
      <c r="L160" s="469">
        <f>(J160*Data!$P$179)+((1-K160)*Data!$P$178)</f>
        <v>7.3440000000000005E-2</v>
      </c>
      <c r="O160" s="470"/>
      <c r="W160" s="468">
        <v>0</v>
      </c>
      <c r="X160" s="470">
        <v>0</v>
      </c>
      <c r="Y160" s="470">
        <v>100</v>
      </c>
      <c r="Z160" s="470">
        <v>0</v>
      </c>
      <c r="AA160" s="470">
        <v>0</v>
      </c>
      <c r="AB160" s="470">
        <v>0</v>
      </c>
      <c r="AC160" s="470">
        <v>0</v>
      </c>
      <c r="AD160" s="470">
        <v>0</v>
      </c>
    </row>
    <row r="161" spans="1:30" ht="15" customHeight="1" x14ac:dyDescent="0.2">
      <c r="A161" s="989">
        <v>103</v>
      </c>
      <c r="B161" s="990" t="s">
        <v>84</v>
      </c>
      <c r="C161" s="990" t="s">
        <v>85</v>
      </c>
      <c r="D161" s="989" t="s">
        <v>785</v>
      </c>
      <c r="E161" s="991">
        <v>6793.7</v>
      </c>
      <c r="F161" s="988">
        <v>168</v>
      </c>
      <c r="G161" s="992">
        <v>51940</v>
      </c>
      <c r="H161" s="992">
        <v>0</v>
      </c>
      <c r="I161" s="992">
        <v>649140</v>
      </c>
      <c r="J161" s="469">
        <f>H161/(G161+H161)</f>
        <v>0</v>
      </c>
      <c r="K161" s="469">
        <f>(J161*Data!$P$172)+((1-J161)*Data!$P$171)</f>
        <v>0.184</v>
      </c>
      <c r="L161" s="469">
        <f>(J161*Data!$P$179)+((1-K161)*Data!$P$178)</f>
        <v>7.3440000000000005E-2</v>
      </c>
      <c r="O161" s="470"/>
      <c r="P161" s="471"/>
      <c r="Q161" s="471"/>
      <c r="R161" s="472"/>
      <c r="W161" s="468">
        <v>0</v>
      </c>
      <c r="X161" s="470">
        <v>0</v>
      </c>
      <c r="Y161" s="470">
        <v>0</v>
      </c>
      <c r="Z161" s="470">
        <v>0</v>
      </c>
      <c r="AA161" s="470">
        <v>0</v>
      </c>
      <c r="AB161" s="470">
        <v>100</v>
      </c>
      <c r="AC161" s="470">
        <v>0</v>
      </c>
      <c r="AD161" s="470">
        <v>0</v>
      </c>
    </row>
    <row r="162" spans="1:30" ht="15" customHeight="1" x14ac:dyDescent="0.2">
      <c r="A162" s="989">
        <v>82</v>
      </c>
      <c r="B162" s="989" t="s">
        <v>717</v>
      </c>
      <c r="C162" s="989" t="s">
        <v>718</v>
      </c>
      <c r="D162" s="989" t="s">
        <v>692</v>
      </c>
      <c r="E162" s="991">
        <v>5556.3</v>
      </c>
      <c r="F162" s="988">
        <v>84</v>
      </c>
      <c r="G162" s="992">
        <v>0</v>
      </c>
      <c r="H162" s="992">
        <v>339200</v>
      </c>
      <c r="I162" s="992">
        <v>840810</v>
      </c>
      <c r="J162" s="469">
        <f>H162/(G162+H162)</f>
        <v>1</v>
      </c>
      <c r="K162" s="469">
        <f>(J162*Data!$P$172)+((1-J162)*Data!$P$171)</f>
        <v>0.17072999999999999</v>
      </c>
      <c r="L162" s="469">
        <f>(J162*Data!$P$179)+((1-K162)*Data!$P$178)</f>
        <v>0.16463429999999998</v>
      </c>
      <c r="O162" s="470"/>
      <c r="P162" s="471"/>
      <c r="Q162" s="471"/>
      <c r="R162" s="472"/>
      <c r="W162" s="468">
        <v>0</v>
      </c>
      <c r="X162" s="470">
        <v>0</v>
      </c>
      <c r="Y162" s="470">
        <v>0</v>
      </c>
      <c r="Z162" s="470">
        <v>0</v>
      </c>
      <c r="AA162" s="470">
        <v>0</v>
      </c>
      <c r="AB162" s="470">
        <v>0</v>
      </c>
      <c r="AC162" s="470">
        <v>0</v>
      </c>
      <c r="AD162" s="470">
        <v>100</v>
      </c>
    </row>
    <row r="163" spans="1:30" ht="15" customHeight="1" x14ac:dyDescent="0.2">
      <c r="A163" s="989">
        <v>5</v>
      </c>
      <c r="B163" s="989" t="s">
        <v>38</v>
      </c>
      <c r="C163" s="989" t="s">
        <v>34</v>
      </c>
      <c r="D163" s="989" t="s">
        <v>794</v>
      </c>
      <c r="E163" s="991">
        <v>12791.5</v>
      </c>
      <c r="F163" s="988">
        <v>168</v>
      </c>
      <c r="G163" s="992">
        <v>42653</v>
      </c>
      <c r="H163" s="992">
        <v>2446975</v>
      </c>
      <c r="I163" s="992">
        <v>1210011.03</v>
      </c>
      <c r="J163" s="469">
        <f>H163/(G163+H163)</f>
        <v>0.98286772160338809</v>
      </c>
      <c r="K163" s="469">
        <f>(J163*Data!$P$172)+((1-J163)*Data!$P$171)</f>
        <v>0.17095734533432305</v>
      </c>
      <c r="L163" s="469">
        <f>(J163*Data!$P$179)+((1-K163)*Data!$P$178)</f>
        <v>0.16307193386421587</v>
      </c>
      <c r="O163" s="470"/>
      <c r="P163" s="471"/>
      <c r="Q163" s="471"/>
      <c r="R163" s="472"/>
      <c r="W163" s="468">
        <v>0</v>
      </c>
      <c r="X163" s="470">
        <v>0</v>
      </c>
      <c r="Y163" s="470">
        <v>0</v>
      </c>
      <c r="Z163" s="470">
        <v>0</v>
      </c>
      <c r="AA163" s="470">
        <v>50</v>
      </c>
      <c r="AB163" s="470">
        <v>0</v>
      </c>
      <c r="AC163" s="470">
        <v>0</v>
      </c>
      <c r="AD163" s="470">
        <v>50</v>
      </c>
    </row>
    <row r="164" spans="1:30" ht="15" customHeight="1" x14ac:dyDescent="0.2">
      <c r="A164" s="989">
        <v>240</v>
      </c>
      <c r="B164" s="474" t="s">
        <v>140</v>
      </c>
      <c r="C164" s="474" t="s">
        <v>752</v>
      </c>
      <c r="D164" s="989" t="s">
        <v>789</v>
      </c>
      <c r="E164" s="991">
        <v>1007.9</v>
      </c>
      <c r="F164" s="988">
        <v>67</v>
      </c>
      <c r="G164" s="992">
        <v>64178</v>
      </c>
      <c r="H164" s="992">
        <v>0</v>
      </c>
      <c r="I164" s="992">
        <v>103567.9</v>
      </c>
      <c r="J164" s="469">
        <f>H164/(G164+H164)</f>
        <v>0</v>
      </c>
      <c r="K164" s="469">
        <f>(J164*Data!$P$172)+((1-J164)*Data!$P$171)</f>
        <v>0.184</v>
      </c>
      <c r="L164" s="469">
        <f>(J164*Data!$P$179)+((1-K164)*Data!$P$178)</f>
        <v>7.3440000000000005E-2</v>
      </c>
      <c r="O164" s="470"/>
      <c r="W164" s="468">
        <v>0</v>
      </c>
      <c r="X164" s="470">
        <v>0</v>
      </c>
      <c r="Y164" s="470">
        <v>0</v>
      </c>
      <c r="Z164" s="470">
        <v>100</v>
      </c>
      <c r="AA164" s="470">
        <v>0</v>
      </c>
      <c r="AB164" s="470">
        <v>0</v>
      </c>
      <c r="AC164" s="470">
        <v>0</v>
      </c>
      <c r="AD164" s="470">
        <v>0</v>
      </c>
    </row>
    <row r="165" spans="1:30" ht="15" customHeight="1" x14ac:dyDescent="0.2">
      <c r="A165" s="474">
        <v>408</v>
      </c>
      <c r="B165" s="474" t="s">
        <v>806</v>
      </c>
      <c r="D165" s="989" t="s">
        <v>789</v>
      </c>
      <c r="E165" s="991"/>
      <c r="F165" s="988">
        <v>168</v>
      </c>
      <c r="G165" s="992">
        <v>0</v>
      </c>
      <c r="H165" s="992">
        <v>0</v>
      </c>
      <c r="I165" s="992">
        <v>0</v>
      </c>
      <c r="J165" s="469" t="e">
        <f>H165/(G165+H165)</f>
        <v>#DIV/0!</v>
      </c>
      <c r="K165" s="469" t="e">
        <f>(J165*Data!$P$172)+((1-J165)*Data!$P$171)</f>
        <v>#DIV/0!</v>
      </c>
      <c r="L165" s="469" t="e">
        <f>(J165*Data!$P$179)+((1-K165)*Data!$P$178)</f>
        <v>#DIV/0!</v>
      </c>
    </row>
    <row r="166" spans="1:30" ht="15" customHeight="1" x14ac:dyDescent="0.2">
      <c r="A166" s="989">
        <v>406</v>
      </c>
      <c r="B166" s="474" t="s">
        <v>783</v>
      </c>
      <c r="C166" s="474" t="s">
        <v>784</v>
      </c>
      <c r="D166" s="989" t="s">
        <v>692</v>
      </c>
      <c r="E166" s="991">
        <v>637.5</v>
      </c>
      <c r="F166" s="988">
        <v>60</v>
      </c>
      <c r="G166" s="992">
        <v>0</v>
      </c>
      <c r="H166" s="992">
        <v>0</v>
      </c>
      <c r="I166" s="992">
        <v>47894.600000000006</v>
      </c>
      <c r="J166" s="469" t="e">
        <f>H166/(G166+H166)</f>
        <v>#DIV/0!</v>
      </c>
      <c r="K166" s="469" t="e">
        <f>(J166*Data!$P$172)+((1-J166)*Data!$P$171)</f>
        <v>#DIV/0!</v>
      </c>
      <c r="L166" s="469" t="e">
        <f>(J166*Data!$P$179)+((1-K166)*Data!$P$178)</f>
        <v>#DIV/0!</v>
      </c>
      <c r="O166" s="470"/>
      <c r="W166" s="468">
        <v>0</v>
      </c>
      <c r="X166" s="470">
        <v>0</v>
      </c>
      <c r="Y166" s="470">
        <v>0</v>
      </c>
      <c r="Z166" s="470">
        <v>0</v>
      </c>
      <c r="AA166" s="470">
        <v>0</v>
      </c>
      <c r="AB166" s="470">
        <v>0</v>
      </c>
      <c r="AC166" s="470">
        <v>0</v>
      </c>
      <c r="AD166" s="470">
        <v>100</v>
      </c>
    </row>
    <row r="167" spans="1:30" ht="15" customHeight="1" x14ac:dyDescent="0.2">
      <c r="E167" s="474"/>
      <c r="G167" s="1101"/>
      <c r="H167" s="1101"/>
      <c r="I167" s="1101"/>
    </row>
    <row r="168" spans="1:30" ht="15" customHeight="1" x14ac:dyDescent="0.2">
      <c r="E168" s="474"/>
    </row>
  </sheetData>
  <autoFilter ref="A1:AD167" xr:uid="{00000000-0009-0000-0000-000013000000}">
    <sortState xmlns:xlrd2="http://schemas.microsoft.com/office/spreadsheetml/2017/richdata2" ref="A2:AD167">
      <sortCondition ref="B1:B167"/>
    </sortState>
  </autoFilter>
  <sortState xmlns:xlrd2="http://schemas.microsoft.com/office/spreadsheetml/2017/richdata2" ref="A169:A341">
    <sortCondition ref="A169:A341"/>
  </sortState>
  <pageMargins left="0.7" right="0.7" top="0.75" bottom="0.75" header="0.3" footer="0.3"/>
  <pageSetup paperSize="9" scale="13" orientation="portrait"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7"/>
  <dimension ref="B2:N108"/>
  <sheetViews>
    <sheetView showGridLines="0" topLeftCell="A7" zoomScale="70" zoomScaleNormal="70" workbookViewId="0">
      <selection activeCell="J28" sqref="J28"/>
    </sheetView>
  </sheetViews>
  <sheetFormatPr defaultColWidth="8.7109375" defaultRowHeight="12.75" x14ac:dyDescent="0.2"/>
  <cols>
    <col min="1" max="1" width="8.7109375" style="1"/>
    <col min="2" max="2" width="30.7109375" style="1" customWidth="1"/>
    <col min="3" max="11" width="8.7109375" style="1"/>
    <col min="12" max="12" width="10.42578125" style="1" bestFit="1" customWidth="1"/>
    <col min="13" max="15" width="8.7109375" style="1"/>
    <col min="16" max="16" width="36.7109375" style="1" customWidth="1"/>
    <col min="17" max="16384" width="8.7109375" style="1"/>
  </cols>
  <sheetData>
    <row r="2" spans="2:14" x14ac:dyDescent="0.2">
      <c r="B2" s="433"/>
      <c r="C2" s="434">
        <f>Step1!$K$26</f>
        <v>0</v>
      </c>
      <c r="D2" s="434">
        <f>Step1!$K$27</f>
        <v>0</v>
      </c>
      <c r="E2" s="434">
        <f>Step1!$K$28</f>
        <v>0</v>
      </c>
      <c r="F2" s="434">
        <f>Step1!$K$29</f>
        <v>0</v>
      </c>
      <c r="G2" s="434">
        <f>Step1!$K$30</f>
        <v>0</v>
      </c>
      <c r="H2" s="434">
        <f>Step1!$K$31</f>
        <v>0</v>
      </c>
      <c r="I2" s="434">
        <f>Step1!$K$32</f>
        <v>0</v>
      </c>
      <c r="J2" s="434">
        <f>Step1!$K$33</f>
        <v>100</v>
      </c>
      <c r="K2" s="434"/>
      <c r="N2" s="435">
        <f>Step1!K24</f>
        <v>17317</v>
      </c>
    </row>
    <row r="3" spans="2:14" x14ac:dyDescent="0.2">
      <c r="B3" s="433"/>
      <c r="C3" s="95"/>
      <c r="D3" s="95"/>
      <c r="E3" s="95"/>
      <c r="F3" s="95"/>
      <c r="G3" s="95"/>
      <c r="H3" s="95"/>
      <c r="I3" s="95"/>
      <c r="J3" s="95"/>
      <c r="K3" s="95"/>
      <c r="N3" s="436"/>
    </row>
    <row r="4" spans="2:14" x14ac:dyDescent="0.2">
      <c r="B4" s="437"/>
      <c r="C4" s="438"/>
      <c r="D4" s="438"/>
      <c r="E4" s="438"/>
      <c r="F4" s="438"/>
      <c r="G4" s="438"/>
      <c r="H4" s="438"/>
      <c r="I4" s="438"/>
      <c r="J4" s="438"/>
      <c r="K4" s="438"/>
      <c r="L4" s="308"/>
      <c r="M4" s="308"/>
      <c r="N4" s="439"/>
    </row>
    <row r="5" spans="2:14" ht="180" customHeight="1" x14ac:dyDescent="0.2">
      <c r="B5" s="440"/>
      <c r="C5" s="441" t="s">
        <v>189</v>
      </c>
      <c r="D5" s="441" t="s">
        <v>190</v>
      </c>
      <c r="E5" s="441" t="s">
        <v>231</v>
      </c>
      <c r="F5" s="441" t="s">
        <v>192</v>
      </c>
      <c r="G5" s="441" t="s">
        <v>191</v>
      </c>
      <c r="H5" s="441" t="s">
        <v>193</v>
      </c>
      <c r="I5" s="441" t="s">
        <v>194</v>
      </c>
      <c r="J5" s="441" t="s">
        <v>195</v>
      </c>
      <c r="K5" s="441"/>
      <c r="L5" s="60"/>
      <c r="M5" s="60"/>
      <c r="N5" s="60"/>
    </row>
    <row r="6" spans="2:14" x14ac:dyDescent="0.2">
      <c r="B6" s="440"/>
      <c r="C6" s="441"/>
      <c r="D6" s="441"/>
      <c r="E6" s="441"/>
      <c r="F6" s="441"/>
      <c r="G6" s="441"/>
      <c r="H6" s="441"/>
      <c r="I6" s="441"/>
      <c r="J6" s="441"/>
      <c r="K6" s="441"/>
      <c r="L6" s="60"/>
      <c r="M6" s="60"/>
      <c r="N6" s="442"/>
    </row>
    <row r="7" spans="2:14" x14ac:dyDescent="0.2">
      <c r="B7" s="440"/>
      <c r="C7" s="443">
        <f t="shared" ref="C7:J7" si="0">$N$2*(C2/100)</f>
        <v>0</v>
      </c>
      <c r="D7" s="443">
        <f t="shared" si="0"/>
        <v>0</v>
      </c>
      <c r="E7" s="443">
        <f t="shared" si="0"/>
        <v>0</v>
      </c>
      <c r="F7" s="443">
        <f t="shared" si="0"/>
        <v>0</v>
      </c>
      <c r="G7" s="443">
        <f t="shared" si="0"/>
        <v>0</v>
      </c>
      <c r="H7" s="443">
        <f t="shared" si="0"/>
        <v>0</v>
      </c>
      <c r="I7" s="443">
        <f t="shared" si="0"/>
        <v>0</v>
      </c>
      <c r="J7" s="443">
        <f t="shared" si="0"/>
        <v>17317</v>
      </c>
      <c r="K7" s="444"/>
      <c r="L7" s="60"/>
      <c r="M7" s="60"/>
      <c r="N7" s="442"/>
    </row>
    <row r="8" spans="2:14" x14ac:dyDescent="0.2">
      <c r="B8" s="440"/>
      <c r="C8" s="441"/>
      <c r="D8" s="441"/>
      <c r="E8" s="441"/>
      <c r="F8" s="441"/>
      <c r="G8" s="441"/>
      <c r="H8" s="441"/>
      <c r="I8" s="441"/>
      <c r="J8" s="441"/>
      <c r="K8" s="441"/>
      <c r="L8" s="60"/>
      <c r="M8" s="60"/>
      <c r="N8" s="442"/>
    </row>
    <row r="9" spans="2:14" x14ac:dyDescent="0.2">
      <c r="B9" s="445" t="s">
        <v>284</v>
      </c>
      <c r="C9" s="77">
        <f t="shared" ref="C9:J11" si="1">C$7*C28</f>
        <v>0</v>
      </c>
      <c r="D9" s="77">
        <f t="shared" si="1"/>
        <v>0</v>
      </c>
      <c r="E9" s="77">
        <f t="shared" si="1"/>
        <v>0</v>
      </c>
      <c r="F9" s="77">
        <f t="shared" si="1"/>
        <v>0</v>
      </c>
      <c r="G9" s="77">
        <f t="shared" si="1"/>
        <v>0</v>
      </c>
      <c r="H9" s="77">
        <f t="shared" si="1"/>
        <v>0</v>
      </c>
      <c r="I9" s="77">
        <f t="shared" si="1"/>
        <v>0</v>
      </c>
      <c r="J9" s="77">
        <f t="shared" si="1"/>
        <v>2147308</v>
      </c>
      <c r="K9" s="77"/>
      <c r="L9" s="446">
        <f>SUM(C9:J9)</f>
        <v>2147308</v>
      </c>
      <c r="M9" s="446"/>
      <c r="N9" s="442"/>
    </row>
    <row r="10" spans="2:14" x14ac:dyDescent="0.2">
      <c r="B10" s="445" t="s">
        <v>259</v>
      </c>
      <c r="C10" s="77">
        <f t="shared" si="1"/>
        <v>0</v>
      </c>
      <c r="D10" s="77">
        <f t="shared" si="1"/>
        <v>0</v>
      </c>
      <c r="E10" s="77">
        <f t="shared" si="1"/>
        <v>0</v>
      </c>
      <c r="F10" s="77">
        <f t="shared" si="1"/>
        <v>0</v>
      </c>
      <c r="G10" s="77">
        <f t="shared" si="1"/>
        <v>0</v>
      </c>
      <c r="H10" s="77">
        <f t="shared" si="1"/>
        <v>0</v>
      </c>
      <c r="I10" s="77">
        <f t="shared" si="1"/>
        <v>0</v>
      </c>
      <c r="J10" s="77">
        <f t="shared" si="1"/>
        <v>2147308</v>
      </c>
      <c r="K10" s="77"/>
      <c r="L10" s="446">
        <f t="shared" ref="L10:L24" si="2">SUM(C10:J10)</f>
        <v>2147308</v>
      </c>
      <c r="M10" s="446"/>
      <c r="N10" s="442"/>
    </row>
    <row r="11" spans="2:14" x14ac:dyDescent="0.2">
      <c r="B11" s="445" t="s">
        <v>417</v>
      </c>
      <c r="C11" s="77">
        <f t="shared" si="1"/>
        <v>0</v>
      </c>
      <c r="D11" s="77">
        <f t="shared" si="1"/>
        <v>0</v>
      </c>
      <c r="E11" s="77">
        <f t="shared" si="1"/>
        <v>0</v>
      </c>
      <c r="F11" s="77">
        <f t="shared" si="1"/>
        <v>0</v>
      </c>
      <c r="G11" s="77">
        <f t="shared" si="1"/>
        <v>0</v>
      </c>
      <c r="H11" s="77">
        <f t="shared" si="1"/>
        <v>0</v>
      </c>
      <c r="I11" s="77">
        <f t="shared" si="1"/>
        <v>0</v>
      </c>
      <c r="J11" s="77">
        <f t="shared" si="1"/>
        <v>1783651</v>
      </c>
      <c r="K11" s="77"/>
      <c r="L11" s="446">
        <f t="shared" si="2"/>
        <v>1783651</v>
      </c>
      <c r="M11" s="446"/>
      <c r="N11" s="442"/>
    </row>
    <row r="12" spans="2:14" x14ac:dyDescent="0.2">
      <c r="B12" s="60"/>
      <c r="C12" s="443"/>
      <c r="D12" s="443"/>
      <c r="E12" s="443"/>
      <c r="F12" s="443"/>
      <c r="G12" s="443"/>
      <c r="H12" s="443"/>
      <c r="I12" s="443"/>
      <c r="J12" s="443"/>
      <c r="K12" s="443"/>
      <c r="L12" s="446"/>
      <c r="M12" s="446"/>
      <c r="N12" s="442"/>
    </row>
    <row r="13" spans="2:14" x14ac:dyDescent="0.2">
      <c r="B13" s="14" t="s">
        <v>359</v>
      </c>
      <c r="C13" s="443">
        <f t="shared" ref="C13:J13" si="3">C9*C51</f>
        <v>0</v>
      </c>
      <c r="D13" s="443">
        <f t="shared" si="3"/>
        <v>0</v>
      </c>
      <c r="E13" s="443">
        <f t="shared" si="3"/>
        <v>0</v>
      </c>
      <c r="F13" s="443">
        <f t="shared" si="3"/>
        <v>0</v>
      </c>
      <c r="G13" s="443">
        <f t="shared" si="3"/>
        <v>0</v>
      </c>
      <c r="H13" s="443">
        <f t="shared" si="3"/>
        <v>0</v>
      </c>
      <c r="I13" s="443">
        <f t="shared" si="3"/>
        <v>0</v>
      </c>
      <c r="J13" s="443">
        <f t="shared" si="3"/>
        <v>1717846.4000000001</v>
      </c>
      <c r="K13" s="443"/>
      <c r="L13" s="446">
        <f t="shared" si="2"/>
        <v>1717846.4000000001</v>
      </c>
      <c r="M13" s="446"/>
      <c r="N13" s="447">
        <f>L13/L9</f>
        <v>0.8</v>
      </c>
    </row>
    <row r="14" spans="2:14" x14ac:dyDescent="0.2">
      <c r="B14" s="14" t="s">
        <v>360</v>
      </c>
      <c r="C14" s="443">
        <f t="shared" ref="C14:J14" si="4">C9*C52</f>
        <v>0</v>
      </c>
      <c r="D14" s="443">
        <f t="shared" si="4"/>
        <v>0</v>
      </c>
      <c r="E14" s="443">
        <f t="shared" si="4"/>
        <v>0</v>
      </c>
      <c r="F14" s="443">
        <f t="shared" si="4"/>
        <v>0</v>
      </c>
      <c r="G14" s="443">
        <f t="shared" si="4"/>
        <v>0</v>
      </c>
      <c r="H14" s="443">
        <f t="shared" si="4"/>
        <v>0</v>
      </c>
      <c r="I14" s="443">
        <f t="shared" si="4"/>
        <v>0</v>
      </c>
      <c r="J14" s="443">
        <f t="shared" si="4"/>
        <v>429461.60000000003</v>
      </c>
      <c r="K14" s="443"/>
      <c r="L14" s="446">
        <f t="shared" si="2"/>
        <v>429461.60000000003</v>
      </c>
      <c r="M14" s="446"/>
      <c r="N14" s="447">
        <f>L14/L9</f>
        <v>0.2</v>
      </c>
    </row>
    <row r="15" spans="2:14" x14ac:dyDescent="0.2">
      <c r="B15" s="14"/>
      <c r="C15" s="443"/>
      <c r="D15" s="443"/>
      <c r="E15" s="443"/>
      <c r="F15" s="443"/>
      <c r="G15" s="443"/>
      <c r="H15" s="443"/>
      <c r="I15" s="443"/>
      <c r="J15" s="443"/>
      <c r="K15" s="443"/>
      <c r="L15" s="446"/>
      <c r="M15" s="446"/>
      <c r="N15" s="447"/>
    </row>
    <row r="16" spans="2:14" x14ac:dyDescent="0.2">
      <c r="B16" s="14" t="s">
        <v>361</v>
      </c>
      <c r="C16" s="443">
        <f t="shared" ref="C16:J16" si="5">C10*C54</f>
        <v>0</v>
      </c>
      <c r="D16" s="443">
        <f t="shared" si="5"/>
        <v>0</v>
      </c>
      <c r="E16" s="443">
        <f t="shared" si="5"/>
        <v>0</v>
      </c>
      <c r="F16" s="443">
        <f t="shared" si="5"/>
        <v>0</v>
      </c>
      <c r="G16" s="443">
        <f t="shared" si="5"/>
        <v>0</v>
      </c>
      <c r="H16" s="443">
        <f t="shared" si="5"/>
        <v>0</v>
      </c>
      <c r="I16" s="443">
        <f t="shared" si="5"/>
        <v>0</v>
      </c>
      <c r="J16" s="443">
        <f t="shared" si="5"/>
        <v>1717846.4000000001</v>
      </c>
      <c r="K16" s="443"/>
      <c r="L16" s="446">
        <f t="shared" si="2"/>
        <v>1717846.4000000001</v>
      </c>
      <c r="M16" s="446"/>
      <c r="N16" s="447">
        <f>L16/L10</f>
        <v>0.8</v>
      </c>
    </row>
    <row r="17" spans="2:14" x14ac:dyDescent="0.2">
      <c r="B17" s="14" t="s">
        <v>362</v>
      </c>
      <c r="C17" s="443">
        <f t="shared" ref="C17:J17" si="6">C10*C55</f>
        <v>0</v>
      </c>
      <c r="D17" s="443">
        <f t="shared" si="6"/>
        <v>0</v>
      </c>
      <c r="E17" s="443">
        <f t="shared" si="6"/>
        <v>0</v>
      </c>
      <c r="F17" s="443">
        <f t="shared" si="6"/>
        <v>0</v>
      </c>
      <c r="G17" s="443">
        <f t="shared" si="6"/>
        <v>0</v>
      </c>
      <c r="H17" s="443">
        <f t="shared" si="6"/>
        <v>0</v>
      </c>
      <c r="I17" s="443">
        <f t="shared" si="6"/>
        <v>0</v>
      </c>
      <c r="J17" s="443">
        <f t="shared" si="6"/>
        <v>429461.60000000003</v>
      </c>
      <c r="K17" s="443"/>
      <c r="L17" s="446">
        <f t="shared" si="2"/>
        <v>429461.60000000003</v>
      </c>
      <c r="M17" s="446"/>
      <c r="N17" s="447">
        <f>L17/L10</f>
        <v>0.2</v>
      </c>
    </row>
    <row r="18" spans="2:14" x14ac:dyDescent="0.2">
      <c r="B18" s="14"/>
      <c r="C18" s="443"/>
      <c r="D18" s="443"/>
      <c r="E18" s="443"/>
      <c r="F18" s="443"/>
      <c r="G18" s="443"/>
      <c r="H18" s="443"/>
      <c r="I18" s="443"/>
      <c r="J18" s="443"/>
      <c r="K18" s="443"/>
      <c r="L18" s="446"/>
      <c r="M18" s="446"/>
      <c r="N18" s="447"/>
    </row>
    <row r="19" spans="2:14" x14ac:dyDescent="0.2">
      <c r="B19" s="14" t="s">
        <v>363</v>
      </c>
      <c r="C19" s="443">
        <f t="shared" ref="C19:J24" si="7">C$11*C57</f>
        <v>0</v>
      </c>
      <c r="D19" s="443">
        <f t="shared" si="7"/>
        <v>0</v>
      </c>
      <c r="E19" s="443">
        <f t="shared" si="7"/>
        <v>0</v>
      </c>
      <c r="F19" s="443">
        <f t="shared" si="7"/>
        <v>0</v>
      </c>
      <c r="G19" s="443">
        <f t="shared" si="7"/>
        <v>0</v>
      </c>
      <c r="H19" s="443">
        <f t="shared" si="7"/>
        <v>0</v>
      </c>
      <c r="I19" s="443">
        <f t="shared" si="7"/>
        <v>0</v>
      </c>
      <c r="J19" s="443">
        <f t="shared" si="7"/>
        <v>0</v>
      </c>
      <c r="K19" s="443"/>
      <c r="L19" s="446">
        <f t="shared" si="2"/>
        <v>0</v>
      </c>
      <c r="M19" s="446"/>
      <c r="N19" s="447">
        <v>0</v>
      </c>
    </row>
    <row r="20" spans="2:14" x14ac:dyDescent="0.2">
      <c r="B20" s="14" t="s">
        <v>364</v>
      </c>
      <c r="C20" s="443">
        <f t="shared" si="7"/>
        <v>0</v>
      </c>
      <c r="D20" s="443">
        <f t="shared" si="7"/>
        <v>0</v>
      </c>
      <c r="E20" s="443">
        <f t="shared" si="7"/>
        <v>0</v>
      </c>
      <c r="F20" s="443">
        <f t="shared" si="7"/>
        <v>0</v>
      </c>
      <c r="G20" s="443">
        <f t="shared" si="7"/>
        <v>0</v>
      </c>
      <c r="H20" s="443">
        <f t="shared" si="7"/>
        <v>0</v>
      </c>
      <c r="I20" s="443">
        <f t="shared" si="7"/>
        <v>0</v>
      </c>
      <c r="J20" s="443">
        <f t="shared" si="7"/>
        <v>0</v>
      </c>
      <c r="K20" s="443"/>
      <c r="L20" s="446">
        <f t="shared" si="2"/>
        <v>0</v>
      </c>
      <c r="M20" s="446"/>
      <c r="N20" s="447">
        <v>0</v>
      </c>
    </row>
    <row r="21" spans="2:14" x14ac:dyDescent="0.2">
      <c r="B21" s="14" t="s">
        <v>188</v>
      </c>
      <c r="C21" s="443">
        <f t="shared" si="7"/>
        <v>0</v>
      </c>
      <c r="D21" s="443">
        <f t="shared" si="7"/>
        <v>0</v>
      </c>
      <c r="E21" s="443">
        <f t="shared" si="7"/>
        <v>0</v>
      </c>
      <c r="F21" s="443">
        <f t="shared" si="7"/>
        <v>0</v>
      </c>
      <c r="G21" s="443">
        <f t="shared" si="7"/>
        <v>0</v>
      </c>
      <c r="H21" s="443">
        <f t="shared" si="7"/>
        <v>0</v>
      </c>
      <c r="I21" s="443">
        <f t="shared" si="7"/>
        <v>0</v>
      </c>
      <c r="J21" s="443">
        <f t="shared" si="7"/>
        <v>445912.75</v>
      </c>
      <c r="K21" s="443"/>
      <c r="L21" s="446">
        <f t="shared" si="2"/>
        <v>445912.75</v>
      </c>
      <c r="M21" s="446"/>
      <c r="N21" s="447">
        <f>L21/L$11</f>
        <v>0.25</v>
      </c>
    </row>
    <row r="22" spans="2:14" x14ac:dyDescent="0.2">
      <c r="B22" s="14" t="s">
        <v>20</v>
      </c>
      <c r="C22" s="443">
        <f t="shared" si="7"/>
        <v>0</v>
      </c>
      <c r="D22" s="443">
        <f t="shared" si="7"/>
        <v>0</v>
      </c>
      <c r="E22" s="443">
        <f t="shared" si="7"/>
        <v>0</v>
      </c>
      <c r="F22" s="443">
        <f t="shared" si="7"/>
        <v>0</v>
      </c>
      <c r="G22" s="443">
        <f t="shared" si="7"/>
        <v>0</v>
      </c>
      <c r="H22" s="443">
        <f t="shared" si="7"/>
        <v>0</v>
      </c>
      <c r="I22" s="443">
        <f t="shared" si="7"/>
        <v>0</v>
      </c>
      <c r="J22" s="443">
        <f t="shared" si="7"/>
        <v>445912.75</v>
      </c>
      <c r="K22" s="443"/>
      <c r="L22" s="446">
        <f t="shared" si="2"/>
        <v>445912.75</v>
      </c>
      <c r="M22" s="446"/>
      <c r="N22" s="447">
        <f>L22/L$11</f>
        <v>0.25</v>
      </c>
    </row>
    <row r="23" spans="2:14" x14ac:dyDescent="0.2">
      <c r="B23" s="14" t="s">
        <v>433</v>
      </c>
      <c r="C23" s="443">
        <f t="shared" si="7"/>
        <v>0</v>
      </c>
      <c r="D23" s="443">
        <f t="shared" si="7"/>
        <v>0</v>
      </c>
      <c r="E23" s="443">
        <f t="shared" si="7"/>
        <v>0</v>
      </c>
      <c r="F23" s="443">
        <f t="shared" si="7"/>
        <v>0</v>
      </c>
      <c r="G23" s="443">
        <f t="shared" si="7"/>
        <v>0</v>
      </c>
      <c r="H23" s="443">
        <f t="shared" si="7"/>
        <v>0</v>
      </c>
      <c r="I23" s="443">
        <f t="shared" si="7"/>
        <v>0</v>
      </c>
      <c r="J23" s="443">
        <f t="shared" si="7"/>
        <v>445912.75</v>
      </c>
      <c r="K23" s="443"/>
      <c r="L23" s="446">
        <f t="shared" si="2"/>
        <v>445912.75</v>
      </c>
      <c r="M23" s="446"/>
      <c r="N23" s="447">
        <f>L23/L$11</f>
        <v>0.25</v>
      </c>
    </row>
    <row r="24" spans="2:14" x14ac:dyDescent="0.2">
      <c r="B24" s="14" t="s">
        <v>366</v>
      </c>
      <c r="C24" s="443">
        <f t="shared" si="7"/>
        <v>0</v>
      </c>
      <c r="D24" s="443">
        <f t="shared" si="7"/>
        <v>0</v>
      </c>
      <c r="E24" s="443">
        <f t="shared" si="7"/>
        <v>0</v>
      </c>
      <c r="F24" s="443">
        <f t="shared" si="7"/>
        <v>0</v>
      </c>
      <c r="G24" s="443">
        <f t="shared" si="7"/>
        <v>0</v>
      </c>
      <c r="H24" s="443">
        <f t="shared" si="7"/>
        <v>0</v>
      </c>
      <c r="I24" s="443">
        <f t="shared" si="7"/>
        <v>0</v>
      </c>
      <c r="J24" s="443">
        <f t="shared" si="7"/>
        <v>445912.75</v>
      </c>
      <c r="K24" s="443"/>
      <c r="L24" s="446">
        <f t="shared" si="2"/>
        <v>445912.75</v>
      </c>
      <c r="M24" s="446"/>
      <c r="N24" s="447">
        <f>L24/L$11</f>
        <v>0.25</v>
      </c>
    </row>
    <row r="25" spans="2:14" x14ac:dyDescent="0.2">
      <c r="B25" s="10"/>
      <c r="C25" s="448"/>
      <c r="D25" s="448"/>
      <c r="E25" s="448"/>
      <c r="F25" s="448"/>
      <c r="G25" s="448"/>
      <c r="H25" s="448"/>
      <c r="I25" s="448"/>
      <c r="J25" s="448"/>
      <c r="K25" s="448"/>
      <c r="N25" s="449"/>
    </row>
    <row r="26" spans="2:14" x14ac:dyDescent="0.2">
      <c r="B26" s="303" t="s">
        <v>683</v>
      </c>
      <c r="C26" s="450"/>
      <c r="D26" s="450"/>
      <c r="E26" s="450"/>
      <c r="F26" s="450"/>
      <c r="G26" s="450"/>
      <c r="H26" s="450"/>
      <c r="I26" s="450"/>
      <c r="J26" s="450"/>
      <c r="K26" s="450"/>
      <c r="L26" s="308"/>
      <c r="M26" s="308"/>
      <c r="N26" s="451"/>
    </row>
    <row r="27" spans="2:14" s="452" customFormat="1" ht="180" customHeight="1" x14ac:dyDescent="0.25">
      <c r="B27" s="440"/>
      <c r="C27" s="441" t="s">
        <v>189</v>
      </c>
      <c r="D27" s="441" t="s">
        <v>190</v>
      </c>
      <c r="E27" s="441" t="s">
        <v>231</v>
      </c>
      <c r="F27" s="441" t="s">
        <v>192</v>
      </c>
      <c r="G27" s="441" t="s">
        <v>191</v>
      </c>
      <c r="H27" s="441" t="s">
        <v>193</v>
      </c>
      <c r="I27" s="441" t="s">
        <v>194</v>
      </c>
      <c r="J27" s="441" t="s">
        <v>195</v>
      </c>
      <c r="K27" s="441"/>
      <c r="L27" s="440"/>
      <c r="M27" s="440"/>
      <c r="N27" s="440"/>
    </row>
    <row r="28" spans="2:14" x14ac:dyDescent="0.2">
      <c r="B28" s="445" t="s">
        <v>284</v>
      </c>
      <c r="C28" s="74">
        <v>138</v>
      </c>
      <c r="D28" s="453">
        <v>119</v>
      </c>
      <c r="E28" s="453">
        <v>281</v>
      </c>
      <c r="F28" s="453">
        <v>192</v>
      </c>
      <c r="G28" s="453">
        <v>244</v>
      </c>
      <c r="H28" s="453">
        <v>185</v>
      </c>
      <c r="I28" s="453">
        <v>134</v>
      </c>
      <c r="J28" s="453">
        <v>124</v>
      </c>
      <c r="K28" s="453"/>
      <c r="L28" s="60"/>
      <c r="M28" s="60"/>
      <c r="N28" s="60"/>
    </row>
    <row r="29" spans="2:14" x14ac:dyDescent="0.2">
      <c r="B29" s="445" t="s">
        <v>259</v>
      </c>
      <c r="C29" s="74">
        <v>138</v>
      </c>
      <c r="D29" s="453">
        <v>119</v>
      </c>
      <c r="E29" s="453">
        <v>281</v>
      </c>
      <c r="F29" s="453">
        <v>192</v>
      </c>
      <c r="G29" s="453">
        <v>244</v>
      </c>
      <c r="H29" s="453">
        <v>185</v>
      </c>
      <c r="I29" s="453">
        <v>134</v>
      </c>
      <c r="J29" s="453">
        <v>124</v>
      </c>
      <c r="K29" s="453"/>
      <c r="L29" s="60"/>
      <c r="M29" s="60"/>
      <c r="N29" s="60"/>
    </row>
    <row r="30" spans="2:14" x14ac:dyDescent="0.2">
      <c r="B30" s="445" t="s">
        <v>417</v>
      </c>
      <c r="C30" s="453">
        <v>119</v>
      </c>
      <c r="D30" s="453">
        <v>358</v>
      </c>
      <c r="E30" s="453">
        <v>397</v>
      </c>
      <c r="F30" s="453">
        <v>156</v>
      </c>
      <c r="G30" s="453">
        <v>316</v>
      </c>
      <c r="H30" s="453">
        <v>80</v>
      </c>
      <c r="I30" s="453">
        <v>93</v>
      </c>
      <c r="J30" s="453">
        <v>103</v>
      </c>
      <c r="K30" s="453"/>
      <c r="L30" s="60"/>
      <c r="M30" s="60"/>
      <c r="N30" s="60"/>
    </row>
    <row r="31" spans="2:14" x14ac:dyDescent="0.2">
      <c r="B31" s="60"/>
      <c r="C31" s="453"/>
      <c r="D31" s="453"/>
      <c r="E31" s="453"/>
      <c r="F31" s="453"/>
      <c r="G31" s="453"/>
      <c r="H31" s="453"/>
      <c r="I31" s="453"/>
      <c r="J31" s="453"/>
      <c r="K31" s="453"/>
      <c r="L31" s="60"/>
      <c r="M31" s="60"/>
      <c r="N31" s="60"/>
    </row>
    <row r="32" spans="2:14" x14ac:dyDescent="0.2">
      <c r="B32" s="14" t="s">
        <v>359</v>
      </c>
      <c r="C32" s="444"/>
      <c r="D32" s="444"/>
      <c r="E32" s="444"/>
      <c r="F32" s="444"/>
      <c r="G32" s="444"/>
      <c r="H32" s="444"/>
      <c r="I32" s="444"/>
      <c r="J32" s="444"/>
      <c r="K32" s="444"/>
      <c r="L32" s="60"/>
      <c r="M32" s="60"/>
      <c r="N32" s="60"/>
    </row>
    <row r="33" spans="2:14" x14ac:dyDescent="0.2">
      <c r="B33" s="14" t="s">
        <v>360</v>
      </c>
      <c r="C33" s="444"/>
      <c r="D33" s="444"/>
      <c r="E33" s="444"/>
      <c r="F33" s="444"/>
      <c r="G33" s="444"/>
      <c r="H33" s="444"/>
      <c r="I33" s="444"/>
      <c r="J33" s="444"/>
      <c r="K33" s="444"/>
      <c r="L33" s="60"/>
      <c r="M33" s="60"/>
      <c r="N33" s="60"/>
    </row>
    <row r="34" spans="2:14" x14ac:dyDescent="0.2">
      <c r="B34" s="14"/>
      <c r="C34" s="444"/>
      <c r="D34" s="444"/>
      <c r="E34" s="444"/>
      <c r="F34" s="444"/>
      <c r="G34" s="444"/>
      <c r="H34" s="444"/>
      <c r="I34" s="444"/>
      <c r="J34" s="444"/>
      <c r="K34" s="444"/>
      <c r="L34" s="60"/>
      <c r="M34" s="60"/>
      <c r="N34" s="60"/>
    </row>
    <row r="35" spans="2:14" x14ac:dyDescent="0.2">
      <c r="B35" s="14" t="s">
        <v>361</v>
      </c>
      <c r="C35" s="453"/>
      <c r="D35" s="453"/>
      <c r="E35" s="453"/>
      <c r="F35" s="453"/>
      <c r="G35" s="453"/>
      <c r="H35" s="453"/>
      <c r="I35" s="453"/>
      <c r="J35" s="453"/>
      <c r="K35" s="453"/>
      <c r="L35" s="60"/>
      <c r="M35" s="60"/>
      <c r="N35" s="60"/>
    </row>
    <row r="36" spans="2:14" x14ac:dyDescent="0.2">
      <c r="B36" s="14" t="s">
        <v>362</v>
      </c>
      <c r="C36" s="60"/>
      <c r="D36" s="60"/>
      <c r="E36" s="60"/>
      <c r="F36" s="60"/>
      <c r="G36" s="60"/>
      <c r="H36" s="60"/>
      <c r="I36" s="60"/>
      <c r="J36" s="60"/>
      <c r="K36" s="60"/>
      <c r="L36" s="60"/>
      <c r="M36" s="60"/>
      <c r="N36" s="60"/>
    </row>
    <row r="37" spans="2:14" x14ac:dyDescent="0.2">
      <c r="B37" s="14"/>
      <c r="C37" s="60"/>
      <c r="D37" s="60"/>
      <c r="E37" s="60"/>
      <c r="F37" s="60"/>
      <c r="G37" s="60"/>
      <c r="H37" s="60"/>
      <c r="I37" s="60"/>
      <c r="J37" s="60"/>
      <c r="K37" s="60"/>
      <c r="L37" s="60"/>
      <c r="M37" s="60"/>
      <c r="N37" s="60"/>
    </row>
    <row r="38" spans="2:14" x14ac:dyDescent="0.2">
      <c r="B38" s="14" t="s">
        <v>363</v>
      </c>
      <c r="C38" s="444"/>
      <c r="D38" s="444"/>
      <c r="E38" s="444"/>
      <c r="F38" s="444"/>
      <c r="G38" s="444"/>
      <c r="H38" s="444"/>
      <c r="I38" s="444"/>
      <c r="J38" s="444"/>
      <c r="K38" s="444"/>
      <c r="L38" s="60"/>
      <c r="M38" s="60"/>
      <c r="N38" s="60"/>
    </row>
    <row r="39" spans="2:14" x14ac:dyDescent="0.2">
      <c r="B39" s="14" t="s">
        <v>364</v>
      </c>
      <c r="C39" s="444"/>
      <c r="D39" s="444"/>
      <c r="E39" s="444"/>
      <c r="F39" s="444"/>
      <c r="G39" s="444"/>
      <c r="H39" s="444"/>
      <c r="I39" s="444"/>
      <c r="J39" s="444"/>
      <c r="K39" s="444"/>
      <c r="L39" s="60"/>
      <c r="M39" s="60"/>
      <c r="N39" s="60"/>
    </row>
    <row r="40" spans="2:14" x14ac:dyDescent="0.2">
      <c r="B40" s="14" t="s">
        <v>188</v>
      </c>
      <c r="C40" s="444"/>
      <c r="D40" s="444"/>
      <c r="E40" s="444"/>
      <c r="F40" s="444"/>
      <c r="G40" s="444"/>
      <c r="H40" s="444"/>
      <c r="I40" s="444"/>
      <c r="J40" s="444"/>
      <c r="K40" s="444"/>
      <c r="L40" s="60"/>
      <c r="M40" s="60"/>
      <c r="N40" s="60"/>
    </row>
    <row r="41" spans="2:14" x14ac:dyDescent="0.2">
      <c r="B41" s="14" t="s">
        <v>20</v>
      </c>
      <c r="C41" s="444"/>
      <c r="D41" s="444"/>
      <c r="E41" s="444"/>
      <c r="F41" s="444"/>
      <c r="G41" s="444"/>
      <c r="H41" s="444"/>
      <c r="I41" s="444"/>
      <c r="J41" s="444"/>
      <c r="K41" s="444"/>
      <c r="L41" s="60"/>
      <c r="M41" s="60"/>
      <c r="N41" s="60"/>
    </row>
    <row r="42" spans="2:14" x14ac:dyDescent="0.2">
      <c r="B42" s="14" t="s">
        <v>433</v>
      </c>
      <c r="C42" s="444"/>
      <c r="D42" s="444"/>
      <c r="E42" s="444"/>
      <c r="F42" s="444"/>
      <c r="G42" s="444"/>
      <c r="H42" s="444"/>
      <c r="I42" s="444"/>
      <c r="J42" s="444"/>
      <c r="K42" s="444"/>
      <c r="L42" s="60"/>
      <c r="M42" s="60"/>
      <c r="N42" s="60"/>
    </row>
    <row r="43" spans="2:14" x14ac:dyDescent="0.2">
      <c r="B43" s="14" t="s">
        <v>366</v>
      </c>
      <c r="C43" s="444"/>
      <c r="D43" s="444"/>
      <c r="E43" s="444"/>
      <c r="F43" s="444"/>
      <c r="G43" s="444"/>
      <c r="H43" s="444"/>
      <c r="I43" s="444"/>
      <c r="J43" s="444"/>
      <c r="K43" s="444"/>
      <c r="L43" s="60"/>
      <c r="M43" s="60"/>
      <c r="N43" s="60"/>
    </row>
    <row r="44" spans="2:14" x14ac:dyDescent="0.2">
      <c r="B44" s="10"/>
      <c r="C44" s="454"/>
      <c r="D44" s="454"/>
      <c r="E44" s="454"/>
      <c r="F44" s="454"/>
      <c r="G44" s="454"/>
      <c r="H44" s="454"/>
      <c r="I44" s="454"/>
      <c r="J44" s="454"/>
      <c r="K44" s="454"/>
    </row>
    <row r="45" spans="2:14" x14ac:dyDescent="0.2">
      <c r="B45" s="303" t="s">
        <v>684</v>
      </c>
      <c r="C45" s="455"/>
      <c r="D45" s="455"/>
      <c r="E45" s="455"/>
      <c r="F45" s="455"/>
      <c r="G45" s="455"/>
      <c r="H45" s="455"/>
      <c r="I45" s="455"/>
      <c r="J45" s="455"/>
      <c r="K45" s="455"/>
      <c r="L45" s="308"/>
      <c r="M45" s="308"/>
      <c r="N45" s="308"/>
    </row>
    <row r="46" spans="2:14" ht="180" customHeight="1" x14ac:dyDescent="0.2">
      <c r="B46" s="440"/>
      <c r="C46" s="456" t="s">
        <v>189</v>
      </c>
      <c r="D46" s="456" t="s">
        <v>190</v>
      </c>
      <c r="E46" s="456" t="s">
        <v>231</v>
      </c>
      <c r="F46" s="456" t="s">
        <v>192</v>
      </c>
      <c r="G46" s="456" t="s">
        <v>191</v>
      </c>
      <c r="H46" s="456" t="s">
        <v>193</v>
      </c>
      <c r="I46" s="456" t="s">
        <v>194</v>
      </c>
      <c r="J46" s="456" t="s">
        <v>195</v>
      </c>
      <c r="K46" s="456"/>
      <c r="L46" s="60"/>
      <c r="M46" s="60"/>
      <c r="N46" s="60"/>
    </row>
    <row r="47" spans="2:14" x14ac:dyDescent="0.2">
      <c r="B47" s="445" t="s">
        <v>284</v>
      </c>
      <c r="C47" s="457">
        <f>C28/(C28+C30)</f>
        <v>0.53696498054474706</v>
      </c>
      <c r="D47" s="457">
        <f t="shared" ref="D47:J47" si="8">D28/(D28+D30)</f>
        <v>0.24947589098532494</v>
      </c>
      <c r="E47" s="457">
        <f t="shared" si="8"/>
        <v>0.41445427728613571</v>
      </c>
      <c r="F47" s="457">
        <f t="shared" si="8"/>
        <v>0.55172413793103448</v>
      </c>
      <c r="G47" s="457">
        <f t="shared" si="8"/>
        <v>0.43571428571428572</v>
      </c>
      <c r="H47" s="457">
        <f t="shared" si="8"/>
        <v>0.69811320754716977</v>
      </c>
      <c r="I47" s="457">
        <f t="shared" si="8"/>
        <v>0.5903083700440529</v>
      </c>
      <c r="J47" s="457">
        <f t="shared" si="8"/>
        <v>0.54625550660792954</v>
      </c>
      <c r="K47" s="457"/>
      <c r="L47" s="60"/>
      <c r="M47" s="60"/>
      <c r="N47" s="60"/>
    </row>
    <row r="48" spans="2:14" x14ac:dyDescent="0.2">
      <c r="B48" s="445" t="s">
        <v>259</v>
      </c>
      <c r="C48" s="457">
        <v>0</v>
      </c>
      <c r="D48" s="457">
        <v>0</v>
      </c>
      <c r="E48" s="457">
        <v>0</v>
      </c>
      <c r="F48" s="457">
        <v>0</v>
      </c>
      <c r="G48" s="457">
        <v>0</v>
      </c>
      <c r="H48" s="457">
        <v>0</v>
      </c>
      <c r="I48" s="457">
        <v>0</v>
      </c>
      <c r="J48" s="457">
        <v>0</v>
      </c>
      <c r="K48" s="457"/>
      <c r="L48" s="60"/>
      <c r="M48" s="60"/>
      <c r="N48" s="60"/>
    </row>
    <row r="49" spans="2:14" x14ac:dyDescent="0.2">
      <c r="B49" s="445" t="s">
        <v>417</v>
      </c>
      <c r="C49" s="458">
        <f>1-C47</f>
        <v>0.46303501945525294</v>
      </c>
      <c r="D49" s="458">
        <f t="shared" ref="D49:J49" si="9">1-D47</f>
        <v>0.75052410901467503</v>
      </c>
      <c r="E49" s="458">
        <f t="shared" si="9"/>
        <v>0.58554572271386429</v>
      </c>
      <c r="F49" s="458">
        <f t="shared" si="9"/>
        <v>0.44827586206896552</v>
      </c>
      <c r="G49" s="458">
        <f t="shared" si="9"/>
        <v>0.56428571428571428</v>
      </c>
      <c r="H49" s="458">
        <f t="shared" si="9"/>
        <v>0.30188679245283023</v>
      </c>
      <c r="I49" s="458">
        <f t="shared" si="9"/>
        <v>0.4096916299559471</v>
      </c>
      <c r="J49" s="458">
        <f t="shared" si="9"/>
        <v>0.45374449339207046</v>
      </c>
      <c r="K49" s="458"/>
      <c r="L49" s="60"/>
      <c r="M49" s="60"/>
      <c r="N49" s="60"/>
    </row>
    <row r="50" spans="2:14" x14ac:dyDescent="0.2">
      <c r="B50" s="60"/>
      <c r="C50" s="453"/>
      <c r="D50" s="453"/>
      <c r="E50" s="453"/>
      <c r="F50" s="453"/>
      <c r="G50" s="453"/>
      <c r="H50" s="453"/>
      <c r="I50" s="453"/>
      <c r="J50" s="453"/>
      <c r="K50" s="453"/>
      <c r="L50" s="60"/>
      <c r="M50" s="60"/>
      <c r="N50" s="60"/>
    </row>
    <row r="51" spans="2:14" x14ac:dyDescent="0.2">
      <c r="B51" s="14" t="s">
        <v>359</v>
      </c>
      <c r="C51" s="459">
        <v>0.97</v>
      </c>
      <c r="D51" s="459">
        <v>0.9</v>
      </c>
      <c r="E51" s="459">
        <v>0.9</v>
      </c>
      <c r="F51" s="459">
        <v>0.9</v>
      </c>
      <c r="G51" s="459">
        <v>0.8</v>
      </c>
      <c r="H51" s="459">
        <v>0.6</v>
      </c>
      <c r="I51" s="459">
        <v>0.8</v>
      </c>
      <c r="J51" s="459">
        <v>0.8</v>
      </c>
      <c r="K51" s="460"/>
      <c r="L51" s="60"/>
      <c r="M51" s="60"/>
      <c r="N51" s="60"/>
    </row>
    <row r="52" spans="2:14" x14ac:dyDescent="0.2">
      <c r="B52" s="14" t="s">
        <v>360</v>
      </c>
      <c r="C52" s="459">
        <v>0.03</v>
      </c>
      <c r="D52" s="459">
        <v>0.1</v>
      </c>
      <c r="E52" s="459">
        <v>0.1</v>
      </c>
      <c r="F52" s="459">
        <v>0.1</v>
      </c>
      <c r="G52" s="459">
        <v>0.2</v>
      </c>
      <c r="H52" s="459">
        <v>0.4</v>
      </c>
      <c r="I52" s="459">
        <v>0.2</v>
      </c>
      <c r="J52" s="459">
        <v>0.2</v>
      </c>
      <c r="K52" s="460"/>
      <c r="L52" s="60"/>
      <c r="M52" s="60"/>
      <c r="N52" s="60"/>
    </row>
    <row r="53" spans="2:14" x14ac:dyDescent="0.2">
      <c r="B53" s="14"/>
      <c r="C53" s="460"/>
      <c r="D53" s="460"/>
      <c r="E53" s="460"/>
      <c r="F53" s="460"/>
      <c r="G53" s="460"/>
      <c r="H53" s="460"/>
      <c r="I53" s="460"/>
      <c r="J53" s="460"/>
      <c r="K53" s="460"/>
      <c r="L53" s="60"/>
      <c r="M53" s="60"/>
      <c r="N53" s="60"/>
    </row>
    <row r="54" spans="2:14" x14ac:dyDescent="0.2">
      <c r="B54" s="14" t="s">
        <v>361</v>
      </c>
      <c r="C54" s="459">
        <v>0.97</v>
      </c>
      <c r="D54" s="459">
        <v>0.9</v>
      </c>
      <c r="E54" s="459">
        <v>0.9</v>
      </c>
      <c r="F54" s="459">
        <v>0.9</v>
      </c>
      <c r="G54" s="459">
        <v>0.8</v>
      </c>
      <c r="H54" s="459">
        <v>0.6</v>
      </c>
      <c r="I54" s="459">
        <v>0.8</v>
      </c>
      <c r="J54" s="459">
        <v>0.8</v>
      </c>
      <c r="K54" s="460"/>
      <c r="L54" s="60"/>
      <c r="M54" s="60"/>
      <c r="N54" s="60"/>
    </row>
    <row r="55" spans="2:14" x14ac:dyDescent="0.2">
      <c r="B55" s="14" t="s">
        <v>362</v>
      </c>
      <c r="C55" s="459">
        <v>0.03</v>
      </c>
      <c r="D55" s="459">
        <v>0.1</v>
      </c>
      <c r="E55" s="459">
        <v>0.1</v>
      </c>
      <c r="F55" s="459">
        <v>0.1</v>
      </c>
      <c r="G55" s="459">
        <v>0.2</v>
      </c>
      <c r="H55" s="459">
        <v>0.4</v>
      </c>
      <c r="I55" s="459">
        <v>0.2</v>
      </c>
      <c r="J55" s="459">
        <v>0.2</v>
      </c>
      <c r="K55" s="460"/>
      <c r="L55" s="60"/>
      <c r="M55" s="60"/>
      <c r="N55" s="60"/>
    </row>
    <row r="56" spans="2:14" x14ac:dyDescent="0.2">
      <c r="B56" s="14"/>
      <c r="C56" s="461"/>
      <c r="D56" s="461"/>
      <c r="E56" s="461"/>
      <c r="F56" s="461"/>
      <c r="G56" s="461"/>
      <c r="H56" s="461"/>
      <c r="I56" s="461"/>
      <c r="J56" s="461"/>
      <c r="K56" s="460"/>
      <c r="L56" s="60"/>
      <c r="M56" s="60"/>
      <c r="N56" s="60"/>
    </row>
    <row r="57" spans="2:14" x14ac:dyDescent="0.2">
      <c r="B57" s="14" t="s">
        <v>363</v>
      </c>
      <c r="C57" s="459">
        <v>0</v>
      </c>
      <c r="D57" s="459">
        <v>0</v>
      </c>
      <c r="E57" s="459">
        <v>0</v>
      </c>
      <c r="F57" s="459">
        <v>0</v>
      </c>
      <c r="G57" s="459">
        <v>0</v>
      </c>
      <c r="H57" s="459">
        <v>0</v>
      </c>
      <c r="I57" s="459">
        <v>0</v>
      </c>
      <c r="J57" s="459">
        <v>0</v>
      </c>
      <c r="K57" s="460"/>
      <c r="L57" s="60"/>
      <c r="M57" s="60"/>
      <c r="N57" s="60"/>
    </row>
    <row r="58" spans="2:14" x14ac:dyDescent="0.2">
      <c r="B58" s="14" t="s">
        <v>364</v>
      </c>
      <c r="C58" s="459">
        <v>0</v>
      </c>
      <c r="D58" s="459">
        <v>0</v>
      </c>
      <c r="E58" s="459">
        <v>0</v>
      </c>
      <c r="F58" s="459">
        <v>0</v>
      </c>
      <c r="G58" s="459">
        <v>0</v>
      </c>
      <c r="H58" s="459">
        <v>0</v>
      </c>
      <c r="I58" s="459">
        <v>0</v>
      </c>
      <c r="J58" s="459">
        <v>0</v>
      </c>
      <c r="K58" s="460"/>
      <c r="L58" s="60"/>
      <c r="M58" s="60"/>
      <c r="N58" s="60"/>
    </row>
    <row r="59" spans="2:14" x14ac:dyDescent="0.2">
      <c r="B59" s="14" t="s">
        <v>188</v>
      </c>
      <c r="C59" s="459">
        <v>0.25</v>
      </c>
      <c r="D59" s="459">
        <v>0.08</v>
      </c>
      <c r="E59" s="459">
        <v>0.2</v>
      </c>
      <c r="F59" s="459">
        <v>0.26</v>
      </c>
      <c r="G59" s="459">
        <v>0.25</v>
      </c>
      <c r="H59" s="459">
        <v>0</v>
      </c>
      <c r="I59" s="459">
        <v>0.25</v>
      </c>
      <c r="J59" s="459">
        <v>0.25</v>
      </c>
      <c r="K59" s="460"/>
      <c r="L59" s="60"/>
      <c r="M59" s="60"/>
      <c r="N59" s="60"/>
    </row>
    <row r="60" spans="2:14" x14ac:dyDescent="0.2">
      <c r="B60" s="14" t="s">
        <v>20</v>
      </c>
      <c r="C60" s="459">
        <v>0.25</v>
      </c>
      <c r="D60" s="459">
        <v>0.18</v>
      </c>
      <c r="E60" s="459">
        <v>0.25</v>
      </c>
      <c r="F60" s="459">
        <v>0.25</v>
      </c>
      <c r="G60" s="459">
        <v>0.25</v>
      </c>
      <c r="H60" s="459">
        <v>0.2</v>
      </c>
      <c r="I60" s="459">
        <v>0.45</v>
      </c>
      <c r="J60" s="459">
        <v>0.25</v>
      </c>
      <c r="K60" s="460"/>
      <c r="L60" s="60"/>
      <c r="M60" s="60"/>
      <c r="N60" s="60"/>
    </row>
    <row r="61" spans="2:14" x14ac:dyDescent="0.2">
      <c r="B61" s="14" t="s">
        <v>433</v>
      </c>
      <c r="C61" s="459">
        <v>0.25</v>
      </c>
      <c r="D61" s="459">
        <v>0.26</v>
      </c>
      <c r="E61" s="459">
        <v>0.24</v>
      </c>
      <c r="F61" s="459">
        <v>0.24</v>
      </c>
      <c r="G61" s="459">
        <v>0.25</v>
      </c>
      <c r="H61" s="459">
        <v>0.1</v>
      </c>
      <c r="I61" s="459">
        <v>0.2</v>
      </c>
      <c r="J61" s="459">
        <v>0.25</v>
      </c>
      <c r="K61" s="460"/>
      <c r="L61" s="60"/>
      <c r="M61" s="60"/>
      <c r="N61" s="60"/>
    </row>
    <row r="62" spans="2:14" x14ac:dyDescent="0.2">
      <c r="B62" s="14" t="s">
        <v>366</v>
      </c>
      <c r="C62" s="459">
        <v>0.25</v>
      </c>
      <c r="D62" s="459">
        <v>0.48</v>
      </c>
      <c r="E62" s="459">
        <v>0.31</v>
      </c>
      <c r="F62" s="459">
        <v>0.25</v>
      </c>
      <c r="G62" s="459">
        <v>0.25</v>
      </c>
      <c r="H62" s="459">
        <v>0.7</v>
      </c>
      <c r="I62" s="459">
        <v>0.1</v>
      </c>
      <c r="J62" s="459">
        <v>0.25</v>
      </c>
      <c r="K62" s="460"/>
      <c r="L62" s="60"/>
      <c r="M62" s="60"/>
      <c r="N62" s="60"/>
    </row>
    <row r="63" spans="2:14" x14ac:dyDescent="0.2">
      <c r="B63" s="10"/>
    </row>
    <row r="64" spans="2:14" x14ac:dyDescent="0.2">
      <c r="B64" s="10"/>
    </row>
    <row r="65" spans="12:14" x14ac:dyDescent="0.2">
      <c r="L65" s="452"/>
      <c r="M65" s="452"/>
      <c r="N65" s="452"/>
    </row>
    <row r="66" spans="12:14" x14ac:dyDescent="0.2">
      <c r="L66" s="452"/>
      <c r="M66" s="452"/>
      <c r="N66" s="452"/>
    </row>
    <row r="67" spans="12:14" ht="33" customHeight="1" x14ac:dyDescent="0.2">
      <c r="L67" s="452"/>
      <c r="M67" s="452"/>
      <c r="N67" s="452"/>
    </row>
    <row r="68" spans="12:14" x14ac:dyDescent="0.2">
      <c r="L68" s="452"/>
      <c r="M68" s="452"/>
      <c r="N68" s="452"/>
    </row>
    <row r="69" spans="12:14" x14ac:dyDescent="0.2">
      <c r="L69" s="436"/>
      <c r="M69" s="436"/>
    </row>
    <row r="70" spans="12:14" x14ac:dyDescent="0.2">
      <c r="L70" s="436"/>
      <c r="M70" s="436"/>
    </row>
    <row r="71" spans="12:14" x14ac:dyDescent="0.2">
      <c r="L71" s="436"/>
      <c r="M71" s="436"/>
    </row>
    <row r="72" spans="12:14" x14ac:dyDescent="0.2">
      <c r="L72" s="436"/>
      <c r="M72" s="436"/>
    </row>
    <row r="73" spans="12:14" x14ac:dyDescent="0.2">
      <c r="L73" s="436"/>
      <c r="M73" s="436"/>
    </row>
    <row r="74" spans="12:14" x14ac:dyDescent="0.2">
      <c r="L74" s="436"/>
      <c r="M74" s="436"/>
    </row>
    <row r="75" spans="12:14" x14ac:dyDescent="0.2">
      <c r="L75" s="436"/>
      <c r="M75" s="436"/>
    </row>
    <row r="76" spans="12:14" x14ac:dyDescent="0.2">
      <c r="L76" s="436"/>
      <c r="M76" s="436"/>
    </row>
    <row r="77" spans="12:14" x14ac:dyDescent="0.2">
      <c r="L77" s="436"/>
      <c r="M77" s="436"/>
    </row>
    <row r="78" spans="12:14" x14ac:dyDescent="0.2">
      <c r="L78" s="436"/>
      <c r="M78" s="436"/>
    </row>
    <row r="79" spans="12:14" x14ac:dyDescent="0.2">
      <c r="L79" s="436"/>
      <c r="M79" s="436"/>
    </row>
    <row r="80" spans="12:14" x14ac:dyDescent="0.2">
      <c r="L80" s="436"/>
      <c r="M80" s="436"/>
    </row>
    <row r="81" spans="2:13" x14ac:dyDescent="0.2">
      <c r="L81" s="436"/>
      <c r="M81" s="436"/>
    </row>
    <row r="82" spans="2:13" x14ac:dyDescent="0.2">
      <c r="L82" s="436"/>
      <c r="M82" s="436"/>
    </row>
    <row r="83" spans="2:13" x14ac:dyDescent="0.2">
      <c r="B83" s="10"/>
      <c r="C83" s="462"/>
    </row>
    <row r="84" spans="2:13" x14ac:dyDescent="0.2">
      <c r="B84" s="10"/>
      <c r="C84" s="462"/>
    </row>
    <row r="85" spans="2:13" x14ac:dyDescent="0.2">
      <c r="B85" s="10"/>
      <c r="C85" s="462"/>
    </row>
    <row r="86" spans="2:13" x14ac:dyDescent="0.2">
      <c r="B86" s="10"/>
      <c r="C86" s="462"/>
    </row>
    <row r="87" spans="2:13" x14ac:dyDescent="0.2">
      <c r="B87" s="10"/>
      <c r="C87" s="462"/>
    </row>
    <row r="91" spans="2:13" x14ac:dyDescent="0.2">
      <c r="B91" s="10"/>
      <c r="C91" s="448"/>
      <c r="D91" s="463"/>
      <c r="E91" s="463"/>
    </row>
    <row r="92" spans="2:13" x14ac:dyDescent="0.2">
      <c r="B92" s="10"/>
      <c r="C92" s="448"/>
      <c r="D92" s="463"/>
      <c r="E92" s="463"/>
    </row>
    <row r="93" spans="2:13" x14ac:dyDescent="0.2">
      <c r="B93" s="10"/>
      <c r="C93" s="448"/>
      <c r="D93" s="463"/>
      <c r="E93" s="463"/>
    </row>
    <row r="94" spans="2:13" x14ac:dyDescent="0.2">
      <c r="B94" s="10"/>
      <c r="C94" s="448"/>
      <c r="D94" s="463"/>
      <c r="E94" s="463"/>
    </row>
    <row r="95" spans="2:13" x14ac:dyDescent="0.2">
      <c r="B95" s="10"/>
      <c r="C95" s="448"/>
      <c r="D95" s="463"/>
      <c r="E95" s="463"/>
    </row>
    <row r="96" spans="2:13" x14ac:dyDescent="0.2">
      <c r="B96" s="10"/>
      <c r="C96" s="448"/>
      <c r="D96" s="463"/>
      <c r="E96" s="463"/>
    </row>
    <row r="97" spans="2:9" x14ac:dyDescent="0.2">
      <c r="B97" s="10"/>
      <c r="C97" s="448"/>
      <c r="D97" s="463"/>
      <c r="E97" s="463"/>
    </row>
    <row r="98" spans="2:9" x14ac:dyDescent="0.2">
      <c r="B98" s="10"/>
      <c r="C98" s="448"/>
      <c r="D98" s="463"/>
      <c r="E98" s="463"/>
    </row>
    <row r="101" spans="2:9" x14ac:dyDescent="0.2">
      <c r="B101" s="10"/>
      <c r="C101" s="448"/>
      <c r="D101" s="463"/>
      <c r="E101" s="463"/>
      <c r="F101" s="463"/>
      <c r="G101" s="463"/>
      <c r="H101" s="463"/>
      <c r="I101" s="463"/>
    </row>
    <row r="102" spans="2:9" x14ac:dyDescent="0.2">
      <c r="B102" s="10"/>
      <c r="C102" s="448"/>
      <c r="D102" s="463"/>
      <c r="E102" s="463"/>
      <c r="F102" s="463"/>
      <c r="G102" s="463"/>
      <c r="H102" s="463"/>
      <c r="I102" s="463"/>
    </row>
    <row r="103" spans="2:9" x14ac:dyDescent="0.2">
      <c r="B103" s="10"/>
      <c r="C103" s="448"/>
      <c r="D103" s="463"/>
      <c r="E103" s="463"/>
      <c r="F103" s="463"/>
      <c r="G103" s="463"/>
      <c r="H103" s="463"/>
      <c r="I103" s="463"/>
    </row>
    <row r="104" spans="2:9" x14ac:dyDescent="0.2">
      <c r="B104" s="10"/>
      <c r="C104" s="448"/>
      <c r="D104" s="463"/>
      <c r="E104" s="463"/>
      <c r="F104" s="463"/>
      <c r="G104" s="463"/>
      <c r="H104" s="463"/>
      <c r="I104" s="463"/>
    </row>
    <row r="105" spans="2:9" x14ac:dyDescent="0.2">
      <c r="B105" s="10"/>
      <c r="C105" s="448"/>
      <c r="D105" s="463"/>
      <c r="E105" s="463"/>
      <c r="F105" s="463"/>
      <c r="G105" s="463"/>
      <c r="H105" s="463"/>
      <c r="I105" s="463"/>
    </row>
    <row r="106" spans="2:9" x14ac:dyDescent="0.2">
      <c r="B106" s="10"/>
      <c r="C106" s="448"/>
      <c r="D106" s="463"/>
      <c r="E106" s="463"/>
      <c r="F106" s="463"/>
      <c r="G106" s="463"/>
      <c r="H106" s="463"/>
      <c r="I106" s="463"/>
    </row>
    <row r="107" spans="2:9" x14ac:dyDescent="0.2">
      <c r="B107" s="10"/>
      <c r="C107" s="448"/>
      <c r="D107" s="463"/>
      <c r="E107" s="463"/>
      <c r="F107" s="463"/>
      <c r="G107" s="463"/>
      <c r="H107" s="463"/>
      <c r="I107" s="463"/>
    </row>
    <row r="108" spans="2:9" x14ac:dyDescent="0.2">
      <c r="B108" s="10"/>
      <c r="C108" s="448"/>
      <c r="D108" s="463"/>
      <c r="E108" s="463"/>
      <c r="F108" s="463"/>
      <c r="G108" s="463"/>
      <c r="H108" s="463"/>
      <c r="I108" s="463"/>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8"/>
  <dimension ref="B2:N108"/>
  <sheetViews>
    <sheetView showGridLines="0" zoomScale="70" zoomScaleNormal="70" workbookViewId="0"/>
  </sheetViews>
  <sheetFormatPr defaultColWidth="8.7109375" defaultRowHeight="12.75" x14ac:dyDescent="0.2"/>
  <cols>
    <col min="1" max="1" width="8.7109375" style="1"/>
    <col min="2" max="2" width="30.7109375" style="1" customWidth="1"/>
    <col min="3" max="11" width="8.7109375" style="1"/>
    <col min="12" max="12" width="10.42578125" style="1" bestFit="1" customWidth="1"/>
    <col min="13" max="15" width="8.7109375" style="1"/>
    <col min="16" max="16" width="36.7109375" style="1" customWidth="1"/>
    <col min="17" max="16384" width="8.7109375" style="1"/>
  </cols>
  <sheetData>
    <row r="2" spans="2:14" x14ac:dyDescent="0.2">
      <c r="B2" s="433"/>
      <c r="C2" s="434">
        <f>Step1!$M$26</f>
        <v>0</v>
      </c>
      <c r="D2" s="434">
        <f>Step1!$M$27</f>
        <v>0</v>
      </c>
      <c r="E2" s="434">
        <f>Step1!$M$28</f>
        <v>0</v>
      </c>
      <c r="F2" s="434">
        <f>Step1!$M$29</f>
        <v>0</v>
      </c>
      <c r="G2" s="434">
        <f>Step1!$M$30</f>
        <v>0</v>
      </c>
      <c r="H2" s="434">
        <f>Step1!$M$31</f>
        <v>0</v>
      </c>
      <c r="I2" s="434">
        <f>Step1!$M$32</f>
        <v>0</v>
      </c>
      <c r="J2" s="434">
        <f>Step1!$M$33</f>
        <v>100</v>
      </c>
      <c r="K2" s="434"/>
      <c r="N2" s="435">
        <f>Step1!M24</f>
        <v>29177</v>
      </c>
    </row>
    <row r="3" spans="2:14" x14ac:dyDescent="0.2">
      <c r="B3" s="433"/>
      <c r="C3" s="95"/>
      <c r="D3" s="95"/>
      <c r="E3" s="95"/>
      <c r="F3" s="95"/>
      <c r="G3" s="95"/>
      <c r="H3" s="95"/>
      <c r="I3" s="95"/>
      <c r="J3" s="95"/>
      <c r="K3" s="95"/>
      <c r="N3" s="436"/>
    </row>
    <row r="4" spans="2:14" x14ac:dyDescent="0.2">
      <c r="B4" s="437"/>
      <c r="C4" s="438"/>
      <c r="D4" s="438"/>
      <c r="E4" s="438"/>
      <c r="F4" s="438"/>
      <c r="G4" s="438"/>
      <c r="H4" s="438"/>
      <c r="I4" s="438"/>
      <c r="J4" s="438"/>
      <c r="K4" s="438"/>
      <c r="L4" s="308"/>
      <c r="M4" s="308"/>
      <c r="N4" s="439"/>
    </row>
    <row r="5" spans="2:14" ht="180" customHeight="1" x14ac:dyDescent="0.2">
      <c r="B5" s="440"/>
      <c r="C5" s="441" t="s">
        <v>189</v>
      </c>
      <c r="D5" s="441" t="s">
        <v>190</v>
      </c>
      <c r="E5" s="441" t="s">
        <v>231</v>
      </c>
      <c r="F5" s="441" t="s">
        <v>192</v>
      </c>
      <c r="G5" s="441" t="s">
        <v>191</v>
      </c>
      <c r="H5" s="441" t="s">
        <v>193</v>
      </c>
      <c r="I5" s="441" t="s">
        <v>194</v>
      </c>
      <c r="J5" s="441" t="s">
        <v>195</v>
      </c>
      <c r="K5" s="441"/>
      <c r="L5" s="60"/>
      <c r="M5" s="60"/>
      <c r="N5" s="60"/>
    </row>
    <row r="6" spans="2:14" x14ac:dyDescent="0.2">
      <c r="B6" s="440"/>
      <c r="C6" s="441"/>
      <c r="D6" s="441"/>
      <c r="E6" s="441"/>
      <c r="F6" s="441"/>
      <c r="G6" s="441"/>
      <c r="H6" s="441"/>
      <c r="I6" s="441"/>
      <c r="J6" s="441"/>
      <c r="K6" s="441"/>
      <c r="L6" s="60"/>
      <c r="M6" s="60"/>
      <c r="N6" s="442"/>
    </row>
    <row r="7" spans="2:14" x14ac:dyDescent="0.2">
      <c r="B7" s="440"/>
      <c r="C7" s="443">
        <f t="shared" ref="C7:J7" si="0">$N$2*(C2/100)</f>
        <v>0</v>
      </c>
      <c r="D7" s="443">
        <f t="shared" si="0"/>
        <v>0</v>
      </c>
      <c r="E7" s="443">
        <f t="shared" si="0"/>
        <v>0</v>
      </c>
      <c r="F7" s="443">
        <f t="shared" si="0"/>
        <v>0</v>
      </c>
      <c r="G7" s="443">
        <f t="shared" si="0"/>
        <v>0</v>
      </c>
      <c r="H7" s="443">
        <f t="shared" si="0"/>
        <v>0</v>
      </c>
      <c r="I7" s="443">
        <f t="shared" si="0"/>
        <v>0</v>
      </c>
      <c r="J7" s="443">
        <f t="shared" si="0"/>
        <v>29177</v>
      </c>
      <c r="K7" s="444"/>
      <c r="L7" s="60"/>
      <c r="M7" s="60"/>
      <c r="N7" s="442"/>
    </row>
    <row r="8" spans="2:14" x14ac:dyDescent="0.2">
      <c r="B8" s="440"/>
      <c r="C8" s="441"/>
      <c r="D8" s="441"/>
      <c r="E8" s="441"/>
      <c r="F8" s="441"/>
      <c r="G8" s="441"/>
      <c r="H8" s="441"/>
      <c r="I8" s="441"/>
      <c r="J8" s="441"/>
      <c r="K8" s="441"/>
      <c r="L8" s="60"/>
      <c r="M8" s="60"/>
      <c r="N8" s="442"/>
    </row>
    <row r="9" spans="2:14" x14ac:dyDescent="0.2">
      <c r="B9" s="445" t="s">
        <v>284</v>
      </c>
      <c r="C9" s="77">
        <f t="shared" ref="C9:J9" si="1">C$7*C28</f>
        <v>0</v>
      </c>
      <c r="D9" s="77">
        <f t="shared" si="1"/>
        <v>0</v>
      </c>
      <c r="E9" s="77">
        <f t="shared" si="1"/>
        <v>0</v>
      </c>
      <c r="F9" s="77">
        <f t="shared" si="1"/>
        <v>0</v>
      </c>
      <c r="G9" s="77">
        <f t="shared" si="1"/>
        <v>0</v>
      </c>
      <c r="H9" s="77">
        <f t="shared" si="1"/>
        <v>0</v>
      </c>
      <c r="I9" s="77">
        <f t="shared" si="1"/>
        <v>0</v>
      </c>
      <c r="J9" s="77">
        <f t="shared" si="1"/>
        <v>3617948</v>
      </c>
      <c r="K9" s="77"/>
      <c r="L9" s="446">
        <f>SUM(C9:J9)</f>
        <v>3617948</v>
      </c>
      <c r="M9" s="446"/>
      <c r="N9" s="442"/>
    </row>
    <row r="10" spans="2:14" x14ac:dyDescent="0.2">
      <c r="B10" s="445" t="s">
        <v>259</v>
      </c>
      <c r="C10" s="77">
        <f t="shared" ref="C10:H11" si="2">C$7*C29</f>
        <v>0</v>
      </c>
      <c r="D10" s="77">
        <f t="shared" si="2"/>
        <v>0</v>
      </c>
      <c r="E10" s="77">
        <f t="shared" si="2"/>
        <v>0</v>
      </c>
      <c r="F10" s="77">
        <f t="shared" si="2"/>
        <v>0</v>
      </c>
      <c r="G10" s="77">
        <f t="shared" si="2"/>
        <v>0</v>
      </c>
      <c r="H10" s="77">
        <f t="shared" si="2"/>
        <v>0</v>
      </c>
      <c r="I10" s="77">
        <v>0</v>
      </c>
      <c r="J10" s="77">
        <v>0</v>
      </c>
      <c r="K10" s="77"/>
      <c r="L10" s="446">
        <f t="shared" ref="L10:L24" si="3">SUM(C10:J10)</f>
        <v>0</v>
      </c>
      <c r="M10" s="446"/>
      <c r="N10" s="442"/>
    </row>
    <row r="11" spans="2:14" x14ac:dyDescent="0.2">
      <c r="B11" s="445" t="s">
        <v>417</v>
      </c>
      <c r="C11" s="77">
        <f t="shared" si="2"/>
        <v>0</v>
      </c>
      <c r="D11" s="77">
        <f t="shared" si="2"/>
        <v>0</v>
      </c>
      <c r="E11" s="77">
        <f t="shared" si="2"/>
        <v>0</v>
      </c>
      <c r="F11" s="77">
        <f t="shared" si="2"/>
        <v>0</v>
      </c>
      <c r="G11" s="77">
        <f t="shared" si="2"/>
        <v>0</v>
      </c>
      <c r="H11" s="77">
        <f t="shared" si="2"/>
        <v>0</v>
      </c>
      <c r="I11" s="77">
        <f>I$7*I30</f>
        <v>0</v>
      </c>
      <c r="J11" s="77">
        <f>J$7*J30</f>
        <v>3005231</v>
      </c>
      <c r="K11" s="77"/>
      <c r="L11" s="446">
        <f t="shared" si="3"/>
        <v>3005231</v>
      </c>
      <c r="M11" s="446"/>
      <c r="N11" s="442"/>
    </row>
    <row r="12" spans="2:14" x14ac:dyDescent="0.2">
      <c r="B12" s="60"/>
      <c r="C12" s="443"/>
      <c r="D12" s="443"/>
      <c r="E12" s="443"/>
      <c r="F12" s="443"/>
      <c r="G12" s="443"/>
      <c r="H12" s="443"/>
      <c r="I12" s="443"/>
      <c r="J12" s="443"/>
      <c r="K12" s="443"/>
      <c r="L12" s="446"/>
      <c r="M12" s="446"/>
      <c r="N12" s="442"/>
    </row>
    <row r="13" spans="2:14" x14ac:dyDescent="0.2">
      <c r="B13" s="14" t="s">
        <v>359</v>
      </c>
      <c r="C13" s="443">
        <f t="shared" ref="C13:J13" si="4">C9*C51</f>
        <v>0</v>
      </c>
      <c r="D13" s="443">
        <f t="shared" si="4"/>
        <v>0</v>
      </c>
      <c r="E13" s="443">
        <f t="shared" si="4"/>
        <v>0</v>
      </c>
      <c r="F13" s="443">
        <f t="shared" si="4"/>
        <v>0</v>
      </c>
      <c r="G13" s="443">
        <f t="shared" si="4"/>
        <v>0</v>
      </c>
      <c r="H13" s="443">
        <f t="shared" si="4"/>
        <v>0</v>
      </c>
      <c r="I13" s="443">
        <f t="shared" si="4"/>
        <v>0</v>
      </c>
      <c r="J13" s="443">
        <f t="shared" si="4"/>
        <v>2894358.4000000004</v>
      </c>
      <c r="K13" s="443"/>
      <c r="L13" s="446">
        <f t="shared" si="3"/>
        <v>2894358.4000000004</v>
      </c>
      <c r="M13" s="446"/>
      <c r="N13" s="447">
        <f>L13/L9</f>
        <v>0.80000000000000016</v>
      </c>
    </row>
    <row r="14" spans="2:14" x14ac:dyDescent="0.2">
      <c r="B14" s="14" t="s">
        <v>360</v>
      </c>
      <c r="C14" s="443">
        <f t="shared" ref="C14:J14" si="5">C9*C52</f>
        <v>0</v>
      </c>
      <c r="D14" s="443">
        <f t="shared" si="5"/>
        <v>0</v>
      </c>
      <c r="E14" s="443">
        <f t="shared" si="5"/>
        <v>0</v>
      </c>
      <c r="F14" s="443">
        <f t="shared" si="5"/>
        <v>0</v>
      </c>
      <c r="G14" s="443">
        <f t="shared" si="5"/>
        <v>0</v>
      </c>
      <c r="H14" s="443">
        <f t="shared" si="5"/>
        <v>0</v>
      </c>
      <c r="I14" s="443">
        <f t="shared" si="5"/>
        <v>0</v>
      </c>
      <c r="J14" s="443">
        <f t="shared" si="5"/>
        <v>723589.60000000009</v>
      </c>
      <c r="K14" s="443"/>
      <c r="L14" s="446">
        <f t="shared" si="3"/>
        <v>723589.60000000009</v>
      </c>
      <c r="M14" s="446"/>
      <c r="N14" s="447">
        <f>L14/L9</f>
        <v>0.20000000000000004</v>
      </c>
    </row>
    <row r="15" spans="2:14" x14ac:dyDescent="0.2">
      <c r="B15" s="14"/>
      <c r="C15" s="443"/>
      <c r="D15" s="443"/>
      <c r="E15" s="443"/>
      <c r="F15" s="443"/>
      <c r="G15" s="443"/>
      <c r="H15" s="443"/>
      <c r="I15" s="443"/>
      <c r="J15" s="443"/>
      <c r="K15" s="443"/>
      <c r="L15" s="446"/>
      <c r="M15" s="446"/>
      <c r="N15" s="447"/>
    </row>
    <row r="16" spans="2:14" x14ac:dyDescent="0.2">
      <c r="B16" s="14" t="s">
        <v>361</v>
      </c>
      <c r="C16" s="443">
        <f t="shared" ref="C16:J16" si="6">C10*C54</f>
        <v>0</v>
      </c>
      <c r="D16" s="443">
        <f t="shared" si="6"/>
        <v>0</v>
      </c>
      <c r="E16" s="443">
        <f t="shared" si="6"/>
        <v>0</v>
      </c>
      <c r="F16" s="443">
        <f t="shared" si="6"/>
        <v>0</v>
      </c>
      <c r="G16" s="443">
        <f t="shared" si="6"/>
        <v>0</v>
      </c>
      <c r="H16" s="443">
        <f t="shared" si="6"/>
        <v>0</v>
      </c>
      <c r="I16" s="443">
        <f t="shared" si="6"/>
        <v>0</v>
      </c>
      <c r="J16" s="443">
        <f t="shared" si="6"/>
        <v>0</v>
      </c>
      <c r="K16" s="443"/>
      <c r="L16" s="446">
        <f t="shared" si="3"/>
        <v>0</v>
      </c>
      <c r="M16" s="446"/>
      <c r="N16" s="447" t="e">
        <f>L16/L10</f>
        <v>#DIV/0!</v>
      </c>
    </row>
    <row r="17" spans="2:14" x14ac:dyDescent="0.2">
      <c r="B17" s="14" t="s">
        <v>362</v>
      </c>
      <c r="C17" s="443">
        <f t="shared" ref="C17:J17" si="7">C10*C55</f>
        <v>0</v>
      </c>
      <c r="D17" s="443">
        <f t="shared" si="7"/>
        <v>0</v>
      </c>
      <c r="E17" s="443">
        <f t="shared" si="7"/>
        <v>0</v>
      </c>
      <c r="F17" s="443">
        <f t="shared" si="7"/>
        <v>0</v>
      </c>
      <c r="G17" s="443">
        <f t="shared" si="7"/>
        <v>0</v>
      </c>
      <c r="H17" s="443">
        <f t="shared" si="7"/>
        <v>0</v>
      </c>
      <c r="I17" s="443">
        <f t="shared" si="7"/>
        <v>0</v>
      </c>
      <c r="J17" s="443">
        <f t="shared" si="7"/>
        <v>0</v>
      </c>
      <c r="K17" s="443"/>
      <c r="L17" s="446">
        <f t="shared" si="3"/>
        <v>0</v>
      </c>
      <c r="M17" s="446"/>
      <c r="N17" s="447" t="e">
        <f>L17/L10</f>
        <v>#DIV/0!</v>
      </c>
    </row>
    <row r="18" spans="2:14" x14ac:dyDescent="0.2">
      <c r="B18" s="14"/>
      <c r="C18" s="443"/>
      <c r="D18" s="443"/>
      <c r="E18" s="443"/>
      <c r="F18" s="443"/>
      <c r="G18" s="443"/>
      <c r="H18" s="443"/>
      <c r="I18" s="443"/>
      <c r="J18" s="443"/>
      <c r="K18" s="443"/>
      <c r="L18" s="446"/>
      <c r="M18" s="446"/>
      <c r="N18" s="447"/>
    </row>
    <row r="19" spans="2:14" x14ac:dyDescent="0.2">
      <c r="B19" s="14" t="s">
        <v>363</v>
      </c>
      <c r="C19" s="443">
        <f t="shared" ref="C19:J24" si="8">C$11*C57</f>
        <v>0</v>
      </c>
      <c r="D19" s="443">
        <f t="shared" si="8"/>
        <v>0</v>
      </c>
      <c r="E19" s="443">
        <f t="shared" si="8"/>
        <v>0</v>
      </c>
      <c r="F19" s="443">
        <f t="shared" si="8"/>
        <v>0</v>
      </c>
      <c r="G19" s="443">
        <f t="shared" si="8"/>
        <v>0</v>
      </c>
      <c r="H19" s="443">
        <f t="shared" si="8"/>
        <v>0</v>
      </c>
      <c r="I19" s="443">
        <f t="shared" si="8"/>
        <v>0</v>
      </c>
      <c r="J19" s="443">
        <f t="shared" si="8"/>
        <v>0</v>
      </c>
      <c r="K19" s="443"/>
      <c r="L19" s="446">
        <f t="shared" si="3"/>
        <v>0</v>
      </c>
      <c r="M19" s="446"/>
      <c r="N19" s="447"/>
    </row>
    <row r="20" spans="2:14" x14ac:dyDescent="0.2">
      <c r="B20" s="14" t="s">
        <v>364</v>
      </c>
      <c r="C20" s="443">
        <f t="shared" si="8"/>
        <v>0</v>
      </c>
      <c r="D20" s="443">
        <f t="shared" si="8"/>
        <v>0</v>
      </c>
      <c r="E20" s="443">
        <f t="shared" si="8"/>
        <v>0</v>
      </c>
      <c r="F20" s="443">
        <f t="shared" si="8"/>
        <v>0</v>
      </c>
      <c r="G20" s="443">
        <f t="shared" si="8"/>
        <v>0</v>
      </c>
      <c r="H20" s="443">
        <f t="shared" si="8"/>
        <v>0</v>
      </c>
      <c r="I20" s="443">
        <f t="shared" si="8"/>
        <v>0</v>
      </c>
      <c r="J20" s="443">
        <f t="shared" si="8"/>
        <v>0</v>
      </c>
      <c r="K20" s="443"/>
      <c r="L20" s="446">
        <f t="shared" si="3"/>
        <v>0</v>
      </c>
      <c r="M20" s="446"/>
      <c r="N20" s="447"/>
    </row>
    <row r="21" spans="2:14" x14ac:dyDescent="0.2">
      <c r="B21" s="14" t="s">
        <v>188</v>
      </c>
      <c r="C21" s="443">
        <f t="shared" si="8"/>
        <v>0</v>
      </c>
      <c r="D21" s="443">
        <f t="shared" si="8"/>
        <v>0</v>
      </c>
      <c r="E21" s="443">
        <f t="shared" si="8"/>
        <v>0</v>
      </c>
      <c r="F21" s="443">
        <f t="shared" si="8"/>
        <v>0</v>
      </c>
      <c r="G21" s="443">
        <f t="shared" si="8"/>
        <v>0</v>
      </c>
      <c r="H21" s="443">
        <f t="shared" si="8"/>
        <v>0</v>
      </c>
      <c r="I21" s="443">
        <f t="shared" si="8"/>
        <v>0</v>
      </c>
      <c r="J21" s="443">
        <f t="shared" si="8"/>
        <v>751307.75</v>
      </c>
      <c r="K21" s="443"/>
      <c r="L21" s="446">
        <f t="shared" si="3"/>
        <v>751307.75</v>
      </c>
      <c r="M21" s="446"/>
      <c r="N21" s="447">
        <f>L21/L$11</f>
        <v>0.25</v>
      </c>
    </row>
    <row r="22" spans="2:14" x14ac:dyDescent="0.2">
      <c r="B22" s="14" t="s">
        <v>20</v>
      </c>
      <c r="C22" s="443">
        <f t="shared" si="8"/>
        <v>0</v>
      </c>
      <c r="D22" s="443">
        <f t="shared" si="8"/>
        <v>0</v>
      </c>
      <c r="E22" s="443">
        <f t="shared" si="8"/>
        <v>0</v>
      </c>
      <c r="F22" s="443">
        <f t="shared" si="8"/>
        <v>0</v>
      </c>
      <c r="G22" s="443">
        <f t="shared" si="8"/>
        <v>0</v>
      </c>
      <c r="H22" s="443">
        <f t="shared" si="8"/>
        <v>0</v>
      </c>
      <c r="I22" s="443">
        <f t="shared" si="8"/>
        <v>0</v>
      </c>
      <c r="J22" s="443">
        <f t="shared" si="8"/>
        <v>751307.75</v>
      </c>
      <c r="K22" s="443"/>
      <c r="L22" s="446">
        <f t="shared" si="3"/>
        <v>751307.75</v>
      </c>
      <c r="M22" s="446"/>
      <c r="N22" s="447">
        <f>L22/L$11</f>
        <v>0.25</v>
      </c>
    </row>
    <row r="23" spans="2:14" x14ac:dyDescent="0.2">
      <c r="B23" s="14" t="s">
        <v>433</v>
      </c>
      <c r="C23" s="443">
        <f t="shared" si="8"/>
        <v>0</v>
      </c>
      <c r="D23" s="443">
        <f t="shared" si="8"/>
        <v>0</v>
      </c>
      <c r="E23" s="443">
        <f t="shared" si="8"/>
        <v>0</v>
      </c>
      <c r="F23" s="443">
        <f t="shared" si="8"/>
        <v>0</v>
      </c>
      <c r="G23" s="443">
        <f t="shared" si="8"/>
        <v>0</v>
      </c>
      <c r="H23" s="443">
        <f t="shared" si="8"/>
        <v>0</v>
      </c>
      <c r="I23" s="443">
        <f t="shared" si="8"/>
        <v>0</v>
      </c>
      <c r="J23" s="443">
        <f t="shared" si="8"/>
        <v>751307.75</v>
      </c>
      <c r="K23" s="443"/>
      <c r="L23" s="446">
        <f t="shared" si="3"/>
        <v>751307.75</v>
      </c>
      <c r="M23" s="446"/>
      <c r="N23" s="447">
        <f>L23/L$11</f>
        <v>0.25</v>
      </c>
    </row>
    <row r="24" spans="2:14" x14ac:dyDescent="0.2">
      <c r="B24" s="14" t="s">
        <v>366</v>
      </c>
      <c r="C24" s="443">
        <f t="shared" si="8"/>
        <v>0</v>
      </c>
      <c r="D24" s="443">
        <f t="shared" si="8"/>
        <v>0</v>
      </c>
      <c r="E24" s="443">
        <f t="shared" si="8"/>
        <v>0</v>
      </c>
      <c r="F24" s="443">
        <f t="shared" si="8"/>
        <v>0</v>
      </c>
      <c r="G24" s="443">
        <f t="shared" si="8"/>
        <v>0</v>
      </c>
      <c r="H24" s="443">
        <f t="shared" si="8"/>
        <v>0</v>
      </c>
      <c r="I24" s="443">
        <f t="shared" si="8"/>
        <v>0</v>
      </c>
      <c r="J24" s="443">
        <f t="shared" si="8"/>
        <v>751307.75</v>
      </c>
      <c r="K24" s="443"/>
      <c r="L24" s="446">
        <f t="shared" si="3"/>
        <v>751307.75</v>
      </c>
      <c r="M24" s="446"/>
      <c r="N24" s="447">
        <f>L24/L$11</f>
        <v>0.25</v>
      </c>
    </row>
    <row r="25" spans="2:14" x14ac:dyDescent="0.2">
      <c r="B25" s="10"/>
      <c r="C25" s="448"/>
      <c r="D25" s="448"/>
      <c r="E25" s="448"/>
      <c r="F25" s="448"/>
      <c r="G25" s="448"/>
      <c r="H25" s="448"/>
      <c r="I25" s="448"/>
      <c r="J25" s="448"/>
      <c r="K25" s="448"/>
      <c r="N25" s="449"/>
    </row>
    <row r="26" spans="2:14" x14ac:dyDescent="0.2">
      <c r="B26" s="303" t="s">
        <v>683</v>
      </c>
      <c r="C26" s="450"/>
      <c r="D26" s="450"/>
      <c r="E26" s="450"/>
      <c r="F26" s="450"/>
      <c r="G26" s="450"/>
      <c r="H26" s="450"/>
      <c r="I26" s="450"/>
      <c r="J26" s="450"/>
      <c r="K26" s="450"/>
      <c r="L26" s="308"/>
      <c r="M26" s="308"/>
      <c r="N26" s="451"/>
    </row>
    <row r="27" spans="2:14" s="452" customFormat="1" ht="180" customHeight="1" x14ac:dyDescent="0.25">
      <c r="B27" s="440"/>
      <c r="C27" s="441" t="s">
        <v>189</v>
      </c>
      <c r="D27" s="441" t="s">
        <v>190</v>
      </c>
      <c r="E27" s="441" t="s">
        <v>231</v>
      </c>
      <c r="F27" s="441" t="s">
        <v>192</v>
      </c>
      <c r="G27" s="441" t="s">
        <v>191</v>
      </c>
      <c r="H27" s="441" t="s">
        <v>193</v>
      </c>
      <c r="I27" s="441" t="s">
        <v>194</v>
      </c>
      <c r="J27" s="441" t="s">
        <v>195</v>
      </c>
      <c r="K27" s="441"/>
      <c r="L27" s="440"/>
      <c r="M27" s="440"/>
      <c r="N27" s="440"/>
    </row>
    <row r="28" spans="2:14" x14ac:dyDescent="0.2">
      <c r="B28" s="445" t="s">
        <v>284</v>
      </c>
      <c r="C28" s="74">
        <v>138</v>
      </c>
      <c r="D28" s="453">
        <v>119</v>
      </c>
      <c r="E28" s="453">
        <v>281</v>
      </c>
      <c r="F28" s="453">
        <v>192</v>
      </c>
      <c r="G28" s="453">
        <v>244</v>
      </c>
      <c r="H28" s="453">
        <v>185</v>
      </c>
      <c r="I28" s="453">
        <v>134</v>
      </c>
      <c r="J28" s="453">
        <v>124</v>
      </c>
      <c r="K28" s="453"/>
      <c r="L28" s="60"/>
      <c r="M28" s="60"/>
      <c r="N28" s="60"/>
    </row>
    <row r="29" spans="2:14" x14ac:dyDescent="0.2">
      <c r="B29" s="445" t="s">
        <v>259</v>
      </c>
      <c r="C29" s="74">
        <v>138</v>
      </c>
      <c r="D29" s="453">
        <v>119</v>
      </c>
      <c r="E29" s="453">
        <v>281</v>
      </c>
      <c r="F29" s="453">
        <v>192</v>
      </c>
      <c r="G29" s="453">
        <v>244</v>
      </c>
      <c r="H29" s="453">
        <v>185</v>
      </c>
      <c r="I29" s="453">
        <v>134</v>
      </c>
      <c r="J29" s="453">
        <v>124</v>
      </c>
      <c r="K29" s="453"/>
      <c r="L29" s="60"/>
      <c r="M29" s="60"/>
      <c r="N29" s="60"/>
    </row>
    <row r="30" spans="2:14" x14ac:dyDescent="0.2">
      <c r="B30" s="445" t="s">
        <v>417</v>
      </c>
      <c r="C30" s="453">
        <v>119</v>
      </c>
      <c r="D30" s="453">
        <v>358</v>
      </c>
      <c r="E30" s="453">
        <v>397</v>
      </c>
      <c r="F30" s="453">
        <v>156</v>
      </c>
      <c r="G30" s="453">
        <v>316</v>
      </c>
      <c r="H30" s="453">
        <v>80</v>
      </c>
      <c r="I30" s="453">
        <v>93</v>
      </c>
      <c r="J30" s="453">
        <v>103</v>
      </c>
      <c r="K30" s="453"/>
      <c r="L30" s="60"/>
      <c r="M30" s="60"/>
      <c r="N30" s="60"/>
    </row>
    <row r="31" spans="2:14" x14ac:dyDescent="0.2">
      <c r="B31" s="60"/>
      <c r="C31" s="453"/>
      <c r="D31" s="453"/>
      <c r="E31" s="453"/>
      <c r="F31" s="453"/>
      <c r="G31" s="453"/>
      <c r="H31" s="453"/>
      <c r="I31" s="453"/>
      <c r="J31" s="453"/>
      <c r="K31" s="453"/>
      <c r="L31" s="60"/>
      <c r="M31" s="60"/>
      <c r="N31" s="60"/>
    </row>
    <row r="32" spans="2:14" x14ac:dyDescent="0.2">
      <c r="B32" s="14" t="s">
        <v>359</v>
      </c>
      <c r="C32" s="464"/>
      <c r="D32" s="464"/>
      <c r="E32" s="464"/>
      <c r="F32" s="464"/>
      <c r="G32" s="464"/>
      <c r="H32" s="464"/>
      <c r="I32" s="464"/>
      <c r="J32" s="464"/>
      <c r="K32" s="444"/>
      <c r="L32" s="60"/>
      <c r="M32" s="60"/>
      <c r="N32" s="60"/>
    </row>
    <row r="33" spans="2:14" x14ac:dyDescent="0.2">
      <c r="B33" s="14" t="s">
        <v>360</v>
      </c>
      <c r="C33" s="464"/>
      <c r="D33" s="464"/>
      <c r="E33" s="464"/>
      <c r="F33" s="464"/>
      <c r="G33" s="464"/>
      <c r="H33" s="464"/>
      <c r="I33" s="464"/>
      <c r="J33" s="464"/>
      <c r="K33" s="444"/>
      <c r="L33" s="60"/>
      <c r="M33" s="60"/>
      <c r="N33" s="60"/>
    </row>
    <row r="34" spans="2:14" x14ac:dyDescent="0.2">
      <c r="B34" s="14"/>
      <c r="C34" s="464"/>
      <c r="D34" s="464"/>
      <c r="E34" s="464"/>
      <c r="F34" s="464"/>
      <c r="G34" s="464"/>
      <c r="H34" s="464"/>
      <c r="I34" s="464"/>
      <c r="J34" s="464"/>
      <c r="K34" s="444"/>
      <c r="L34" s="60"/>
      <c r="M34" s="60"/>
      <c r="N34" s="60"/>
    </row>
    <row r="35" spans="2:14" x14ac:dyDescent="0.2">
      <c r="B35" s="14" t="s">
        <v>361</v>
      </c>
      <c r="C35" s="465"/>
      <c r="D35" s="465"/>
      <c r="E35" s="465"/>
      <c r="F35" s="465"/>
      <c r="G35" s="465"/>
      <c r="H35" s="465"/>
      <c r="I35" s="465"/>
      <c r="J35" s="465"/>
      <c r="K35" s="453"/>
      <c r="L35" s="60"/>
      <c r="M35" s="60"/>
      <c r="N35" s="60"/>
    </row>
    <row r="36" spans="2:14" x14ac:dyDescent="0.2">
      <c r="B36" s="14" t="s">
        <v>362</v>
      </c>
      <c r="C36" s="127"/>
      <c r="D36" s="127"/>
      <c r="E36" s="127"/>
      <c r="F36" s="127"/>
      <c r="G36" s="127"/>
      <c r="H36" s="127"/>
      <c r="I36" s="127"/>
      <c r="J36" s="127"/>
      <c r="K36" s="60"/>
      <c r="L36" s="60"/>
      <c r="M36" s="60"/>
      <c r="N36" s="60"/>
    </row>
    <row r="37" spans="2:14" x14ac:dyDescent="0.2">
      <c r="B37" s="14"/>
      <c r="C37" s="127"/>
      <c r="D37" s="127"/>
      <c r="E37" s="127"/>
      <c r="F37" s="127"/>
      <c r="G37" s="127"/>
      <c r="H37" s="127"/>
      <c r="I37" s="127"/>
      <c r="J37" s="127"/>
      <c r="K37" s="60"/>
      <c r="L37" s="60"/>
      <c r="M37" s="60"/>
      <c r="N37" s="60"/>
    </row>
    <row r="38" spans="2:14" x14ac:dyDescent="0.2">
      <c r="B38" s="14" t="s">
        <v>363</v>
      </c>
      <c r="C38" s="464"/>
      <c r="D38" s="464"/>
      <c r="E38" s="464"/>
      <c r="F38" s="464"/>
      <c r="G38" s="464"/>
      <c r="H38" s="464"/>
      <c r="I38" s="464"/>
      <c r="J38" s="464"/>
      <c r="K38" s="444"/>
      <c r="L38" s="60"/>
      <c r="M38" s="60"/>
      <c r="N38" s="60"/>
    </row>
    <row r="39" spans="2:14" x14ac:dyDescent="0.2">
      <c r="B39" s="14" t="s">
        <v>364</v>
      </c>
      <c r="C39" s="464"/>
      <c r="D39" s="464"/>
      <c r="E39" s="464"/>
      <c r="F39" s="464"/>
      <c r="G39" s="464"/>
      <c r="H39" s="464"/>
      <c r="I39" s="464"/>
      <c r="J39" s="464"/>
      <c r="K39" s="444"/>
      <c r="L39" s="60"/>
      <c r="M39" s="60"/>
      <c r="N39" s="60"/>
    </row>
    <row r="40" spans="2:14" x14ac:dyDescent="0.2">
      <c r="B40" s="14" t="s">
        <v>188</v>
      </c>
      <c r="C40" s="464"/>
      <c r="D40" s="464"/>
      <c r="E40" s="464"/>
      <c r="F40" s="464"/>
      <c r="G40" s="464"/>
      <c r="H40" s="464"/>
      <c r="I40" s="464"/>
      <c r="J40" s="464"/>
      <c r="K40" s="444"/>
      <c r="L40" s="60"/>
      <c r="M40" s="60"/>
      <c r="N40" s="60"/>
    </row>
    <row r="41" spans="2:14" x14ac:dyDescent="0.2">
      <c r="B41" s="14" t="s">
        <v>20</v>
      </c>
      <c r="C41" s="464"/>
      <c r="D41" s="464"/>
      <c r="E41" s="464"/>
      <c r="F41" s="464"/>
      <c r="G41" s="464"/>
      <c r="H41" s="464"/>
      <c r="I41" s="464"/>
      <c r="J41" s="464"/>
      <c r="K41" s="444"/>
      <c r="L41" s="60"/>
      <c r="M41" s="60"/>
      <c r="N41" s="60"/>
    </row>
    <row r="42" spans="2:14" x14ac:dyDescent="0.2">
      <c r="B42" s="14" t="s">
        <v>433</v>
      </c>
      <c r="C42" s="464"/>
      <c r="D42" s="464"/>
      <c r="E42" s="464"/>
      <c r="F42" s="464"/>
      <c r="G42" s="464"/>
      <c r="H42" s="464"/>
      <c r="I42" s="464"/>
      <c r="J42" s="464"/>
      <c r="K42" s="444"/>
      <c r="L42" s="60"/>
      <c r="M42" s="60"/>
      <c r="N42" s="60"/>
    </row>
    <row r="43" spans="2:14" x14ac:dyDescent="0.2">
      <c r="B43" s="14" t="s">
        <v>366</v>
      </c>
      <c r="C43" s="464"/>
      <c r="D43" s="464"/>
      <c r="E43" s="464"/>
      <c r="F43" s="464"/>
      <c r="G43" s="464"/>
      <c r="H43" s="464"/>
      <c r="I43" s="464"/>
      <c r="J43" s="464"/>
      <c r="K43" s="444"/>
      <c r="L43" s="60"/>
      <c r="M43" s="60"/>
      <c r="N43" s="60"/>
    </row>
    <row r="44" spans="2:14" x14ac:dyDescent="0.2">
      <c r="B44" s="10"/>
      <c r="C44" s="454"/>
      <c r="D44" s="454"/>
      <c r="E44" s="454"/>
      <c r="F44" s="454"/>
      <c r="G44" s="454"/>
      <c r="H44" s="454"/>
      <c r="I44" s="454"/>
      <c r="J44" s="454"/>
      <c r="K44" s="454"/>
    </row>
    <row r="45" spans="2:14" x14ac:dyDescent="0.2">
      <c r="B45" s="303" t="s">
        <v>684</v>
      </c>
      <c r="C45" s="455"/>
      <c r="D45" s="455"/>
      <c r="E45" s="455"/>
      <c r="F45" s="455"/>
      <c r="G45" s="455"/>
      <c r="H45" s="455"/>
      <c r="I45" s="455"/>
      <c r="J45" s="455"/>
      <c r="K45" s="455"/>
      <c r="L45" s="308"/>
      <c r="M45" s="308"/>
      <c r="N45" s="308"/>
    </row>
    <row r="46" spans="2:14" ht="180" customHeight="1" x14ac:dyDescent="0.2">
      <c r="B46" s="440"/>
      <c r="C46" s="456" t="s">
        <v>189</v>
      </c>
      <c r="D46" s="456" t="s">
        <v>190</v>
      </c>
      <c r="E46" s="456" t="s">
        <v>231</v>
      </c>
      <c r="F46" s="456" t="s">
        <v>192</v>
      </c>
      <c r="G46" s="456" t="s">
        <v>191</v>
      </c>
      <c r="H46" s="456" t="s">
        <v>193</v>
      </c>
      <c r="I46" s="456" t="s">
        <v>194</v>
      </c>
      <c r="J46" s="456" t="s">
        <v>195</v>
      </c>
      <c r="K46" s="456"/>
      <c r="L46" s="60"/>
      <c r="M46" s="60"/>
      <c r="N46" s="60"/>
    </row>
    <row r="47" spans="2:14" x14ac:dyDescent="0.2">
      <c r="B47" s="445" t="s">
        <v>284</v>
      </c>
      <c r="C47" s="457">
        <f t="shared" ref="C47:J47" si="9">C28/(C28+C30)</f>
        <v>0.53696498054474706</v>
      </c>
      <c r="D47" s="457">
        <f t="shared" si="9"/>
        <v>0.24947589098532494</v>
      </c>
      <c r="E47" s="457">
        <f t="shared" si="9"/>
        <v>0.41445427728613571</v>
      </c>
      <c r="F47" s="457">
        <f t="shared" si="9"/>
        <v>0.55172413793103448</v>
      </c>
      <c r="G47" s="457">
        <f t="shared" si="9"/>
        <v>0.43571428571428572</v>
      </c>
      <c r="H47" s="457">
        <f t="shared" si="9"/>
        <v>0.69811320754716977</v>
      </c>
      <c r="I47" s="457">
        <f t="shared" si="9"/>
        <v>0.5903083700440529</v>
      </c>
      <c r="J47" s="457">
        <f t="shared" si="9"/>
        <v>0.54625550660792954</v>
      </c>
      <c r="K47" s="457"/>
      <c r="L47" s="60"/>
      <c r="M47" s="60"/>
      <c r="N47" s="60"/>
    </row>
    <row r="48" spans="2:14" x14ac:dyDescent="0.2">
      <c r="B48" s="445" t="s">
        <v>259</v>
      </c>
      <c r="C48" s="457">
        <v>0</v>
      </c>
      <c r="D48" s="457">
        <v>0</v>
      </c>
      <c r="E48" s="457">
        <v>0</v>
      </c>
      <c r="F48" s="457">
        <v>0</v>
      </c>
      <c r="G48" s="457">
        <v>0</v>
      </c>
      <c r="H48" s="457">
        <v>0</v>
      </c>
      <c r="I48" s="457">
        <v>0</v>
      </c>
      <c r="J48" s="457">
        <v>0</v>
      </c>
      <c r="K48" s="457"/>
      <c r="L48" s="60"/>
      <c r="M48" s="60"/>
      <c r="N48" s="60"/>
    </row>
    <row r="49" spans="2:14" x14ac:dyDescent="0.2">
      <c r="B49" s="445" t="s">
        <v>417</v>
      </c>
      <c r="C49" s="458">
        <f>1-C47</f>
        <v>0.46303501945525294</v>
      </c>
      <c r="D49" s="458">
        <f t="shared" ref="D49:J49" si="10">1-D47</f>
        <v>0.75052410901467503</v>
      </c>
      <c r="E49" s="458">
        <f t="shared" si="10"/>
        <v>0.58554572271386429</v>
      </c>
      <c r="F49" s="458">
        <f t="shared" si="10"/>
        <v>0.44827586206896552</v>
      </c>
      <c r="G49" s="458">
        <f t="shared" si="10"/>
        <v>0.56428571428571428</v>
      </c>
      <c r="H49" s="458">
        <f t="shared" si="10"/>
        <v>0.30188679245283023</v>
      </c>
      <c r="I49" s="458">
        <f t="shared" si="10"/>
        <v>0.4096916299559471</v>
      </c>
      <c r="J49" s="458">
        <f t="shared" si="10"/>
        <v>0.45374449339207046</v>
      </c>
      <c r="K49" s="458"/>
      <c r="L49" s="60"/>
      <c r="M49" s="60"/>
      <c r="N49" s="60"/>
    </row>
    <row r="50" spans="2:14" x14ac:dyDescent="0.2">
      <c r="B50" s="60"/>
      <c r="C50" s="453"/>
      <c r="D50" s="453"/>
      <c r="E50" s="453"/>
      <c r="F50" s="453"/>
      <c r="G50" s="453"/>
      <c r="H50" s="453"/>
      <c r="I50" s="453"/>
      <c r="J50" s="453"/>
      <c r="K50" s="453"/>
      <c r="L50" s="60"/>
      <c r="M50" s="60"/>
      <c r="N50" s="60"/>
    </row>
    <row r="51" spans="2:14" x14ac:dyDescent="0.2">
      <c r="B51" s="14" t="s">
        <v>359</v>
      </c>
      <c r="C51" s="459">
        <v>0.97</v>
      </c>
      <c r="D51" s="459">
        <v>0.9</v>
      </c>
      <c r="E51" s="459">
        <v>0.9</v>
      </c>
      <c r="F51" s="459">
        <v>0.9</v>
      </c>
      <c r="G51" s="459">
        <v>0.8</v>
      </c>
      <c r="H51" s="459">
        <v>0.6</v>
      </c>
      <c r="I51" s="459">
        <v>0.8</v>
      </c>
      <c r="J51" s="459">
        <v>0.8</v>
      </c>
      <c r="K51" s="460"/>
      <c r="L51" s="60"/>
      <c r="M51" s="60"/>
      <c r="N51" s="60"/>
    </row>
    <row r="52" spans="2:14" x14ac:dyDescent="0.2">
      <c r="B52" s="14" t="s">
        <v>360</v>
      </c>
      <c r="C52" s="459">
        <v>0.03</v>
      </c>
      <c r="D52" s="459">
        <v>0.1</v>
      </c>
      <c r="E52" s="459">
        <v>0.1</v>
      </c>
      <c r="F52" s="459">
        <v>0.1</v>
      </c>
      <c r="G52" s="459">
        <v>0.2</v>
      </c>
      <c r="H52" s="459">
        <v>0.4</v>
      </c>
      <c r="I52" s="459">
        <v>0.2</v>
      </c>
      <c r="J52" s="459">
        <v>0.2</v>
      </c>
      <c r="K52" s="460"/>
      <c r="L52" s="60"/>
      <c r="M52" s="60"/>
      <c r="N52" s="60"/>
    </row>
    <row r="53" spans="2:14" x14ac:dyDescent="0.2">
      <c r="B53" s="14"/>
      <c r="C53" s="460"/>
      <c r="D53" s="460"/>
      <c r="E53" s="460"/>
      <c r="F53" s="460"/>
      <c r="G53" s="460"/>
      <c r="H53" s="460"/>
      <c r="I53" s="460"/>
      <c r="J53" s="460"/>
      <c r="K53" s="460"/>
      <c r="L53" s="60"/>
      <c r="M53" s="60"/>
      <c r="N53" s="60"/>
    </row>
    <row r="54" spans="2:14" x14ac:dyDescent="0.2">
      <c r="B54" s="14" t="s">
        <v>361</v>
      </c>
      <c r="C54" s="459">
        <v>0.97</v>
      </c>
      <c r="D54" s="459">
        <v>0.9</v>
      </c>
      <c r="E54" s="459">
        <v>0.9</v>
      </c>
      <c r="F54" s="459">
        <v>0.9</v>
      </c>
      <c r="G54" s="459">
        <v>0.8</v>
      </c>
      <c r="H54" s="459">
        <v>0.6</v>
      </c>
      <c r="I54" s="459">
        <v>0.8</v>
      </c>
      <c r="J54" s="459">
        <v>0.8</v>
      </c>
      <c r="K54" s="460"/>
      <c r="L54" s="60"/>
      <c r="M54" s="60"/>
      <c r="N54" s="60"/>
    </row>
    <row r="55" spans="2:14" x14ac:dyDescent="0.2">
      <c r="B55" s="14" t="s">
        <v>362</v>
      </c>
      <c r="C55" s="459">
        <v>0.03</v>
      </c>
      <c r="D55" s="459">
        <v>0.1</v>
      </c>
      <c r="E55" s="459">
        <v>0.1</v>
      </c>
      <c r="F55" s="459">
        <v>0.1</v>
      </c>
      <c r="G55" s="459">
        <v>0.2</v>
      </c>
      <c r="H55" s="459">
        <v>0.4</v>
      </c>
      <c r="I55" s="459">
        <v>0.2</v>
      </c>
      <c r="J55" s="459">
        <v>0.2</v>
      </c>
      <c r="K55" s="460"/>
      <c r="L55" s="60"/>
      <c r="M55" s="60"/>
      <c r="N55" s="60"/>
    </row>
    <row r="56" spans="2:14" x14ac:dyDescent="0.2">
      <c r="B56" s="14"/>
      <c r="C56" s="461"/>
      <c r="D56" s="461"/>
      <c r="E56" s="461"/>
      <c r="F56" s="461"/>
      <c r="G56" s="461"/>
      <c r="H56" s="461"/>
      <c r="I56" s="461"/>
      <c r="J56" s="461"/>
      <c r="K56" s="460"/>
      <c r="L56" s="60"/>
      <c r="M56" s="60"/>
      <c r="N56" s="60"/>
    </row>
    <row r="57" spans="2:14" x14ac:dyDescent="0.2">
      <c r="B57" s="14" t="s">
        <v>363</v>
      </c>
      <c r="C57" s="459">
        <v>0</v>
      </c>
      <c r="D57" s="459">
        <v>0</v>
      </c>
      <c r="E57" s="459">
        <v>0</v>
      </c>
      <c r="F57" s="459">
        <v>0</v>
      </c>
      <c r="G57" s="459">
        <v>0</v>
      </c>
      <c r="H57" s="459">
        <v>0</v>
      </c>
      <c r="I57" s="459">
        <v>0</v>
      </c>
      <c r="J57" s="459">
        <v>0</v>
      </c>
      <c r="K57" s="460"/>
      <c r="L57" s="60"/>
      <c r="M57" s="60"/>
      <c r="N57" s="60"/>
    </row>
    <row r="58" spans="2:14" x14ac:dyDescent="0.2">
      <c r="B58" s="14" t="s">
        <v>364</v>
      </c>
      <c r="C58" s="459">
        <v>0</v>
      </c>
      <c r="D58" s="459">
        <v>0</v>
      </c>
      <c r="E58" s="459">
        <v>0</v>
      </c>
      <c r="F58" s="459">
        <v>0</v>
      </c>
      <c r="G58" s="459">
        <v>0</v>
      </c>
      <c r="H58" s="459">
        <v>0</v>
      </c>
      <c r="I58" s="459">
        <v>0</v>
      </c>
      <c r="J58" s="459">
        <v>0</v>
      </c>
      <c r="K58" s="460"/>
      <c r="L58" s="60"/>
      <c r="M58" s="60"/>
      <c r="N58" s="60"/>
    </row>
    <row r="59" spans="2:14" x14ac:dyDescent="0.2">
      <c r="B59" s="14" t="s">
        <v>188</v>
      </c>
      <c r="C59" s="459">
        <v>0.25</v>
      </c>
      <c r="D59" s="459">
        <v>0.08</v>
      </c>
      <c r="E59" s="459">
        <v>0.2</v>
      </c>
      <c r="F59" s="459">
        <v>0.26</v>
      </c>
      <c r="G59" s="459">
        <v>0.25</v>
      </c>
      <c r="H59" s="459">
        <v>0</v>
      </c>
      <c r="I59" s="459">
        <v>0.25</v>
      </c>
      <c r="J59" s="459">
        <v>0.25</v>
      </c>
      <c r="K59" s="460"/>
      <c r="L59" s="60"/>
      <c r="M59" s="60"/>
      <c r="N59" s="60"/>
    </row>
    <row r="60" spans="2:14" x14ac:dyDescent="0.2">
      <c r="B60" s="14" t="s">
        <v>20</v>
      </c>
      <c r="C60" s="459">
        <v>0.25</v>
      </c>
      <c r="D60" s="459">
        <v>0.18</v>
      </c>
      <c r="E60" s="459">
        <v>0.25</v>
      </c>
      <c r="F60" s="459">
        <v>0.25</v>
      </c>
      <c r="G60" s="459">
        <v>0.25</v>
      </c>
      <c r="H60" s="459">
        <v>0.2</v>
      </c>
      <c r="I60" s="459">
        <v>0.45</v>
      </c>
      <c r="J60" s="459">
        <v>0.25</v>
      </c>
      <c r="K60" s="460"/>
      <c r="L60" s="60"/>
      <c r="M60" s="60"/>
      <c r="N60" s="60"/>
    </row>
    <row r="61" spans="2:14" x14ac:dyDescent="0.2">
      <c r="B61" s="14" t="s">
        <v>433</v>
      </c>
      <c r="C61" s="459">
        <v>0.25</v>
      </c>
      <c r="D61" s="459">
        <v>0.26</v>
      </c>
      <c r="E61" s="459">
        <v>0.24</v>
      </c>
      <c r="F61" s="459">
        <v>0.24</v>
      </c>
      <c r="G61" s="459">
        <v>0.25</v>
      </c>
      <c r="H61" s="459">
        <v>0.1</v>
      </c>
      <c r="I61" s="459">
        <v>0.2</v>
      </c>
      <c r="J61" s="459">
        <v>0.25</v>
      </c>
      <c r="K61" s="460"/>
      <c r="L61" s="60"/>
      <c r="M61" s="60"/>
      <c r="N61" s="60"/>
    </row>
    <row r="62" spans="2:14" x14ac:dyDescent="0.2">
      <c r="B62" s="14" t="s">
        <v>366</v>
      </c>
      <c r="C62" s="459">
        <v>0.25</v>
      </c>
      <c r="D62" s="459">
        <v>0.48</v>
      </c>
      <c r="E62" s="459">
        <v>0.31</v>
      </c>
      <c r="F62" s="459">
        <v>0.25</v>
      </c>
      <c r="G62" s="459">
        <v>0.25</v>
      </c>
      <c r="H62" s="459">
        <v>0.7</v>
      </c>
      <c r="I62" s="459">
        <v>0.1</v>
      </c>
      <c r="J62" s="459">
        <v>0.25</v>
      </c>
      <c r="K62" s="460"/>
      <c r="L62" s="60"/>
      <c r="M62" s="60"/>
      <c r="N62" s="60"/>
    </row>
    <row r="63" spans="2:14" x14ac:dyDescent="0.2">
      <c r="B63" s="10"/>
    </row>
    <row r="64" spans="2:14" x14ac:dyDescent="0.2">
      <c r="B64" s="10"/>
    </row>
    <row r="65" spans="12:14" x14ac:dyDescent="0.2">
      <c r="L65" s="452"/>
      <c r="M65" s="452"/>
      <c r="N65" s="452"/>
    </row>
    <row r="66" spans="12:14" x14ac:dyDescent="0.2">
      <c r="L66" s="452"/>
      <c r="M66" s="452"/>
      <c r="N66" s="452"/>
    </row>
    <row r="67" spans="12:14" ht="33" customHeight="1" x14ac:dyDescent="0.2">
      <c r="L67" s="452"/>
      <c r="M67" s="452"/>
      <c r="N67" s="452"/>
    </row>
    <row r="68" spans="12:14" x14ac:dyDescent="0.2">
      <c r="L68" s="452"/>
      <c r="M68" s="452"/>
      <c r="N68" s="452"/>
    </row>
    <row r="69" spans="12:14" x14ac:dyDescent="0.2">
      <c r="L69" s="436"/>
      <c r="M69" s="436"/>
    </row>
    <row r="70" spans="12:14" x14ac:dyDescent="0.2">
      <c r="L70" s="436"/>
      <c r="M70" s="436"/>
    </row>
    <row r="71" spans="12:14" x14ac:dyDescent="0.2">
      <c r="L71" s="436"/>
      <c r="M71" s="436"/>
    </row>
    <row r="72" spans="12:14" x14ac:dyDescent="0.2">
      <c r="L72" s="436"/>
      <c r="M72" s="436"/>
    </row>
    <row r="73" spans="12:14" x14ac:dyDescent="0.2">
      <c r="L73" s="436"/>
      <c r="M73" s="436"/>
    </row>
    <row r="74" spans="12:14" x14ac:dyDescent="0.2">
      <c r="L74" s="436"/>
      <c r="M74" s="436"/>
    </row>
    <row r="75" spans="12:14" x14ac:dyDescent="0.2">
      <c r="L75" s="436"/>
      <c r="M75" s="436"/>
    </row>
    <row r="76" spans="12:14" x14ac:dyDescent="0.2">
      <c r="L76" s="436"/>
      <c r="M76" s="436"/>
    </row>
    <row r="77" spans="12:14" x14ac:dyDescent="0.2">
      <c r="L77" s="436"/>
      <c r="M77" s="436"/>
    </row>
    <row r="78" spans="12:14" x14ac:dyDescent="0.2">
      <c r="L78" s="436"/>
      <c r="M78" s="436"/>
    </row>
    <row r="79" spans="12:14" x14ac:dyDescent="0.2">
      <c r="L79" s="436"/>
      <c r="M79" s="436"/>
    </row>
    <row r="80" spans="12:14" x14ac:dyDescent="0.2">
      <c r="L80" s="436"/>
      <c r="M80" s="436"/>
    </row>
    <row r="81" spans="2:13" x14ac:dyDescent="0.2">
      <c r="L81" s="436"/>
      <c r="M81" s="436"/>
    </row>
    <row r="82" spans="2:13" x14ac:dyDescent="0.2">
      <c r="L82" s="436"/>
      <c r="M82" s="436"/>
    </row>
    <row r="83" spans="2:13" x14ac:dyDescent="0.2">
      <c r="B83" s="10"/>
      <c r="C83" s="462"/>
    </row>
    <row r="84" spans="2:13" x14ac:dyDescent="0.2">
      <c r="B84" s="10"/>
      <c r="C84" s="462"/>
    </row>
    <row r="85" spans="2:13" x14ac:dyDescent="0.2">
      <c r="B85" s="10"/>
      <c r="C85" s="462"/>
    </row>
    <row r="86" spans="2:13" x14ac:dyDescent="0.2">
      <c r="B86" s="10"/>
      <c r="C86" s="462"/>
    </row>
    <row r="87" spans="2:13" x14ac:dyDescent="0.2">
      <c r="B87" s="10"/>
      <c r="C87" s="462"/>
    </row>
    <row r="91" spans="2:13" x14ac:dyDescent="0.2">
      <c r="B91" s="10"/>
      <c r="C91" s="448"/>
      <c r="D91" s="463"/>
      <c r="E91" s="463"/>
    </row>
    <row r="92" spans="2:13" x14ac:dyDescent="0.2">
      <c r="B92" s="10"/>
      <c r="C92" s="448"/>
      <c r="D92" s="463"/>
      <c r="E92" s="463"/>
    </row>
    <row r="93" spans="2:13" x14ac:dyDescent="0.2">
      <c r="B93" s="10"/>
      <c r="C93" s="448"/>
      <c r="D93" s="463"/>
      <c r="E93" s="463"/>
    </row>
    <row r="94" spans="2:13" x14ac:dyDescent="0.2">
      <c r="B94" s="10"/>
      <c r="C94" s="448"/>
      <c r="D94" s="463"/>
      <c r="E94" s="463"/>
    </row>
    <row r="95" spans="2:13" x14ac:dyDescent="0.2">
      <c r="B95" s="10"/>
      <c r="C95" s="448"/>
      <c r="D95" s="463"/>
      <c r="E95" s="463"/>
    </row>
    <row r="96" spans="2:13" x14ac:dyDescent="0.2">
      <c r="B96" s="10"/>
      <c r="C96" s="448"/>
      <c r="D96" s="463"/>
      <c r="E96" s="463"/>
    </row>
    <row r="97" spans="2:9" x14ac:dyDescent="0.2">
      <c r="B97" s="10"/>
      <c r="C97" s="448"/>
      <c r="D97" s="463"/>
      <c r="E97" s="463"/>
    </row>
    <row r="98" spans="2:9" x14ac:dyDescent="0.2">
      <c r="B98" s="10"/>
      <c r="C98" s="448"/>
      <c r="D98" s="463"/>
      <c r="E98" s="463"/>
    </row>
    <row r="101" spans="2:9" x14ac:dyDescent="0.2">
      <c r="B101" s="10"/>
      <c r="C101" s="448"/>
      <c r="D101" s="463"/>
      <c r="E101" s="463"/>
      <c r="F101" s="463"/>
      <c r="G101" s="463"/>
      <c r="H101" s="463"/>
      <c r="I101" s="463"/>
    </row>
    <row r="102" spans="2:9" x14ac:dyDescent="0.2">
      <c r="B102" s="10"/>
      <c r="C102" s="448"/>
      <c r="D102" s="463"/>
      <c r="E102" s="463"/>
      <c r="F102" s="463"/>
      <c r="G102" s="463"/>
      <c r="H102" s="463"/>
      <c r="I102" s="463"/>
    </row>
    <row r="103" spans="2:9" x14ac:dyDescent="0.2">
      <c r="B103" s="10"/>
      <c r="C103" s="448"/>
      <c r="D103" s="463"/>
      <c r="E103" s="463"/>
      <c r="F103" s="463"/>
      <c r="G103" s="463"/>
      <c r="H103" s="463"/>
      <c r="I103" s="463"/>
    </row>
    <row r="104" spans="2:9" x14ac:dyDescent="0.2">
      <c r="B104" s="10"/>
      <c r="C104" s="448"/>
      <c r="D104" s="463"/>
      <c r="E104" s="463"/>
      <c r="F104" s="463"/>
      <c r="G104" s="463"/>
      <c r="H104" s="463"/>
      <c r="I104" s="463"/>
    </row>
    <row r="105" spans="2:9" x14ac:dyDescent="0.2">
      <c r="B105" s="10"/>
      <c r="C105" s="448"/>
      <c r="D105" s="463"/>
      <c r="E105" s="463"/>
      <c r="F105" s="463"/>
      <c r="G105" s="463"/>
      <c r="H105" s="463"/>
      <c r="I105" s="463"/>
    </row>
    <row r="106" spans="2:9" x14ac:dyDescent="0.2">
      <c r="B106" s="10"/>
      <c r="C106" s="448"/>
      <c r="D106" s="463"/>
      <c r="E106" s="463"/>
      <c r="F106" s="463"/>
      <c r="G106" s="463"/>
      <c r="H106" s="463"/>
      <c r="I106" s="463"/>
    </row>
    <row r="107" spans="2:9" x14ac:dyDescent="0.2">
      <c r="B107" s="10"/>
      <c r="C107" s="448"/>
      <c r="D107" s="463"/>
      <c r="E107" s="463"/>
      <c r="F107" s="463"/>
      <c r="G107" s="463"/>
      <c r="H107" s="463"/>
      <c r="I107" s="463"/>
    </row>
    <row r="108" spans="2:9" x14ac:dyDescent="0.2">
      <c r="B108" s="10"/>
      <c r="C108" s="448"/>
      <c r="D108" s="463"/>
      <c r="E108" s="463"/>
      <c r="F108" s="463"/>
      <c r="G108" s="463"/>
      <c r="H108" s="463"/>
      <c r="I108" s="46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J109"/>
  <sheetViews>
    <sheetView showGridLines="0" zoomScale="70" zoomScaleNormal="70" zoomScaleSheetLayoutView="100" workbookViewId="0">
      <selection activeCell="G12" sqref="G12:L13"/>
    </sheetView>
  </sheetViews>
  <sheetFormatPr defaultColWidth="8.7109375" defaultRowHeight="15" customHeight="1" x14ac:dyDescent="0.2"/>
  <cols>
    <col min="1" max="1" width="3.7109375" style="47" customWidth="1"/>
    <col min="2" max="2" width="8.85546875" style="62" customWidth="1"/>
    <col min="3" max="3" width="8.7109375" style="481" customWidth="1"/>
    <col min="4" max="4" width="8.7109375" style="49" customWidth="1"/>
    <col min="5" max="5" width="3.7109375" style="48" customWidth="1"/>
    <col min="6" max="6" width="8.7109375" style="1"/>
    <col min="7" max="15" width="8.7109375" style="1" customWidth="1"/>
    <col min="16" max="16" width="8.7109375" style="478" customWidth="1"/>
    <col min="17" max="17" width="8.7109375" style="1" customWidth="1"/>
    <col min="18" max="18" width="8.7109375" style="5" customWidth="1"/>
    <col min="19" max="30" width="8.7109375" style="1" customWidth="1"/>
    <col min="31" max="31" width="10.28515625" style="1" bestFit="1" customWidth="1"/>
    <col min="32" max="32" width="11.140625" style="1" bestFit="1" customWidth="1"/>
    <col min="33" max="16384" width="8.7109375" style="1"/>
  </cols>
  <sheetData>
    <row r="1" spans="1:24" ht="15" customHeight="1" x14ac:dyDescent="0.2">
      <c r="A1" s="1022"/>
      <c r="B1" s="1022"/>
      <c r="C1" s="1022"/>
      <c r="D1" s="1022"/>
      <c r="E1" s="1022"/>
      <c r="G1" s="1024" t="s">
        <v>289</v>
      </c>
      <c r="H1" s="1024"/>
    </row>
    <row r="2" spans="1:24" ht="15" customHeight="1" x14ac:dyDescent="0.2">
      <c r="A2" s="1022"/>
      <c r="B2" s="1022"/>
      <c r="C2" s="1022"/>
      <c r="D2" s="1022"/>
      <c r="E2" s="1022"/>
      <c r="G2" s="1024"/>
      <c r="H2" s="1024"/>
      <c r="I2" s="50"/>
      <c r="J2" s="50"/>
      <c r="K2" s="51"/>
      <c r="L2" s="52"/>
      <c r="M2" s="51"/>
      <c r="N2" s="50"/>
      <c r="O2" s="50"/>
      <c r="Q2" s="4"/>
    </row>
    <row r="3" spans="1:24" ht="15" customHeight="1" x14ac:dyDescent="0.2">
      <c r="A3" s="1022"/>
      <c r="B3" s="1022"/>
      <c r="C3" s="1022"/>
      <c r="D3" s="1022"/>
      <c r="E3" s="1022"/>
      <c r="G3" s="1024"/>
      <c r="H3" s="1024"/>
    </row>
    <row r="4" spans="1:24" ht="15" customHeight="1" x14ac:dyDescent="0.2">
      <c r="A4" s="618"/>
      <c r="B4" s="618"/>
      <c r="C4" s="618"/>
      <c r="D4" s="618"/>
      <c r="E4" s="618"/>
      <c r="G4" s="619"/>
      <c r="H4" s="619"/>
    </row>
    <row r="5" spans="1:24" ht="15" customHeight="1" x14ac:dyDescent="0.2">
      <c r="A5" s="669"/>
      <c r="B5" s="62" t="s">
        <v>251</v>
      </c>
      <c r="C5" s="669"/>
      <c r="D5" s="669"/>
      <c r="E5" s="669"/>
      <c r="G5" s="1020" t="s">
        <v>202</v>
      </c>
      <c r="H5" s="1020"/>
      <c r="W5" s="1020" t="s">
        <v>187</v>
      </c>
      <c r="X5" s="1020"/>
    </row>
    <row r="6" spans="1:24" ht="15" customHeight="1" x14ac:dyDescent="0.2">
      <c r="A6" s="669"/>
      <c r="C6" s="48"/>
      <c r="E6" s="669"/>
      <c r="G6" s="1020"/>
      <c r="H6" s="1020"/>
      <c r="W6" s="1020"/>
      <c r="X6" s="1020"/>
    </row>
    <row r="7" spans="1:24" ht="15" customHeight="1" x14ac:dyDescent="0.2">
      <c r="A7" s="669"/>
      <c r="B7" s="1023" t="str">
        <f>IF(Step1!K12="New building",Step1!Q12,Step1!K15)</f>
        <v>1-19 Torrington Place</v>
      </c>
      <c r="C7" s="1023"/>
      <c r="D7" s="1023"/>
      <c r="E7" s="669"/>
      <c r="G7" s="1020"/>
      <c r="H7" s="1020"/>
      <c r="I7" s="6"/>
      <c r="J7" s="6"/>
      <c r="W7" s="1020"/>
      <c r="X7" s="1020"/>
    </row>
    <row r="8" spans="1:24" ht="15" customHeight="1" x14ac:dyDescent="0.2">
      <c r="B8" s="89"/>
      <c r="C8" s="48"/>
      <c r="G8" s="498"/>
      <c r="H8" s="498"/>
      <c r="I8" s="6"/>
      <c r="J8" s="6"/>
      <c r="S8" s="498"/>
      <c r="T8" s="498"/>
    </row>
    <row r="9" spans="1:24" ht="15" customHeight="1" x14ac:dyDescent="0.2">
      <c r="B9" s="89"/>
      <c r="C9" s="48"/>
      <c r="G9" s="498"/>
      <c r="H9" s="498"/>
      <c r="I9" s="6"/>
      <c r="J9" s="6"/>
      <c r="S9" s="498"/>
      <c r="T9" s="498"/>
    </row>
    <row r="10" spans="1:24" ht="15" customHeight="1" x14ac:dyDescent="0.3">
      <c r="B10" s="199" t="s">
        <v>329</v>
      </c>
      <c r="C10" s="593"/>
      <c r="G10" s="339" t="s">
        <v>601</v>
      </c>
      <c r="H10" s="575"/>
      <c r="I10" s="307"/>
      <c r="J10" s="307"/>
      <c r="K10" s="308"/>
      <c r="L10" s="308"/>
      <c r="M10" s="308"/>
      <c r="N10" s="576"/>
      <c r="O10" s="575"/>
      <c r="P10" s="726"/>
      <c r="Q10" s="1054" t="s">
        <v>602</v>
      </c>
      <c r="R10" s="1054"/>
      <c r="S10" s="1054"/>
      <c r="T10" s="1054"/>
      <c r="V10" s="1056" t="s">
        <v>600</v>
      </c>
      <c r="W10" s="1056"/>
      <c r="X10" s="1056"/>
    </row>
    <row r="11" spans="1:24" ht="15" customHeight="1" x14ac:dyDescent="0.3">
      <c r="B11" s="590"/>
      <c r="C11" s="593"/>
      <c r="G11" s="579"/>
      <c r="H11" s="579"/>
      <c r="I11" s="579"/>
      <c r="J11" s="579"/>
      <c r="K11" s="579"/>
      <c r="L11" s="579"/>
      <c r="M11" s="579"/>
      <c r="N11" s="579"/>
      <c r="O11" s="579"/>
      <c r="P11" s="727"/>
      <c r="Q11" s="580"/>
      <c r="R11" s="580"/>
      <c r="V11" s="17"/>
      <c r="W11" s="60"/>
      <c r="X11" s="60"/>
    </row>
    <row r="12" spans="1:24" ht="15" customHeight="1" x14ac:dyDescent="0.3">
      <c r="B12" s="199" t="s">
        <v>575</v>
      </c>
      <c r="C12" s="595"/>
      <c r="G12" s="1044" t="s">
        <v>376</v>
      </c>
      <c r="H12" s="1044"/>
      <c r="I12" s="1044"/>
      <c r="J12" s="1044"/>
      <c r="K12" s="1044"/>
      <c r="L12" s="1044"/>
      <c r="M12" s="1055" t="s">
        <v>599</v>
      </c>
      <c r="N12" s="1055"/>
      <c r="O12" s="1055"/>
      <c r="P12" s="426"/>
      <c r="V12" s="17" t="s">
        <v>438</v>
      </c>
      <c r="W12" s="60"/>
      <c r="X12" s="60"/>
    </row>
    <row r="13" spans="1:24" ht="15" customHeight="1" x14ac:dyDescent="0.2">
      <c r="B13" s="596"/>
      <c r="C13" s="597"/>
      <c r="G13" s="1044"/>
      <c r="H13" s="1044"/>
      <c r="I13" s="1044"/>
      <c r="J13" s="1044"/>
      <c r="K13" s="1044"/>
      <c r="L13" s="1044"/>
      <c r="M13" s="743"/>
      <c r="N13" s="1048">
        <f>SimpleF!V42</f>
        <v>0</v>
      </c>
      <c r="O13" s="1045" t="s">
        <v>317</v>
      </c>
      <c r="P13" s="728"/>
      <c r="V13" s="17"/>
      <c r="W13" s="1043" t="s">
        <v>255</v>
      </c>
      <c r="X13" s="1043"/>
    </row>
    <row r="14" spans="1:24" ht="15" customHeight="1" x14ac:dyDescent="0.3">
      <c r="A14" s="483" t="s">
        <v>330</v>
      </c>
      <c r="B14" s="201" t="s">
        <v>574</v>
      </c>
      <c r="C14" s="593"/>
      <c r="E14" s="533"/>
      <c r="G14" s="107"/>
      <c r="H14" s="60"/>
      <c r="I14" s="60"/>
      <c r="J14" s="60"/>
      <c r="K14" s="60"/>
      <c r="L14" s="60"/>
      <c r="M14" s="60"/>
      <c r="N14" s="1048"/>
      <c r="O14" s="1045"/>
      <c r="P14" s="728"/>
      <c r="V14" s="17"/>
      <c r="W14" s="1043"/>
      <c r="X14" s="1043"/>
    </row>
    <row r="15" spans="1:24" ht="15" customHeight="1" x14ac:dyDescent="0.3">
      <c r="B15" s="599"/>
      <c r="C15" s="593"/>
      <c r="G15" s="60"/>
      <c r="H15" s="60"/>
      <c r="I15" s="60"/>
      <c r="J15" s="60"/>
      <c r="K15" s="60"/>
      <c r="L15" s="60"/>
      <c r="M15" s="60"/>
      <c r="N15" s="60"/>
      <c r="O15" s="60"/>
      <c r="P15" s="426"/>
      <c r="V15" s="17"/>
      <c r="W15" s="60"/>
      <c r="X15" s="60"/>
    </row>
    <row r="16" spans="1:24" ht="15" customHeight="1" x14ac:dyDescent="0.3">
      <c r="B16" s="199" t="s">
        <v>576</v>
      </c>
      <c r="C16" s="593"/>
      <c r="G16" s="60"/>
      <c r="H16" s="60"/>
      <c r="I16" s="60"/>
      <c r="J16" s="60"/>
      <c r="K16" s="60"/>
      <c r="L16" s="60"/>
      <c r="M16" s="60"/>
      <c r="N16" s="60"/>
      <c r="O16" s="61"/>
      <c r="P16" s="726"/>
      <c r="V16" s="17"/>
      <c r="W16" s="60"/>
      <c r="X16" s="60"/>
    </row>
    <row r="17" spans="2:34" ht="15" customHeight="1" x14ac:dyDescent="0.3">
      <c r="B17" s="199"/>
      <c r="C17" s="593"/>
      <c r="G17" s="1050" t="s">
        <v>377</v>
      </c>
      <c r="H17" s="1050"/>
      <c r="I17" s="1050"/>
      <c r="J17" s="1050"/>
      <c r="K17" s="1050"/>
      <c r="L17" s="1050"/>
      <c r="M17" s="1050"/>
      <c r="N17" s="69"/>
      <c r="O17" s="60"/>
      <c r="P17" s="426"/>
      <c r="V17" s="17" t="s">
        <v>577</v>
      </c>
      <c r="W17" s="60"/>
      <c r="X17" s="60"/>
    </row>
    <row r="18" spans="2:34" ht="15" customHeight="1" x14ac:dyDescent="0.3">
      <c r="B18" s="199" t="s">
        <v>331</v>
      </c>
      <c r="C18" s="593"/>
      <c r="G18" s="1050"/>
      <c r="H18" s="1050"/>
      <c r="I18" s="1050"/>
      <c r="J18" s="1050"/>
      <c r="K18" s="1050"/>
      <c r="L18" s="1050"/>
      <c r="M18" s="1050"/>
      <c r="N18" s="1048" t="e">
        <f>SimpleV!V42</f>
        <v>#N/A</v>
      </c>
      <c r="O18" s="1045" t="s">
        <v>317</v>
      </c>
      <c r="P18" s="426"/>
      <c r="V18" s="17"/>
      <c r="W18" s="1043" t="s">
        <v>255</v>
      </c>
      <c r="X18" s="1043"/>
    </row>
    <row r="19" spans="2:34" ht="15" customHeight="1" x14ac:dyDescent="0.2">
      <c r="B19" s="120"/>
      <c r="C19" s="48"/>
      <c r="G19" s="107"/>
      <c r="H19" s="60"/>
      <c r="I19" s="60"/>
      <c r="J19" s="108"/>
      <c r="K19" s="60"/>
      <c r="L19" s="60"/>
      <c r="M19" s="60"/>
      <c r="N19" s="1048"/>
      <c r="O19" s="1045"/>
      <c r="P19" s="426"/>
      <c r="V19" s="17"/>
      <c r="W19" s="1043"/>
      <c r="X19" s="1043"/>
    </row>
    <row r="20" spans="2:34" ht="15" customHeight="1" x14ac:dyDescent="0.2">
      <c r="B20" s="120"/>
      <c r="C20" s="48"/>
      <c r="G20" s="107"/>
      <c r="H20" s="109"/>
      <c r="I20" s="60"/>
      <c r="J20" s="60"/>
      <c r="K20" s="60"/>
      <c r="L20" s="60"/>
      <c r="M20" s="60"/>
      <c r="N20" s="60"/>
      <c r="O20" s="60"/>
      <c r="P20" s="426"/>
      <c r="V20" s="492"/>
      <c r="W20" s="60"/>
      <c r="X20" s="60"/>
    </row>
    <row r="21" spans="2:34" ht="15" customHeight="1" x14ac:dyDescent="0.2">
      <c r="B21" s="120"/>
      <c r="C21" s="48"/>
      <c r="G21" s="106"/>
      <c r="H21" s="60"/>
      <c r="I21" s="60"/>
      <c r="J21" s="60"/>
      <c r="K21" s="60"/>
      <c r="L21" s="60"/>
      <c r="M21" s="60"/>
      <c r="N21" s="60"/>
      <c r="O21" s="60"/>
      <c r="P21" s="426"/>
      <c r="V21" s="17"/>
      <c r="W21" s="60"/>
      <c r="X21" s="60"/>
    </row>
    <row r="22" spans="2:34" ht="15" customHeight="1" x14ac:dyDescent="0.2">
      <c r="G22" s="1051" t="s">
        <v>380</v>
      </c>
      <c r="H22" s="1051"/>
      <c r="I22" s="1051"/>
      <c r="J22" s="1051"/>
      <c r="K22" s="1051"/>
      <c r="L22" s="1051"/>
      <c r="M22" s="1051"/>
      <c r="N22" s="69"/>
      <c r="O22" s="60"/>
      <c r="P22" s="426"/>
      <c r="V22" s="17" t="s">
        <v>439</v>
      </c>
      <c r="W22" s="60"/>
      <c r="X22" s="60"/>
    </row>
    <row r="23" spans="2:34" ht="15" customHeight="1" x14ac:dyDescent="0.2">
      <c r="G23" s="1051"/>
      <c r="H23" s="1051"/>
      <c r="I23" s="1051"/>
      <c r="J23" s="1051"/>
      <c r="K23" s="1051"/>
      <c r="L23" s="1051"/>
      <c r="M23" s="1051"/>
      <c r="N23" s="1048" t="e">
        <f>SimpleH!V43</f>
        <v>#N/A</v>
      </c>
      <c r="O23" s="1045" t="s">
        <v>317</v>
      </c>
      <c r="P23" s="426"/>
      <c r="V23" s="17"/>
      <c r="W23" s="1043" t="s">
        <v>255</v>
      </c>
      <c r="X23" s="1043"/>
      <c r="Y23" s="70"/>
    </row>
    <row r="24" spans="2:34" ht="15" customHeight="1" x14ac:dyDescent="0.2">
      <c r="C24" s="48"/>
      <c r="G24" s="107"/>
      <c r="H24" s="60"/>
      <c r="I24" s="60"/>
      <c r="J24" s="60"/>
      <c r="K24" s="60"/>
      <c r="L24" s="60"/>
      <c r="M24" s="60"/>
      <c r="N24" s="1048"/>
      <c r="O24" s="1045"/>
      <c r="P24" s="426"/>
      <c r="V24" s="17"/>
      <c r="W24" s="1043"/>
      <c r="X24" s="1043"/>
    </row>
    <row r="25" spans="2:34" ht="15" customHeight="1" x14ac:dyDescent="0.2">
      <c r="B25" s="62" t="s">
        <v>287</v>
      </c>
      <c r="C25" s="55"/>
      <c r="G25" s="107"/>
      <c r="H25" s="60"/>
      <c r="I25" s="60"/>
      <c r="J25" s="60"/>
      <c r="K25" s="60"/>
      <c r="L25" s="60"/>
      <c r="M25" s="60"/>
      <c r="N25" s="60"/>
      <c r="O25" s="60"/>
      <c r="P25" s="426"/>
      <c r="V25" s="17"/>
      <c r="W25" s="60"/>
      <c r="X25" s="60"/>
    </row>
    <row r="26" spans="2:34" ht="15" customHeight="1" x14ac:dyDescent="0.2">
      <c r="B26" s="1049">
        <f>SimpleStep3!B26</f>
        <v>0</v>
      </c>
      <c r="C26" s="1049"/>
      <c r="D26" s="1049"/>
      <c r="G26" s="60"/>
      <c r="H26" s="60"/>
      <c r="I26" s="60"/>
      <c r="J26" s="60"/>
      <c r="K26" s="60"/>
      <c r="L26" s="60"/>
      <c r="M26" s="60"/>
      <c r="N26" s="60"/>
      <c r="O26" s="60"/>
      <c r="P26" s="426"/>
      <c r="V26" s="17"/>
      <c r="W26" s="60"/>
      <c r="X26" s="60"/>
    </row>
    <row r="27" spans="2:34" ht="15" customHeight="1" x14ac:dyDescent="0.2">
      <c r="B27" s="1049"/>
      <c r="C27" s="1049"/>
      <c r="D27" s="1049"/>
      <c r="G27" s="1052" t="s">
        <v>379</v>
      </c>
      <c r="H27" s="1052"/>
      <c r="I27" s="1052"/>
      <c r="J27" s="1052"/>
      <c r="K27" s="1052"/>
      <c r="L27" s="1052"/>
      <c r="M27" s="1052"/>
      <c r="N27" s="69"/>
      <c r="O27" s="60"/>
      <c r="P27" s="426"/>
      <c r="V27" s="17" t="s">
        <v>440</v>
      </c>
      <c r="W27" s="60"/>
      <c r="X27" s="60"/>
    </row>
    <row r="28" spans="2:34" ht="15" customHeight="1" x14ac:dyDescent="0.2">
      <c r="B28" s="89"/>
      <c r="C28" s="48"/>
      <c r="D28" s="398" t="s">
        <v>486</v>
      </c>
      <c r="G28" s="1052"/>
      <c r="H28" s="1052"/>
      <c r="I28" s="1052"/>
      <c r="J28" s="1052"/>
      <c r="K28" s="1052"/>
      <c r="L28" s="1052"/>
      <c r="M28" s="1052"/>
      <c r="N28" s="1048" t="e">
        <f>SimpleC!V42</f>
        <v>#N/A</v>
      </c>
      <c r="O28" s="1045" t="s">
        <v>317</v>
      </c>
      <c r="P28" s="426"/>
      <c r="V28" s="17"/>
      <c r="W28" s="1043" t="s">
        <v>255</v>
      </c>
      <c r="X28" s="1043"/>
    </row>
    <row r="29" spans="2:34" ht="15" customHeight="1" x14ac:dyDescent="0.2">
      <c r="G29" s="107"/>
      <c r="H29" s="60"/>
      <c r="I29" s="60"/>
      <c r="J29" s="60"/>
      <c r="K29" s="60"/>
      <c r="L29" s="60"/>
      <c r="M29" s="60"/>
      <c r="N29" s="1048"/>
      <c r="O29" s="1045"/>
      <c r="P29" s="426"/>
      <c r="V29" s="17"/>
      <c r="W29" s="1043"/>
      <c r="X29" s="1043"/>
    </row>
    <row r="30" spans="2:34" ht="15" customHeight="1" x14ac:dyDescent="0.2">
      <c r="B30" s="62" t="s">
        <v>546</v>
      </c>
      <c r="C30" s="48"/>
      <c r="G30" s="69"/>
      <c r="H30" s="60"/>
      <c r="I30" s="60"/>
      <c r="J30" s="60"/>
      <c r="K30" s="60"/>
      <c r="L30" s="60"/>
      <c r="M30" s="60"/>
      <c r="N30" s="60"/>
      <c r="O30" s="60"/>
      <c r="P30" s="426"/>
      <c r="V30" s="17"/>
      <c r="W30" s="60"/>
      <c r="X30" s="60"/>
    </row>
    <row r="31" spans="2:34" ht="15" customHeight="1" x14ac:dyDescent="0.2">
      <c r="B31" s="1049">
        <f>SimpleStep3!B31</f>
        <v>0</v>
      </c>
      <c r="C31" s="1049"/>
      <c r="D31" s="1049"/>
      <c r="G31" s="60"/>
      <c r="H31" s="60"/>
      <c r="I31" s="60"/>
      <c r="J31" s="60"/>
      <c r="K31" s="60"/>
      <c r="L31" s="60"/>
      <c r="M31" s="60"/>
      <c r="N31" s="60"/>
      <c r="O31" s="60"/>
      <c r="P31" s="426"/>
      <c r="V31" s="17"/>
      <c r="W31" s="60"/>
      <c r="X31" s="60"/>
      <c r="AH31" s="530"/>
    </row>
    <row r="32" spans="2:34" ht="15" customHeight="1" x14ac:dyDescent="0.2">
      <c r="B32" s="1049"/>
      <c r="C32" s="1049"/>
      <c r="D32" s="1049"/>
      <c r="E32" s="55"/>
      <c r="G32" s="1053" t="s">
        <v>378</v>
      </c>
      <c r="H32" s="1053"/>
      <c r="I32" s="1053"/>
      <c r="J32" s="1053"/>
      <c r="K32" s="1053"/>
      <c r="L32" s="1053"/>
      <c r="M32" s="1053"/>
      <c r="N32" s="69"/>
      <c r="O32" s="60"/>
      <c r="P32" s="426"/>
      <c r="V32" s="17" t="s">
        <v>441</v>
      </c>
      <c r="W32" s="60"/>
      <c r="X32" s="60"/>
      <c r="AH32" s="530"/>
    </row>
    <row r="33" spans="2:33" ht="15" customHeight="1" x14ac:dyDescent="0.2">
      <c r="C33" s="48"/>
      <c r="D33" s="398" t="s">
        <v>487</v>
      </c>
      <c r="G33" s="1053"/>
      <c r="H33" s="1053"/>
      <c r="I33" s="1053"/>
      <c r="J33" s="1053"/>
      <c r="K33" s="1053"/>
      <c r="L33" s="1053"/>
      <c r="M33" s="1053"/>
      <c r="N33" s="1048" t="e">
        <f>SimpleL!V42</f>
        <v>#N/A</v>
      </c>
      <c r="O33" s="1045" t="s">
        <v>317</v>
      </c>
      <c r="P33" s="426"/>
      <c r="V33" s="397"/>
      <c r="W33" s="1043" t="s">
        <v>255</v>
      </c>
      <c r="X33" s="1043"/>
    </row>
    <row r="34" spans="2:33" ht="15" customHeight="1" x14ac:dyDescent="0.2">
      <c r="C34" s="48"/>
      <c r="G34" s="107"/>
      <c r="H34" s="60"/>
      <c r="I34" s="60"/>
      <c r="J34" s="60"/>
      <c r="K34" s="60"/>
      <c r="L34" s="60"/>
      <c r="M34" s="60"/>
      <c r="N34" s="1048"/>
      <c r="O34" s="1045"/>
      <c r="P34" s="426"/>
      <c r="V34" s="397"/>
      <c r="W34" s="1043"/>
      <c r="X34" s="1043"/>
    </row>
    <row r="35" spans="2:33" ht="15" customHeight="1" x14ac:dyDescent="0.2">
      <c r="C35" s="486"/>
      <c r="D35" s="486"/>
      <c r="G35" s="107"/>
      <c r="H35" s="60"/>
      <c r="I35" s="60"/>
      <c r="J35" s="60"/>
      <c r="K35" s="60"/>
      <c r="L35" s="60"/>
      <c r="M35" s="60"/>
      <c r="N35" s="60"/>
      <c r="O35" s="60"/>
      <c r="P35" s="426"/>
      <c r="V35" s="397"/>
      <c r="W35" s="60"/>
      <c r="X35" s="60"/>
    </row>
    <row r="36" spans="2:33" ht="15" customHeight="1" x14ac:dyDescent="0.2">
      <c r="B36" s="89"/>
      <c r="C36" s="48"/>
      <c r="E36" s="55"/>
      <c r="G36" s="578"/>
      <c r="H36" s="578"/>
      <c r="I36" s="105"/>
      <c r="J36" s="105"/>
      <c r="K36" s="60"/>
      <c r="L36" s="60"/>
      <c r="M36" s="60"/>
      <c r="N36" s="60"/>
      <c r="O36" s="61"/>
      <c r="P36" s="726"/>
      <c r="S36" s="498"/>
      <c r="T36" s="498"/>
      <c r="V36" s="397"/>
      <c r="W36" s="60"/>
      <c r="X36" s="60"/>
    </row>
    <row r="37" spans="2:33" ht="15" customHeight="1" x14ac:dyDescent="0.2">
      <c r="B37" s="89"/>
      <c r="C37" s="48"/>
      <c r="G37" s="1047" t="s">
        <v>578</v>
      </c>
      <c r="H37" s="1047"/>
      <c r="I37" s="1047"/>
      <c r="J37" s="1047"/>
      <c r="K37" s="1047"/>
      <c r="L37" s="1047"/>
      <c r="M37" s="1047"/>
      <c r="N37" s="69"/>
      <c r="O37" s="60"/>
      <c r="P37" s="426"/>
      <c r="V37" s="17" t="s">
        <v>581</v>
      </c>
      <c r="W37" s="60"/>
      <c r="X37" s="60"/>
    </row>
    <row r="38" spans="2:33" ht="15" customHeight="1" x14ac:dyDescent="0.2">
      <c r="G38" s="1047"/>
      <c r="H38" s="1047"/>
      <c r="I38" s="1047"/>
      <c r="J38" s="1047"/>
      <c r="K38" s="1047"/>
      <c r="L38" s="1047"/>
      <c r="M38" s="1047"/>
      <c r="N38" s="1048" t="e">
        <f>SimpleBA!V42</f>
        <v>#N/A</v>
      </c>
      <c r="O38" s="1045" t="s">
        <v>317</v>
      </c>
      <c r="P38" s="426"/>
      <c r="V38" s="17"/>
      <c r="W38" s="1043" t="s">
        <v>255</v>
      </c>
      <c r="X38" s="1043"/>
    </row>
    <row r="39" spans="2:33" ht="15" customHeight="1" x14ac:dyDescent="0.2">
      <c r="G39" s="60"/>
      <c r="H39" s="60"/>
      <c r="I39" s="60"/>
      <c r="J39" s="60"/>
      <c r="K39" s="60"/>
      <c r="L39" s="60"/>
      <c r="M39" s="60"/>
      <c r="N39" s="1048"/>
      <c r="O39" s="1045"/>
      <c r="P39" s="426"/>
      <c r="V39" s="17"/>
      <c r="W39" s="1043"/>
      <c r="X39" s="1043"/>
    </row>
    <row r="40" spans="2:33" ht="15" customHeight="1" x14ac:dyDescent="0.2">
      <c r="G40" s="578"/>
      <c r="H40" s="578"/>
      <c r="I40" s="105"/>
      <c r="J40" s="105"/>
      <c r="K40" s="60"/>
      <c r="L40" s="60"/>
      <c r="M40" s="60"/>
      <c r="N40" s="578"/>
      <c r="O40" s="60"/>
      <c r="P40" s="729"/>
      <c r="V40" s="17"/>
      <c r="W40" s="60"/>
      <c r="X40" s="60"/>
    </row>
    <row r="41" spans="2:33" ht="15" customHeight="1" x14ac:dyDescent="0.2">
      <c r="G41" s="60"/>
      <c r="H41" s="60"/>
      <c r="I41" s="60"/>
      <c r="J41" s="60"/>
      <c r="K41" s="60"/>
      <c r="L41" s="60"/>
      <c r="M41" s="60"/>
      <c r="N41" s="60"/>
      <c r="O41" s="60"/>
      <c r="V41" s="397"/>
      <c r="W41" s="60"/>
      <c r="X41" s="60"/>
    </row>
    <row r="42" spans="2:33" ht="15" customHeight="1" x14ac:dyDescent="0.2">
      <c r="G42" s="1047" t="s">
        <v>579</v>
      </c>
      <c r="H42" s="1047"/>
      <c r="I42" s="1047"/>
      <c r="J42" s="1047"/>
      <c r="K42" s="1047"/>
      <c r="L42" s="1047"/>
      <c r="M42" s="1047"/>
      <c r="N42" s="69"/>
      <c r="O42" s="60"/>
      <c r="V42" s="17" t="s">
        <v>582</v>
      </c>
      <c r="W42" s="60"/>
      <c r="X42" s="60"/>
    </row>
    <row r="43" spans="2:33" ht="15" customHeight="1" x14ac:dyDescent="0.2">
      <c r="G43" s="1047"/>
      <c r="H43" s="1047"/>
      <c r="I43" s="1047"/>
      <c r="J43" s="1047"/>
      <c r="K43" s="1047"/>
      <c r="L43" s="1047"/>
      <c r="M43" s="1047"/>
      <c r="N43" s="1048">
        <f>SimpleBA!V48</f>
        <v>0</v>
      </c>
      <c r="O43" s="1045" t="s">
        <v>317</v>
      </c>
      <c r="V43" s="17"/>
      <c r="W43" s="1043" t="s">
        <v>255</v>
      </c>
      <c r="X43" s="1043"/>
    </row>
    <row r="44" spans="2:33" ht="15" customHeight="1" x14ac:dyDescent="0.2">
      <c r="B44" s="89"/>
      <c r="C44" s="48"/>
      <c r="G44" s="60"/>
      <c r="H44" s="60"/>
      <c r="I44" s="60"/>
      <c r="J44" s="60"/>
      <c r="K44" s="60"/>
      <c r="L44" s="60"/>
      <c r="M44" s="60"/>
      <c r="N44" s="1048"/>
      <c r="O44" s="1045"/>
      <c r="V44" s="17"/>
      <c r="W44" s="1043"/>
      <c r="X44" s="1043"/>
    </row>
    <row r="45" spans="2:33" ht="15" customHeight="1" x14ac:dyDescent="0.2">
      <c r="B45" s="89"/>
      <c r="C45" s="48"/>
      <c r="G45" s="578"/>
      <c r="H45" s="578"/>
      <c r="I45" s="105"/>
      <c r="J45" s="105"/>
      <c r="K45" s="60"/>
      <c r="L45" s="60"/>
      <c r="M45" s="60"/>
      <c r="N45" s="578"/>
      <c r="O45" s="60"/>
      <c r="V45" s="17"/>
      <c r="W45" s="60"/>
      <c r="X45" s="60"/>
    </row>
    <row r="46" spans="2:33" ht="15" customHeight="1" x14ac:dyDescent="0.2">
      <c r="B46" s="89"/>
      <c r="C46" s="48"/>
      <c r="G46" s="60"/>
      <c r="H46" s="60"/>
      <c r="I46" s="60"/>
      <c r="J46" s="60"/>
      <c r="K46" s="60"/>
      <c r="L46" s="60"/>
      <c r="M46" s="60"/>
      <c r="N46" s="60"/>
      <c r="O46" s="60"/>
      <c r="V46" s="397"/>
      <c r="W46" s="60"/>
      <c r="X46" s="60"/>
    </row>
    <row r="47" spans="2:33" ht="15" customHeight="1" x14ac:dyDescent="0.2">
      <c r="G47" s="1047" t="s">
        <v>580</v>
      </c>
      <c r="H47" s="1047"/>
      <c r="I47" s="1047"/>
      <c r="J47" s="1047"/>
      <c r="K47" s="1047"/>
      <c r="L47" s="1047"/>
      <c r="M47" s="1047"/>
      <c r="N47" s="69"/>
      <c r="O47" s="60"/>
      <c r="V47" s="17" t="s">
        <v>583</v>
      </c>
      <c r="W47" s="60"/>
      <c r="X47" s="60"/>
      <c r="AG47" s="436"/>
    </row>
    <row r="48" spans="2:33" ht="15" customHeight="1" x14ac:dyDescent="0.2">
      <c r="G48" s="1047"/>
      <c r="H48" s="1047"/>
      <c r="I48" s="1047"/>
      <c r="J48" s="1047"/>
      <c r="K48" s="1047"/>
      <c r="L48" s="1047"/>
      <c r="M48" s="1047"/>
      <c r="N48" s="1048">
        <f>SimpleBA!V53</f>
        <v>0</v>
      </c>
      <c r="O48" s="1045" t="s">
        <v>317</v>
      </c>
      <c r="Q48" s="1046" t="s">
        <v>316</v>
      </c>
      <c r="R48" s="1046"/>
      <c r="S48" s="1046"/>
      <c r="T48" s="1046"/>
      <c r="V48" s="17"/>
      <c r="W48" s="1043" t="s">
        <v>255</v>
      </c>
      <c r="X48" s="1043"/>
    </row>
    <row r="49" spans="7:24" ht="15" customHeight="1" x14ac:dyDescent="0.2">
      <c r="G49" s="60"/>
      <c r="H49" s="60"/>
      <c r="I49" s="60"/>
      <c r="J49" s="60"/>
      <c r="K49" s="60"/>
      <c r="L49" s="60"/>
      <c r="M49" s="60"/>
      <c r="N49" s="1048"/>
      <c r="O49" s="1045"/>
      <c r="Q49" s="532" t="s">
        <v>604</v>
      </c>
      <c r="R49" s="397"/>
      <c r="S49" s="909" t="e">
        <f>J72</f>
        <v>#N/A</v>
      </c>
      <c r="T49" s="910" t="s">
        <v>542</v>
      </c>
      <c r="V49" s="17"/>
      <c r="W49" s="1043"/>
      <c r="X49" s="1043"/>
    </row>
    <row r="50" spans="7:24" ht="15" customHeight="1" x14ac:dyDescent="0.2">
      <c r="G50" s="578"/>
      <c r="H50" s="578"/>
      <c r="I50" s="105"/>
      <c r="J50" s="105"/>
      <c r="K50" s="60"/>
      <c r="L50" s="60"/>
      <c r="M50" s="60"/>
      <c r="N50" s="578"/>
      <c r="O50" s="60"/>
      <c r="Q50" s="906" t="s">
        <v>606</v>
      </c>
      <c r="R50" s="864"/>
      <c r="S50" s="907" t="e">
        <f>J73</f>
        <v>#N/A</v>
      </c>
      <c r="T50" s="908" t="s">
        <v>542</v>
      </c>
      <c r="V50" s="17"/>
      <c r="W50" s="60"/>
      <c r="X50" s="60"/>
    </row>
    <row r="53" spans="7:24" ht="15" customHeight="1" x14ac:dyDescent="0.2">
      <c r="P53" s="1"/>
      <c r="R53" s="1"/>
    </row>
    <row r="54" spans="7:24" ht="15" customHeight="1" x14ac:dyDescent="0.2">
      <c r="P54" s="1"/>
      <c r="R54" s="1"/>
    </row>
    <row r="70" spans="7:36" ht="15" hidden="1" customHeight="1" x14ac:dyDescent="0.2">
      <c r="G70" s="30"/>
      <c r="H70" s="14"/>
      <c r="I70" s="14"/>
      <c r="J70" s="14"/>
      <c r="K70" s="40">
        <v>0</v>
      </c>
      <c r="L70" s="40">
        <v>1</v>
      </c>
      <c r="M70" s="40">
        <v>2</v>
      </c>
      <c r="N70" s="40">
        <v>3</v>
      </c>
      <c r="O70" s="40">
        <v>4</v>
      </c>
      <c r="P70" s="40">
        <v>5</v>
      </c>
      <c r="Q70" s="40">
        <v>6</v>
      </c>
      <c r="R70" s="40">
        <v>7</v>
      </c>
      <c r="S70" s="40">
        <v>8</v>
      </c>
      <c r="T70" s="40">
        <v>9</v>
      </c>
      <c r="U70" s="40">
        <v>10</v>
      </c>
      <c r="V70" s="40">
        <v>11</v>
      </c>
      <c r="W70" s="40">
        <v>12</v>
      </c>
      <c r="X70" s="40">
        <v>13</v>
      </c>
      <c r="Y70" s="40">
        <v>14</v>
      </c>
      <c r="Z70" s="40">
        <v>15</v>
      </c>
      <c r="AA70" s="40">
        <v>16</v>
      </c>
      <c r="AB70" s="40">
        <v>17</v>
      </c>
      <c r="AC70" s="40">
        <v>18</v>
      </c>
      <c r="AD70" s="40">
        <v>19</v>
      </c>
      <c r="AE70" s="40">
        <v>20</v>
      </c>
      <c r="AF70" s="40">
        <v>21</v>
      </c>
      <c r="AG70" s="40">
        <v>22</v>
      </c>
      <c r="AH70" s="40">
        <v>23</v>
      </c>
      <c r="AI70" s="40">
        <v>24</v>
      </c>
      <c r="AJ70" s="40">
        <v>25</v>
      </c>
    </row>
    <row r="71" spans="7:36" ht="15" hidden="1" customHeight="1" x14ac:dyDescent="0.2">
      <c r="G71" s="14"/>
      <c r="H71" s="14"/>
      <c r="I71" s="14"/>
      <c r="J71" s="14"/>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row>
    <row r="72" spans="7:36" ht="15" hidden="1" customHeight="1" x14ac:dyDescent="0.2">
      <c r="G72" s="14" t="s">
        <v>603</v>
      </c>
      <c r="H72" s="69"/>
      <c r="I72" s="69"/>
      <c r="J72" s="196" t="e">
        <f>INDEX(K$70:AJ$70,MATCH(TRUE,INDEX(K72:AJ72&lt;&gt;0,),0))</f>
        <v>#N/A</v>
      </c>
      <c r="K72" s="69">
        <f>IF(K70&lt;$Q$19,0,IF(K97&lt;K85,1,0))</f>
        <v>0</v>
      </c>
      <c r="L72" s="69">
        <f t="shared" ref="L72:AJ72" si="0">IF(L70&lt;$Q$19,0,IF(L97&lt;L85,1,0))</f>
        <v>0</v>
      </c>
      <c r="M72" s="69">
        <f t="shared" si="0"/>
        <v>0</v>
      </c>
      <c r="N72" s="69">
        <f t="shared" si="0"/>
        <v>0</v>
      </c>
      <c r="O72" s="69">
        <f t="shared" si="0"/>
        <v>0</v>
      </c>
      <c r="P72" s="69">
        <f t="shared" si="0"/>
        <v>0</v>
      </c>
      <c r="Q72" s="69">
        <f t="shared" si="0"/>
        <v>0</v>
      </c>
      <c r="R72" s="69">
        <f t="shared" si="0"/>
        <v>0</v>
      </c>
      <c r="S72" s="69">
        <f t="shared" si="0"/>
        <v>0</v>
      </c>
      <c r="T72" s="69">
        <f t="shared" si="0"/>
        <v>0</v>
      </c>
      <c r="U72" s="69">
        <f t="shared" si="0"/>
        <v>0</v>
      </c>
      <c r="V72" s="69">
        <f t="shared" si="0"/>
        <v>0</v>
      </c>
      <c r="W72" s="69">
        <f t="shared" si="0"/>
        <v>0</v>
      </c>
      <c r="X72" s="69">
        <f t="shared" si="0"/>
        <v>0</v>
      </c>
      <c r="Y72" s="69">
        <f t="shared" si="0"/>
        <v>0</v>
      </c>
      <c r="Z72" s="69">
        <f t="shared" si="0"/>
        <v>0</v>
      </c>
      <c r="AA72" s="69">
        <f t="shared" si="0"/>
        <v>0</v>
      </c>
      <c r="AB72" s="69">
        <f t="shared" si="0"/>
        <v>0</v>
      </c>
      <c r="AC72" s="69">
        <f t="shared" si="0"/>
        <v>0</v>
      </c>
      <c r="AD72" s="69">
        <f t="shared" si="0"/>
        <v>0</v>
      </c>
      <c r="AE72" s="69">
        <f t="shared" si="0"/>
        <v>0</v>
      </c>
      <c r="AF72" s="69">
        <f t="shared" si="0"/>
        <v>0</v>
      </c>
      <c r="AG72" s="69">
        <f t="shared" si="0"/>
        <v>0</v>
      </c>
      <c r="AH72" s="69">
        <f t="shared" si="0"/>
        <v>0</v>
      </c>
      <c r="AI72" s="69">
        <f t="shared" si="0"/>
        <v>0</v>
      </c>
      <c r="AJ72" s="69">
        <f t="shared" si="0"/>
        <v>0</v>
      </c>
    </row>
    <row r="73" spans="7:36" ht="15" hidden="1" customHeight="1" x14ac:dyDescent="0.2">
      <c r="G73" s="14" t="s">
        <v>605</v>
      </c>
      <c r="H73" s="69"/>
      <c r="I73" s="69"/>
      <c r="J73" s="196" t="e">
        <f>INDEX(K$70:AJ$70,MATCH(TRUE,INDEX(K73:AJ73&lt;&gt;0,),0))</f>
        <v>#N/A</v>
      </c>
      <c r="K73" s="69">
        <f>IF(K71&lt;$Q$19,0,IF(K109&lt;K85,1,0))</f>
        <v>0</v>
      </c>
      <c r="L73" s="69">
        <f t="shared" ref="L73:AJ73" si="1">IF(L71&lt;$Q$19,0,IF(L109&lt;L85,1,0))</f>
        <v>0</v>
      </c>
      <c r="M73" s="69">
        <f t="shared" si="1"/>
        <v>0</v>
      </c>
      <c r="N73" s="69">
        <f t="shared" si="1"/>
        <v>0</v>
      </c>
      <c r="O73" s="69">
        <f t="shared" si="1"/>
        <v>0</v>
      </c>
      <c r="P73" s="69">
        <f t="shared" si="1"/>
        <v>0</v>
      </c>
      <c r="Q73" s="69">
        <f t="shared" si="1"/>
        <v>0</v>
      </c>
      <c r="R73" s="69">
        <f t="shared" si="1"/>
        <v>0</v>
      </c>
      <c r="S73" s="69">
        <f t="shared" si="1"/>
        <v>0</v>
      </c>
      <c r="T73" s="69">
        <f t="shared" si="1"/>
        <v>0</v>
      </c>
      <c r="U73" s="69">
        <f t="shared" si="1"/>
        <v>0</v>
      </c>
      <c r="V73" s="69">
        <f t="shared" si="1"/>
        <v>0</v>
      </c>
      <c r="W73" s="69">
        <f t="shared" si="1"/>
        <v>0</v>
      </c>
      <c r="X73" s="69">
        <f t="shared" si="1"/>
        <v>0</v>
      </c>
      <c r="Y73" s="69">
        <f t="shared" si="1"/>
        <v>0</v>
      </c>
      <c r="Z73" s="69">
        <f t="shared" si="1"/>
        <v>0</v>
      </c>
      <c r="AA73" s="69">
        <f t="shared" si="1"/>
        <v>0</v>
      </c>
      <c r="AB73" s="69">
        <f t="shared" si="1"/>
        <v>0</v>
      </c>
      <c r="AC73" s="69">
        <f t="shared" si="1"/>
        <v>0</v>
      </c>
      <c r="AD73" s="69">
        <f t="shared" si="1"/>
        <v>0</v>
      </c>
      <c r="AE73" s="69">
        <f t="shared" si="1"/>
        <v>0</v>
      </c>
      <c r="AF73" s="69">
        <f t="shared" si="1"/>
        <v>0</v>
      </c>
      <c r="AG73" s="69">
        <f t="shared" si="1"/>
        <v>0</v>
      </c>
      <c r="AH73" s="69">
        <f t="shared" si="1"/>
        <v>0</v>
      </c>
      <c r="AI73" s="69">
        <f t="shared" si="1"/>
        <v>0</v>
      </c>
      <c r="AJ73" s="69">
        <f t="shared" si="1"/>
        <v>0</v>
      </c>
    </row>
    <row r="74" spans="7:36" ht="15" hidden="1" customHeight="1" x14ac:dyDescent="0.2"/>
    <row r="75" spans="7:36" ht="15" hidden="1" customHeight="1" x14ac:dyDescent="0.2">
      <c r="G75" s="815" t="s">
        <v>290</v>
      </c>
      <c r="H75" s="60"/>
      <c r="I75" s="60"/>
      <c r="J75" s="60"/>
      <c r="K75" s="60"/>
      <c r="L75" s="60"/>
      <c r="M75" s="60"/>
      <c r="N75" s="60"/>
      <c r="O75" s="60"/>
      <c r="P75" s="734"/>
      <c r="Q75" s="60"/>
      <c r="R75" s="61"/>
      <c r="S75" s="60"/>
      <c r="T75" s="60"/>
      <c r="U75" s="60"/>
      <c r="V75" s="60"/>
      <c r="W75" s="60"/>
      <c r="X75" s="60"/>
      <c r="Y75" s="60"/>
      <c r="Z75" s="60"/>
      <c r="AA75" s="60"/>
      <c r="AB75" s="60"/>
      <c r="AC75" s="60"/>
      <c r="AD75" s="60"/>
      <c r="AE75" s="60"/>
      <c r="AF75" s="60"/>
      <c r="AG75" s="60"/>
      <c r="AH75" s="60"/>
      <c r="AI75" s="60"/>
      <c r="AJ75" s="60"/>
    </row>
    <row r="76" spans="7:36" ht="15" hidden="1" customHeight="1" x14ac:dyDescent="0.2">
      <c r="G76" s="69" t="s">
        <v>584</v>
      </c>
      <c r="H76" s="60"/>
      <c r="I76" s="60"/>
      <c r="J76" s="60"/>
      <c r="K76" s="31">
        <f>IF($W$13="Yes",SimpleF!K112,0)</f>
        <v>0</v>
      </c>
      <c r="L76" s="31">
        <f>IF($W$13="Yes",SimpleF!L112,0)</f>
        <v>0</v>
      </c>
      <c r="M76" s="31">
        <f>IF($W$13="Yes",SimpleF!M112,0)</f>
        <v>0</v>
      </c>
      <c r="N76" s="31">
        <f>IF($W$13="Yes",SimpleF!N112,0)</f>
        <v>0</v>
      </c>
      <c r="O76" s="31">
        <f>IF($W$13="Yes",SimpleF!O112,0)</f>
        <v>0</v>
      </c>
      <c r="P76" s="31">
        <f>IF($W$13="Yes",SimpleF!P112,0)</f>
        <v>0</v>
      </c>
      <c r="Q76" s="31">
        <f>IF($W$13="Yes",SimpleF!Q112,0)</f>
        <v>0</v>
      </c>
      <c r="R76" s="31">
        <f>IF($W$13="Yes",SimpleF!R112,0)</f>
        <v>0</v>
      </c>
      <c r="S76" s="31">
        <f>IF($W$13="Yes",SimpleF!S112,0)</f>
        <v>0</v>
      </c>
      <c r="T76" s="31">
        <f>IF($W$13="Yes",SimpleF!T112,0)</f>
        <v>0</v>
      </c>
      <c r="U76" s="31">
        <f>IF($W$13="Yes",SimpleF!U112,0)</f>
        <v>0</v>
      </c>
      <c r="V76" s="31">
        <f>IF($W$13="Yes",SimpleF!V112,0)</f>
        <v>0</v>
      </c>
      <c r="W76" s="31">
        <f>IF($W$13="Yes",SimpleF!W112,0)</f>
        <v>0</v>
      </c>
      <c r="X76" s="31">
        <f>IF($W$13="Yes",SimpleF!X112,0)</f>
        <v>0</v>
      </c>
      <c r="Y76" s="31">
        <f>IF($W$13="Yes",SimpleF!Y112,0)</f>
        <v>0</v>
      </c>
      <c r="Z76" s="31">
        <f>IF($W$13="Yes",SimpleF!Z112,0)</f>
        <v>0</v>
      </c>
      <c r="AA76" s="31">
        <f>IF($W$13="Yes",SimpleF!AA112,0)</f>
        <v>0</v>
      </c>
      <c r="AB76" s="31">
        <f>IF($W$13="Yes",SimpleF!AB112,0)</f>
        <v>0</v>
      </c>
      <c r="AC76" s="31">
        <f>IF($W$13="Yes",SimpleF!AC112,0)</f>
        <v>0</v>
      </c>
      <c r="AD76" s="31">
        <f>IF($W$13="Yes",SimpleF!AD112,0)</f>
        <v>0</v>
      </c>
      <c r="AE76" s="31">
        <f>IF($W$13="Yes",SimpleF!AE112,0)</f>
        <v>0</v>
      </c>
      <c r="AF76" s="31">
        <f>IF($W$13="Yes",SimpleF!AF112,0)</f>
        <v>0</v>
      </c>
      <c r="AG76" s="31">
        <f>IF($W$13="Yes",SimpleF!AG112,0)</f>
        <v>0</v>
      </c>
      <c r="AH76" s="31">
        <f>IF($W$13="Yes",SimpleF!AH112,0)</f>
        <v>0</v>
      </c>
      <c r="AI76" s="31">
        <f>IF($W$13="Yes",SimpleF!AI112,0)</f>
        <v>0</v>
      </c>
      <c r="AJ76" s="31">
        <f>IF($W$13="Yes",SimpleF!AJ112,0)</f>
        <v>0</v>
      </c>
    </row>
    <row r="77" spans="7:36" ht="15" hidden="1" customHeight="1" x14ac:dyDescent="0.2">
      <c r="G77" s="731" t="s">
        <v>557</v>
      </c>
      <c r="H77" s="60"/>
      <c r="I77" s="60"/>
      <c r="J77" s="60"/>
      <c r="K77" s="735">
        <f>IF($W$18="Yes",SimpleV!K112,0)</f>
        <v>0</v>
      </c>
      <c r="L77" s="735">
        <f>IF($W$18="Yes",SimpleV!L112,0)</f>
        <v>0</v>
      </c>
      <c r="M77" s="735">
        <f>IF($W$18="Yes",SimpleV!M112,0)</f>
        <v>0</v>
      </c>
      <c r="N77" s="735">
        <f>IF($W$18="Yes",SimpleV!N112,0)</f>
        <v>0</v>
      </c>
      <c r="O77" s="735">
        <f>IF($W$18="Yes",SimpleV!O112,0)</f>
        <v>0</v>
      </c>
      <c r="P77" s="735">
        <f>IF($W$18="Yes",SimpleV!P112,0)</f>
        <v>0</v>
      </c>
      <c r="Q77" s="735">
        <f>IF($W$18="Yes",SimpleV!Q112,0)</f>
        <v>0</v>
      </c>
      <c r="R77" s="735">
        <f>IF($W$18="Yes",SimpleV!R112,0)</f>
        <v>0</v>
      </c>
      <c r="S77" s="735">
        <f>IF($W$18="Yes",SimpleV!S112,0)</f>
        <v>0</v>
      </c>
      <c r="T77" s="735">
        <f>IF($W$18="Yes",SimpleV!T112,0)</f>
        <v>0</v>
      </c>
      <c r="U77" s="735">
        <f>IF($W$18="Yes",SimpleV!U112,0)</f>
        <v>0</v>
      </c>
      <c r="V77" s="735">
        <f>IF($W$18="Yes",SimpleV!V112,0)</f>
        <v>0</v>
      </c>
      <c r="W77" s="735">
        <f>IF($W$18="Yes",SimpleV!W112,0)</f>
        <v>0</v>
      </c>
      <c r="X77" s="735">
        <f>IF($W$18="Yes",SimpleV!X112,0)</f>
        <v>0</v>
      </c>
      <c r="Y77" s="735">
        <f>IF($W$18="Yes",SimpleV!Y112,0)</f>
        <v>0</v>
      </c>
      <c r="Z77" s="735">
        <f>IF($W$18="Yes",SimpleV!Z112,0)</f>
        <v>0</v>
      </c>
      <c r="AA77" s="735">
        <f>IF($W$18="Yes",SimpleV!AA112,0)</f>
        <v>0</v>
      </c>
      <c r="AB77" s="735">
        <f>IF($W$18="Yes",SimpleV!AB112,0)</f>
        <v>0</v>
      </c>
      <c r="AC77" s="735">
        <f>IF($W$18="Yes",SimpleV!AC112,0)</f>
        <v>0</v>
      </c>
      <c r="AD77" s="735">
        <f>IF($W$18="Yes",SimpleV!AD112,0)</f>
        <v>0</v>
      </c>
      <c r="AE77" s="735">
        <f>IF($W$18="Yes",SimpleV!AE112,0)</f>
        <v>0</v>
      </c>
      <c r="AF77" s="735">
        <f>IF($W$18="Yes",SimpleV!AF112,0)</f>
        <v>0</v>
      </c>
      <c r="AG77" s="735">
        <f>IF($W$18="Yes",SimpleV!AG112,0)</f>
        <v>0</v>
      </c>
      <c r="AH77" s="735">
        <f>IF($W$18="Yes",SimpleV!AH112,0)</f>
        <v>0</v>
      </c>
      <c r="AI77" s="735">
        <f>IF($W$18="Yes",SimpleV!AI112,0)</f>
        <v>0</v>
      </c>
      <c r="AJ77" s="735">
        <f>IF($W$18="Yes",SimpleV!AJ112,0)</f>
        <v>0</v>
      </c>
    </row>
    <row r="78" spans="7:36" ht="15" hidden="1" customHeight="1" x14ac:dyDescent="0.2">
      <c r="G78" s="732" t="s">
        <v>454</v>
      </c>
      <c r="H78" s="60"/>
      <c r="I78" s="60"/>
      <c r="J78" s="60"/>
      <c r="K78" s="736">
        <f>IF($W$23="Yes",SimpleH!K115,0)</f>
        <v>0</v>
      </c>
      <c r="L78" s="736">
        <f>IF($W$23="Yes",SimpleH!L115,0)</f>
        <v>0</v>
      </c>
      <c r="M78" s="736">
        <f>IF($W$23="Yes",SimpleH!M115,0)</f>
        <v>0</v>
      </c>
      <c r="N78" s="736">
        <f>IF($W$23="Yes",SimpleH!N115,0)</f>
        <v>0</v>
      </c>
      <c r="O78" s="736">
        <f>IF($W$23="Yes",SimpleH!O115,0)</f>
        <v>0</v>
      </c>
      <c r="P78" s="736">
        <f>IF($W$23="Yes",SimpleH!P115,0)</f>
        <v>0</v>
      </c>
      <c r="Q78" s="736">
        <f>IF($W$23="Yes",SimpleH!Q115,0)</f>
        <v>0</v>
      </c>
      <c r="R78" s="736">
        <f>IF($W$23="Yes",SimpleH!R115,0)</f>
        <v>0</v>
      </c>
      <c r="S78" s="736">
        <f>IF($W$23="Yes",SimpleH!S115,0)</f>
        <v>0</v>
      </c>
      <c r="T78" s="736">
        <f>IF($W$23="Yes",SimpleH!T115,0)</f>
        <v>0</v>
      </c>
      <c r="U78" s="736">
        <f>IF($W$23="Yes",SimpleH!U115,0)</f>
        <v>0</v>
      </c>
      <c r="V78" s="736">
        <f>IF($W$23="Yes",SimpleH!V115,0)</f>
        <v>0</v>
      </c>
      <c r="W78" s="736">
        <f>IF($W$23="Yes",SimpleH!W115,0)</f>
        <v>0</v>
      </c>
      <c r="X78" s="736">
        <f>IF($W$23="Yes",SimpleH!X115,0)</f>
        <v>0</v>
      </c>
      <c r="Y78" s="736">
        <f>IF($W$23="Yes",SimpleH!Y115,0)</f>
        <v>0</v>
      </c>
      <c r="Z78" s="736">
        <f>IF($W$23="Yes",SimpleH!Z115,0)</f>
        <v>0</v>
      </c>
      <c r="AA78" s="736">
        <f>IF($W$23="Yes",SimpleH!AA115,0)</f>
        <v>0</v>
      </c>
      <c r="AB78" s="736">
        <f>IF($W$23="Yes",SimpleH!AB115,0)</f>
        <v>0</v>
      </c>
      <c r="AC78" s="736">
        <f>IF($W$23="Yes",SimpleH!AC115,0)</f>
        <v>0</v>
      </c>
      <c r="AD78" s="736">
        <f>IF($W$23="Yes",SimpleH!AD115,0)</f>
        <v>0</v>
      </c>
      <c r="AE78" s="736">
        <f>IF($W$23="Yes",SimpleH!AE115,0)</f>
        <v>0</v>
      </c>
      <c r="AF78" s="736">
        <f>IF($W$23="Yes",SimpleH!AF115,0)</f>
        <v>0</v>
      </c>
      <c r="AG78" s="736">
        <f>IF($W$23="Yes",SimpleH!AG115,0)</f>
        <v>0</v>
      </c>
      <c r="AH78" s="736">
        <f>IF($W$23="Yes",SimpleH!AH115,0)</f>
        <v>0</v>
      </c>
      <c r="AI78" s="736">
        <f>IF($W$23="Yes",SimpleH!AI115,0)</f>
        <v>0</v>
      </c>
      <c r="AJ78" s="736">
        <f>IF($W$23="Yes",SimpleH!AJ115,0)</f>
        <v>0</v>
      </c>
    </row>
    <row r="79" spans="7:36" ht="15" hidden="1" customHeight="1" x14ac:dyDescent="0.2">
      <c r="G79" s="108" t="s">
        <v>585</v>
      </c>
      <c r="H79" s="60"/>
      <c r="I79" s="60"/>
      <c r="J79" s="60"/>
      <c r="K79" s="737">
        <f>IF($W$28="Yes",SimpleC!K$112,0)</f>
        <v>0</v>
      </c>
      <c r="L79" s="737">
        <f>IF($W$28="Yes",SimpleC!L$112,0)</f>
        <v>0</v>
      </c>
      <c r="M79" s="737">
        <f>IF($W$28="Yes",SimpleC!M$112,0)</f>
        <v>0</v>
      </c>
      <c r="N79" s="737">
        <f>IF($W$28="Yes",SimpleC!N$112,0)</f>
        <v>0</v>
      </c>
      <c r="O79" s="737">
        <f>IF($W$28="Yes",SimpleC!O$112,0)</f>
        <v>0</v>
      </c>
      <c r="P79" s="737">
        <f>IF($W$28="Yes",SimpleC!P$112,0)</f>
        <v>0</v>
      </c>
      <c r="Q79" s="737">
        <f>IF($W$28="Yes",SimpleC!Q$112,0)</f>
        <v>0</v>
      </c>
      <c r="R79" s="737">
        <f>IF($W$28="Yes",SimpleC!R$112,0)</f>
        <v>0</v>
      </c>
      <c r="S79" s="737">
        <f>IF($W$28="Yes",SimpleC!S$112,0)</f>
        <v>0</v>
      </c>
      <c r="T79" s="737">
        <f>IF($W$28="Yes",SimpleC!T$112,0)</f>
        <v>0</v>
      </c>
      <c r="U79" s="737">
        <f>IF($W$28="Yes",SimpleC!U$112,0)</f>
        <v>0</v>
      </c>
      <c r="V79" s="737">
        <f>IF($W$28="Yes",SimpleC!V$112,0)</f>
        <v>0</v>
      </c>
      <c r="W79" s="737">
        <f>IF($W$28="Yes",SimpleC!W$112,0)</f>
        <v>0</v>
      </c>
      <c r="X79" s="737">
        <f>IF($W$28="Yes",SimpleC!X$112,0)</f>
        <v>0</v>
      </c>
      <c r="Y79" s="737">
        <f>IF($W$28="Yes",SimpleC!Y$112,0)</f>
        <v>0</v>
      </c>
      <c r="Z79" s="737">
        <f>IF($W$28="Yes",SimpleC!Z$112,0)</f>
        <v>0</v>
      </c>
      <c r="AA79" s="737">
        <f>IF($W$28="Yes",SimpleC!AA$112,0)</f>
        <v>0</v>
      </c>
      <c r="AB79" s="737">
        <f>IF($W$28="Yes",SimpleC!AB$112,0)</f>
        <v>0</v>
      </c>
      <c r="AC79" s="737">
        <f>IF($W$28="Yes",SimpleC!AC$112,0)</f>
        <v>0</v>
      </c>
      <c r="AD79" s="737">
        <f>IF($W$28="Yes",SimpleC!AD$112,0)</f>
        <v>0</v>
      </c>
      <c r="AE79" s="737">
        <f>IF($W$28="Yes",SimpleC!AE$112,0)</f>
        <v>0</v>
      </c>
      <c r="AF79" s="737">
        <f>IF($W$28="Yes",SimpleC!AF$112,0)</f>
        <v>0</v>
      </c>
      <c r="AG79" s="737">
        <f>IF($W$28="Yes",SimpleC!AG$112,0)</f>
        <v>0</v>
      </c>
      <c r="AH79" s="737">
        <f>IF($W$28="Yes",SimpleC!AH$112,0)</f>
        <v>0</v>
      </c>
      <c r="AI79" s="737">
        <f>IF($W$28="Yes",SimpleC!AI$112,0)</f>
        <v>0</v>
      </c>
      <c r="AJ79" s="737">
        <f>IF($W$28="Yes",SimpleC!AJ$112,0)</f>
        <v>0</v>
      </c>
    </row>
    <row r="80" spans="7:36" ht="15" hidden="1" customHeight="1" x14ac:dyDescent="0.2">
      <c r="G80" s="733" t="s">
        <v>20</v>
      </c>
      <c r="H80" s="60"/>
      <c r="I80" s="60"/>
      <c r="J80" s="60"/>
      <c r="K80" s="738">
        <f>IF($W$33="Yes",SimpleL!K112,0)</f>
        <v>0</v>
      </c>
      <c r="L80" s="738">
        <f>IF($W$33="Yes",SimpleL!L112,0)</f>
        <v>0</v>
      </c>
      <c r="M80" s="738">
        <f>IF($W$33="Yes",SimpleL!M112,0)</f>
        <v>0</v>
      </c>
      <c r="N80" s="738">
        <f>IF($W$33="Yes",SimpleL!N112,0)</f>
        <v>0</v>
      </c>
      <c r="O80" s="738">
        <f>IF($W$33="Yes",SimpleL!O112,0)</f>
        <v>0</v>
      </c>
      <c r="P80" s="738">
        <f>IF($W$33="Yes",SimpleL!P112,0)</f>
        <v>0</v>
      </c>
      <c r="Q80" s="738">
        <f>IF($W$33="Yes",SimpleL!Q112,0)</f>
        <v>0</v>
      </c>
      <c r="R80" s="738">
        <f>IF($W$33="Yes",SimpleL!R112,0)</f>
        <v>0</v>
      </c>
      <c r="S80" s="738">
        <f>IF($W$33="Yes",SimpleL!S112,0)</f>
        <v>0</v>
      </c>
      <c r="T80" s="738">
        <f>IF($W$33="Yes",SimpleL!T112,0)</f>
        <v>0</v>
      </c>
      <c r="U80" s="738">
        <f>IF($W$33="Yes",SimpleL!U112,0)</f>
        <v>0</v>
      </c>
      <c r="V80" s="738">
        <f>IF($W$33="Yes",SimpleL!V112,0)</f>
        <v>0</v>
      </c>
      <c r="W80" s="738">
        <f>IF($W$33="Yes",SimpleL!W112,0)</f>
        <v>0</v>
      </c>
      <c r="X80" s="738">
        <f>IF($W$33="Yes",SimpleL!X112,0)</f>
        <v>0</v>
      </c>
      <c r="Y80" s="738">
        <f>IF($W$33="Yes",SimpleL!Y112,0)</f>
        <v>0</v>
      </c>
      <c r="Z80" s="738">
        <f>IF($W$33="Yes",SimpleL!Z112,0)</f>
        <v>0</v>
      </c>
      <c r="AA80" s="738">
        <f>IF($W$33="Yes",SimpleL!AA112,0)</f>
        <v>0</v>
      </c>
      <c r="AB80" s="738">
        <f>IF($W$33="Yes",SimpleL!AB112,0)</f>
        <v>0</v>
      </c>
      <c r="AC80" s="738">
        <f>IF($W$33="Yes",SimpleL!AC112,0)</f>
        <v>0</v>
      </c>
      <c r="AD80" s="738">
        <f>IF($W$33="Yes",SimpleL!AD112,0)</f>
        <v>0</v>
      </c>
      <c r="AE80" s="738">
        <f>IF($W$33="Yes",SimpleL!AE112,0)</f>
        <v>0</v>
      </c>
      <c r="AF80" s="738">
        <f>IF($W$33="Yes",SimpleL!AF112,0)</f>
        <v>0</v>
      </c>
      <c r="AG80" s="738">
        <f>IF($W$33="Yes",SimpleL!AG112,0)</f>
        <v>0</v>
      </c>
      <c r="AH80" s="738">
        <f>IF($W$33="Yes",SimpleL!AH112,0)</f>
        <v>0</v>
      </c>
      <c r="AI80" s="738">
        <f>IF($W$33="Yes",SimpleL!AI112,0)</f>
        <v>0</v>
      </c>
      <c r="AJ80" s="738">
        <f>IF($W$33="Yes",SimpleL!AJ112,0)</f>
        <v>0</v>
      </c>
    </row>
    <row r="81" spans="7:36" ht="15" hidden="1" customHeight="1" x14ac:dyDescent="0.2">
      <c r="G81" s="60" t="s">
        <v>586</v>
      </c>
      <c r="H81" s="60"/>
      <c r="I81" s="60"/>
      <c r="J81" s="60"/>
      <c r="K81" s="32">
        <f>IF($W$38="Yes",SimpleBA!K112,0)</f>
        <v>0</v>
      </c>
      <c r="L81" s="32">
        <f>IF($W$38="Yes",SimpleBA!L112,0)</f>
        <v>0</v>
      </c>
      <c r="M81" s="32">
        <f>IF($W$38="Yes",SimpleBA!M112,0)</f>
        <v>0</v>
      </c>
      <c r="N81" s="32">
        <f>IF($W$38="Yes",SimpleBA!N112,0)</f>
        <v>0</v>
      </c>
      <c r="O81" s="32">
        <f>IF($W$38="Yes",SimpleBA!O112,0)</f>
        <v>0</v>
      </c>
      <c r="P81" s="32">
        <f>IF($W$38="Yes",SimpleBA!P112,0)</f>
        <v>0</v>
      </c>
      <c r="Q81" s="32">
        <f>IF($W$38="Yes",SimpleBA!Q112,0)</f>
        <v>0</v>
      </c>
      <c r="R81" s="32">
        <f>IF($W$38="Yes",SimpleBA!R112,0)</f>
        <v>0</v>
      </c>
      <c r="S81" s="32">
        <f>IF($W$38="Yes",SimpleBA!S112,0)</f>
        <v>0</v>
      </c>
      <c r="T81" s="32">
        <f>IF($W$38="Yes",SimpleBA!T112,0)</f>
        <v>0</v>
      </c>
      <c r="U81" s="32">
        <f>IF($W$38="Yes",SimpleBA!U112,0)</f>
        <v>0</v>
      </c>
      <c r="V81" s="32">
        <f>IF($W$38="Yes",SimpleBA!V112,0)</f>
        <v>0</v>
      </c>
      <c r="W81" s="32">
        <f>IF($W$38="Yes",SimpleBA!W112,0)</f>
        <v>0</v>
      </c>
      <c r="X81" s="32">
        <f>IF($W$38="Yes",SimpleBA!X112,0)</f>
        <v>0</v>
      </c>
      <c r="Y81" s="32">
        <f>IF($W$38="Yes",SimpleBA!Y112,0)</f>
        <v>0</v>
      </c>
      <c r="Z81" s="32">
        <f>IF($W$38="Yes",SimpleBA!Z112,0)</f>
        <v>0</v>
      </c>
      <c r="AA81" s="32">
        <f>IF($W$38="Yes",SimpleBA!AA112,0)</f>
        <v>0</v>
      </c>
      <c r="AB81" s="32">
        <f>IF($W$38="Yes",SimpleBA!AB112,0)</f>
        <v>0</v>
      </c>
      <c r="AC81" s="32">
        <f>IF($W$38="Yes",SimpleBA!AC112,0)</f>
        <v>0</v>
      </c>
      <c r="AD81" s="32">
        <f>IF($W$38="Yes",SimpleBA!AD112,0)</f>
        <v>0</v>
      </c>
      <c r="AE81" s="32">
        <f>IF($W$38="Yes",SimpleBA!AE112,0)</f>
        <v>0</v>
      </c>
      <c r="AF81" s="32">
        <f>IF($W$38="Yes",SimpleBA!AF112,0)</f>
        <v>0</v>
      </c>
      <c r="AG81" s="32">
        <f>IF($W$38="Yes",SimpleBA!AG112,0)</f>
        <v>0</v>
      </c>
      <c r="AH81" s="32">
        <f>IF($W$38="Yes",SimpleBA!AH112,0)</f>
        <v>0</v>
      </c>
      <c r="AI81" s="32">
        <f>IF($W$38="Yes",SimpleBA!AI112,0)</f>
        <v>0</v>
      </c>
      <c r="AJ81" s="32">
        <f>IF($W$38="Yes",SimpleBA!AJ112,0)</f>
        <v>0</v>
      </c>
    </row>
    <row r="82" spans="7:36" ht="15" hidden="1" customHeight="1" x14ac:dyDescent="0.2">
      <c r="G82" s="60" t="s">
        <v>587</v>
      </c>
      <c r="H82" s="60"/>
      <c r="I82" s="60"/>
      <c r="J82" s="60"/>
      <c r="K82" s="32">
        <f>IF($W$43="Yes",SimpleBB!K112,0)</f>
        <v>0</v>
      </c>
      <c r="L82" s="32">
        <f>IF($W$43="Yes",SimpleBB!L112,0)</f>
        <v>0</v>
      </c>
      <c r="M82" s="32">
        <f>IF($W$43="Yes",SimpleBB!M112,0)</f>
        <v>0</v>
      </c>
      <c r="N82" s="32">
        <f>IF($W$43="Yes",SimpleBB!N112,0)</f>
        <v>0</v>
      </c>
      <c r="O82" s="32">
        <f>IF($W$43="Yes",SimpleBB!O112,0)</f>
        <v>0</v>
      </c>
      <c r="P82" s="32">
        <f>IF($W$43="Yes",SimpleBB!P112,0)</f>
        <v>0</v>
      </c>
      <c r="Q82" s="32">
        <f>IF($W$43="Yes",SimpleBB!Q112,0)</f>
        <v>0</v>
      </c>
      <c r="R82" s="32">
        <f>IF($W$43="Yes",SimpleBB!R112,0)</f>
        <v>0</v>
      </c>
      <c r="S82" s="32">
        <f>IF($W$43="Yes",SimpleBB!S112,0)</f>
        <v>0</v>
      </c>
      <c r="T82" s="32">
        <f>IF($W$43="Yes",SimpleBB!T112,0)</f>
        <v>0</v>
      </c>
      <c r="U82" s="32">
        <f>IF($W$43="Yes",SimpleBB!U112,0)</f>
        <v>0</v>
      </c>
      <c r="V82" s="32">
        <f>IF($W$43="Yes",SimpleBB!V112,0)</f>
        <v>0</v>
      </c>
      <c r="W82" s="32">
        <f>IF($W$43="Yes",SimpleBB!W112,0)</f>
        <v>0</v>
      </c>
      <c r="X82" s="32">
        <f>IF($W$43="Yes",SimpleBB!X112,0)</f>
        <v>0</v>
      </c>
      <c r="Y82" s="32">
        <f>IF($W$43="Yes",SimpleBB!Y112,0)</f>
        <v>0</v>
      </c>
      <c r="Z82" s="32">
        <f>IF($W$43="Yes",SimpleBB!Z112,0)</f>
        <v>0</v>
      </c>
      <c r="AA82" s="32">
        <f>IF($W$43="Yes",SimpleBB!AA112,0)</f>
        <v>0</v>
      </c>
      <c r="AB82" s="32">
        <f>IF($W$43="Yes",SimpleBB!AB112,0)</f>
        <v>0</v>
      </c>
      <c r="AC82" s="32">
        <f>IF($W$43="Yes",SimpleBB!AC112,0)</f>
        <v>0</v>
      </c>
      <c r="AD82" s="32">
        <f>IF($W$43="Yes",SimpleBB!AD112,0)</f>
        <v>0</v>
      </c>
      <c r="AE82" s="32">
        <f>IF($W$43="Yes",SimpleBB!AE112,0)</f>
        <v>0</v>
      </c>
      <c r="AF82" s="32">
        <f>IF($W$43="Yes",SimpleBB!AF112,0)</f>
        <v>0</v>
      </c>
      <c r="AG82" s="32">
        <f>IF($W$43="Yes",SimpleBB!AG112,0)</f>
        <v>0</v>
      </c>
      <c r="AH82" s="32">
        <f>IF($W$43="Yes",SimpleBB!AH112,0)</f>
        <v>0</v>
      </c>
      <c r="AI82" s="32">
        <f>IF($W$43="Yes",SimpleBB!AI112,0)</f>
        <v>0</v>
      </c>
      <c r="AJ82" s="32">
        <f>IF($W$43="Yes",SimpleBB!AJ112,0)</f>
        <v>0</v>
      </c>
    </row>
    <row r="83" spans="7:36" ht="15" hidden="1" customHeight="1" x14ac:dyDescent="0.2">
      <c r="G83" s="60" t="s">
        <v>588</v>
      </c>
      <c r="H83" s="60"/>
      <c r="I83" s="60"/>
      <c r="J83" s="60"/>
      <c r="K83" s="32">
        <f>IF($W$48="Yes",SimpleBC!K112,0)</f>
        <v>0</v>
      </c>
      <c r="L83" s="32">
        <f>IF($W$48="Yes",SimpleBC!L112,0)</f>
        <v>0</v>
      </c>
      <c r="M83" s="32">
        <f>IF($W$48="Yes",SimpleBC!M112,0)</f>
        <v>0</v>
      </c>
      <c r="N83" s="32">
        <f>IF($W$48="Yes",SimpleBC!N112,0)</f>
        <v>0</v>
      </c>
      <c r="O83" s="32">
        <f>IF($W$48="Yes",SimpleBC!O112,0)</f>
        <v>0</v>
      </c>
      <c r="P83" s="32">
        <f>IF($W$48="Yes",SimpleBC!P112,0)</f>
        <v>0</v>
      </c>
      <c r="Q83" s="32">
        <f>IF($W$48="Yes",SimpleBC!Q112,0)</f>
        <v>0</v>
      </c>
      <c r="R83" s="32">
        <f>IF($W$48="Yes",SimpleBC!R112,0)</f>
        <v>0</v>
      </c>
      <c r="S83" s="32">
        <f>IF($W$48="Yes",SimpleBC!S112,0)</f>
        <v>0</v>
      </c>
      <c r="T83" s="32">
        <f>IF($W$48="Yes",SimpleBC!T112,0)</f>
        <v>0</v>
      </c>
      <c r="U83" s="32">
        <f>IF($W$48="Yes",SimpleBC!U112,0)</f>
        <v>0</v>
      </c>
      <c r="V83" s="32">
        <f>IF($W$48="Yes",SimpleBC!V112,0)</f>
        <v>0</v>
      </c>
      <c r="W83" s="32">
        <f>IF($W$48="Yes",SimpleBC!W112,0)</f>
        <v>0</v>
      </c>
      <c r="X83" s="32">
        <f>IF($W$48="Yes",SimpleBC!X112,0)</f>
        <v>0</v>
      </c>
      <c r="Y83" s="32">
        <f>IF($W$48="Yes",SimpleBC!Y112,0)</f>
        <v>0</v>
      </c>
      <c r="Z83" s="32">
        <f>IF($W$48="Yes",SimpleBC!Z112,0)</f>
        <v>0</v>
      </c>
      <c r="AA83" s="32">
        <f>IF($W$48="Yes",SimpleBC!AA112,0)</f>
        <v>0</v>
      </c>
      <c r="AB83" s="32">
        <f>IF($W$48="Yes",SimpleBC!AB112,0)</f>
        <v>0</v>
      </c>
      <c r="AC83" s="32">
        <f>IF($W$48="Yes",SimpleBC!AC112,0)</f>
        <v>0</v>
      </c>
      <c r="AD83" s="32">
        <f>IF($W$48="Yes",SimpleBC!AD112,0)</f>
        <v>0</v>
      </c>
      <c r="AE83" s="32">
        <f>IF($W$48="Yes",SimpleBC!AE112,0)</f>
        <v>0</v>
      </c>
      <c r="AF83" s="32">
        <f>IF($W$48="Yes",SimpleBC!AF112,0)</f>
        <v>0</v>
      </c>
      <c r="AG83" s="32">
        <f>IF($W$48="Yes",SimpleBC!AG112,0)</f>
        <v>0</v>
      </c>
      <c r="AH83" s="32">
        <f>IF($W$48="Yes",SimpleBC!AH112,0)</f>
        <v>0</v>
      </c>
      <c r="AI83" s="32">
        <f>IF($W$48="Yes",SimpleBC!AI112,0)</f>
        <v>0</v>
      </c>
      <c r="AJ83" s="32">
        <f>IF($W$48="Yes",SimpleBC!AJ112,0)</f>
        <v>0</v>
      </c>
    </row>
    <row r="84" spans="7:36" ht="15" hidden="1" customHeight="1" x14ac:dyDescent="0.2">
      <c r="G84" s="60"/>
      <c r="H84" s="60"/>
      <c r="I84" s="60"/>
      <c r="J84" s="60"/>
      <c r="K84" s="60"/>
      <c r="L84" s="60"/>
      <c r="M84" s="60"/>
      <c r="N84" s="60"/>
      <c r="O84" s="60"/>
      <c r="P84" s="734"/>
      <c r="Q84" s="60"/>
      <c r="R84" s="61"/>
      <c r="S84" s="60"/>
      <c r="T84" s="60"/>
      <c r="U84" s="60"/>
      <c r="V84" s="60"/>
      <c r="W84" s="60"/>
      <c r="X84" s="60"/>
      <c r="Y84" s="60"/>
      <c r="Z84" s="60"/>
      <c r="AA84" s="60"/>
      <c r="AB84" s="60"/>
      <c r="AC84" s="60"/>
      <c r="AD84" s="60"/>
      <c r="AE84" s="60"/>
      <c r="AF84" s="60"/>
      <c r="AG84" s="60"/>
      <c r="AH84" s="60"/>
      <c r="AI84" s="60"/>
      <c r="AJ84" s="60"/>
    </row>
    <row r="85" spans="7:36" ht="15" hidden="1" customHeight="1" x14ac:dyDescent="0.2">
      <c r="G85" s="196" t="s">
        <v>593</v>
      </c>
      <c r="H85" s="196"/>
      <c r="I85" s="196"/>
      <c r="J85" s="196"/>
      <c r="K85" s="740">
        <f t="shared" ref="K85:AJ85" si="2">SUM(K76:K83)</f>
        <v>0</v>
      </c>
      <c r="L85" s="740">
        <f t="shared" si="2"/>
        <v>0</v>
      </c>
      <c r="M85" s="740">
        <f t="shared" si="2"/>
        <v>0</v>
      </c>
      <c r="N85" s="740">
        <f t="shared" si="2"/>
        <v>0</v>
      </c>
      <c r="O85" s="740">
        <f t="shared" si="2"/>
        <v>0</v>
      </c>
      <c r="P85" s="740">
        <f t="shared" si="2"/>
        <v>0</v>
      </c>
      <c r="Q85" s="740">
        <f t="shared" si="2"/>
        <v>0</v>
      </c>
      <c r="R85" s="740">
        <f t="shared" si="2"/>
        <v>0</v>
      </c>
      <c r="S85" s="740">
        <f t="shared" si="2"/>
        <v>0</v>
      </c>
      <c r="T85" s="740">
        <f t="shared" si="2"/>
        <v>0</v>
      </c>
      <c r="U85" s="740">
        <f t="shared" si="2"/>
        <v>0</v>
      </c>
      <c r="V85" s="740">
        <f t="shared" si="2"/>
        <v>0</v>
      </c>
      <c r="W85" s="740">
        <f t="shared" si="2"/>
        <v>0</v>
      </c>
      <c r="X85" s="740">
        <f t="shared" si="2"/>
        <v>0</v>
      </c>
      <c r="Y85" s="740">
        <f t="shared" si="2"/>
        <v>0</v>
      </c>
      <c r="Z85" s="740">
        <f t="shared" si="2"/>
        <v>0</v>
      </c>
      <c r="AA85" s="740">
        <f t="shared" si="2"/>
        <v>0</v>
      </c>
      <c r="AB85" s="740">
        <f t="shared" si="2"/>
        <v>0</v>
      </c>
      <c r="AC85" s="740">
        <f t="shared" si="2"/>
        <v>0</v>
      </c>
      <c r="AD85" s="740">
        <f t="shared" si="2"/>
        <v>0</v>
      </c>
      <c r="AE85" s="740">
        <f t="shared" si="2"/>
        <v>0</v>
      </c>
      <c r="AF85" s="740">
        <f t="shared" si="2"/>
        <v>0</v>
      </c>
      <c r="AG85" s="740">
        <f t="shared" si="2"/>
        <v>0</v>
      </c>
      <c r="AH85" s="740">
        <f t="shared" si="2"/>
        <v>0</v>
      </c>
      <c r="AI85" s="740">
        <f t="shared" si="2"/>
        <v>0</v>
      </c>
      <c r="AJ85" s="740">
        <f t="shared" si="2"/>
        <v>0</v>
      </c>
    </row>
    <row r="86" spans="7:36" ht="15" hidden="1" customHeight="1" x14ac:dyDescent="0.2">
      <c r="P86" s="739"/>
    </row>
    <row r="87" spans="7:36" ht="15" hidden="1" customHeight="1" x14ac:dyDescent="0.2">
      <c r="G87" s="815" t="s">
        <v>525</v>
      </c>
      <c r="H87" s="60"/>
      <c r="I87" s="60"/>
      <c r="J87" s="60"/>
      <c r="K87" s="60"/>
      <c r="L87" s="60"/>
      <c r="M87" s="60"/>
      <c r="N87" s="60"/>
      <c r="O87" s="60"/>
      <c r="P87" s="734"/>
      <c r="Q87" s="60"/>
      <c r="R87" s="61"/>
      <c r="S87" s="60"/>
      <c r="T87" s="60"/>
      <c r="U87" s="60"/>
      <c r="V87" s="60"/>
      <c r="W87" s="60"/>
      <c r="X87" s="60"/>
      <c r="Y87" s="60"/>
      <c r="Z87" s="60"/>
      <c r="AA87" s="60"/>
      <c r="AB87" s="60"/>
      <c r="AC87" s="60"/>
      <c r="AD87" s="60"/>
      <c r="AE87" s="60"/>
      <c r="AF87" s="60"/>
      <c r="AG87" s="60"/>
      <c r="AH87" s="60"/>
      <c r="AI87" s="60"/>
      <c r="AJ87" s="60"/>
    </row>
    <row r="88" spans="7:36" ht="15" hidden="1" customHeight="1" x14ac:dyDescent="0.2">
      <c r="G88" s="69" t="s">
        <v>584</v>
      </c>
      <c r="H88" s="60"/>
      <c r="I88" s="60"/>
      <c r="J88" s="60"/>
      <c r="K88" s="31">
        <f>IF($W$13="Yes",SimpleF!K136,0)</f>
        <v>0</v>
      </c>
      <c r="L88" s="31">
        <f>IF($W$13="Yes",SimpleF!L136,0)</f>
        <v>0</v>
      </c>
      <c r="M88" s="31">
        <f>IF($W$13="Yes",SimpleF!M136,0)</f>
        <v>0</v>
      </c>
      <c r="N88" s="31">
        <f>IF($W$13="Yes",SimpleF!N136,0)</f>
        <v>0</v>
      </c>
      <c r="O88" s="31">
        <f>IF($W$13="Yes",SimpleF!O136,0)</f>
        <v>0</v>
      </c>
      <c r="P88" s="31">
        <f>IF($W$13="Yes",SimpleF!P136,0)</f>
        <v>0</v>
      </c>
      <c r="Q88" s="31">
        <f>IF($W$13="Yes",SimpleF!Q136,0)</f>
        <v>0</v>
      </c>
      <c r="R88" s="31">
        <f>IF($W$13="Yes",SimpleF!R136,0)</f>
        <v>0</v>
      </c>
      <c r="S88" s="31">
        <f>IF($W$13="Yes",SimpleF!S136,0)</f>
        <v>0</v>
      </c>
      <c r="T88" s="31">
        <f>IF($W$13="Yes",SimpleF!T136,0)</f>
        <v>0</v>
      </c>
      <c r="U88" s="31">
        <f>IF($W$13="Yes",SimpleF!U136,0)</f>
        <v>0</v>
      </c>
      <c r="V88" s="31">
        <f>IF($W$13="Yes",SimpleF!V136,0)</f>
        <v>0</v>
      </c>
      <c r="W88" s="31">
        <f>IF($W$13="Yes",SimpleF!W136,0)</f>
        <v>0</v>
      </c>
      <c r="X88" s="31">
        <f>IF($W$13="Yes",SimpleF!X136,0)</f>
        <v>0</v>
      </c>
      <c r="Y88" s="31">
        <f>IF($W$13="Yes",SimpleF!Y136,0)</f>
        <v>0</v>
      </c>
      <c r="Z88" s="31">
        <f>IF($W$13="Yes",SimpleF!Z136,0)</f>
        <v>0</v>
      </c>
      <c r="AA88" s="31">
        <f>IF($W$13="Yes",SimpleF!AA136,0)</f>
        <v>0</v>
      </c>
      <c r="AB88" s="31">
        <f>IF($W$13="Yes",SimpleF!AB136,0)</f>
        <v>0</v>
      </c>
      <c r="AC88" s="31">
        <f>IF($W$13="Yes",SimpleF!AC136,0)</f>
        <v>0</v>
      </c>
      <c r="AD88" s="31">
        <f>IF($W$13="Yes",SimpleF!AD136,0)</f>
        <v>0</v>
      </c>
      <c r="AE88" s="31">
        <f>IF($W$13="Yes",SimpleF!AE136,0)</f>
        <v>0</v>
      </c>
      <c r="AF88" s="31">
        <f>IF($W$13="Yes",SimpleF!AF136,0)</f>
        <v>0</v>
      </c>
      <c r="AG88" s="31">
        <f>IF($W$13="Yes",SimpleF!AG136,0)</f>
        <v>0</v>
      </c>
      <c r="AH88" s="31">
        <f>IF($W$13="Yes",SimpleF!AH136,0)</f>
        <v>0</v>
      </c>
      <c r="AI88" s="31">
        <f>IF($W$13="Yes",SimpleF!AI136,0)</f>
        <v>0</v>
      </c>
      <c r="AJ88" s="31">
        <f>IF($W$13="Yes",SimpleF!AJ136,0)</f>
        <v>0</v>
      </c>
    </row>
    <row r="89" spans="7:36" ht="15" hidden="1" customHeight="1" x14ac:dyDescent="0.2">
      <c r="G89" s="731" t="s">
        <v>557</v>
      </c>
      <c r="H89" s="60"/>
      <c r="I89" s="60"/>
      <c r="J89" s="60"/>
      <c r="K89" s="735">
        <f>IF($W$18="Yes",SimpleV!K136,0)</f>
        <v>0</v>
      </c>
      <c r="L89" s="735">
        <f>IF($W$18="Yes",SimpleV!L136,0)</f>
        <v>0</v>
      </c>
      <c r="M89" s="735">
        <f>IF($W$18="Yes",SimpleV!M136,0)</f>
        <v>0</v>
      </c>
      <c r="N89" s="735">
        <f>IF($W$18="Yes",SimpleV!N136,0)</f>
        <v>0</v>
      </c>
      <c r="O89" s="735">
        <f>IF($W$18="Yes",SimpleV!O136,0)</f>
        <v>0</v>
      </c>
      <c r="P89" s="735">
        <f>IF($W$18="Yes",SimpleV!P136,0)</f>
        <v>0</v>
      </c>
      <c r="Q89" s="735">
        <f>IF($W$18="Yes",SimpleV!Q136,0)</f>
        <v>0</v>
      </c>
      <c r="R89" s="735">
        <f>IF($W$18="Yes",SimpleV!R136,0)</f>
        <v>0</v>
      </c>
      <c r="S89" s="735">
        <f>IF($W$18="Yes",SimpleV!S136,0)</f>
        <v>0</v>
      </c>
      <c r="T89" s="735">
        <f>IF($W$18="Yes",SimpleV!T136,0)</f>
        <v>0</v>
      </c>
      <c r="U89" s="735">
        <f>IF($W$18="Yes",SimpleV!U136,0)</f>
        <v>0</v>
      </c>
      <c r="V89" s="735">
        <f>IF($W$18="Yes",SimpleV!V136,0)</f>
        <v>0</v>
      </c>
      <c r="W89" s="735">
        <f>IF($W$18="Yes",SimpleV!W136,0)</f>
        <v>0</v>
      </c>
      <c r="X89" s="735">
        <f>IF($W$18="Yes",SimpleV!X136,0)</f>
        <v>0</v>
      </c>
      <c r="Y89" s="735">
        <f>IF($W$18="Yes",SimpleV!Y136,0)</f>
        <v>0</v>
      </c>
      <c r="Z89" s="735">
        <f>IF($W$18="Yes",SimpleV!Z136,0)</f>
        <v>0</v>
      </c>
      <c r="AA89" s="735">
        <f>IF($W$18="Yes",SimpleV!AA136,0)</f>
        <v>0</v>
      </c>
      <c r="AB89" s="735">
        <f>IF($W$18="Yes",SimpleV!AB136,0)</f>
        <v>0</v>
      </c>
      <c r="AC89" s="735">
        <f>IF($W$18="Yes",SimpleV!AC136,0)</f>
        <v>0</v>
      </c>
      <c r="AD89" s="735">
        <f>IF($W$18="Yes",SimpleV!AD136,0)</f>
        <v>0</v>
      </c>
      <c r="AE89" s="735">
        <f>IF($W$18="Yes",SimpleV!AE136,0)</f>
        <v>0</v>
      </c>
      <c r="AF89" s="735">
        <f>IF($W$18="Yes",SimpleV!AF136,0)</f>
        <v>0</v>
      </c>
      <c r="AG89" s="735">
        <f>IF($W$18="Yes",SimpleV!AG136,0)</f>
        <v>0</v>
      </c>
      <c r="AH89" s="735">
        <f>IF($W$18="Yes",SimpleV!AH136,0)</f>
        <v>0</v>
      </c>
      <c r="AI89" s="735">
        <f>IF($W$18="Yes",SimpleV!AI136,0)</f>
        <v>0</v>
      </c>
      <c r="AJ89" s="735">
        <f>IF($W$18="Yes",SimpleV!AJ136,0)</f>
        <v>0</v>
      </c>
    </row>
    <row r="90" spans="7:36" ht="15" hidden="1" customHeight="1" x14ac:dyDescent="0.2">
      <c r="G90" s="732" t="s">
        <v>454</v>
      </c>
      <c r="H90" s="60"/>
      <c r="I90" s="60"/>
      <c r="J90" s="60"/>
      <c r="K90" s="736">
        <f>IF($W$23="Yes",SimpleH!K139,0)</f>
        <v>0</v>
      </c>
      <c r="L90" s="736">
        <f>IF($W$23="Yes",SimpleH!L139,0)</f>
        <v>0</v>
      </c>
      <c r="M90" s="736">
        <f>IF($W$23="Yes",SimpleH!M139,0)</f>
        <v>0</v>
      </c>
      <c r="N90" s="736">
        <f>IF($W$23="Yes",SimpleH!N139,0)</f>
        <v>0</v>
      </c>
      <c r="O90" s="736">
        <f>IF($W$23="Yes",SimpleH!O139,0)</f>
        <v>0</v>
      </c>
      <c r="P90" s="736">
        <f>IF($W$23="Yes",SimpleH!P139,0)</f>
        <v>0</v>
      </c>
      <c r="Q90" s="736">
        <f>IF($W$23="Yes",SimpleH!Q139,0)</f>
        <v>0</v>
      </c>
      <c r="R90" s="736">
        <f>IF($W$23="Yes",SimpleH!R139,0)</f>
        <v>0</v>
      </c>
      <c r="S90" s="736">
        <f>IF($W$23="Yes",SimpleH!S139,0)</f>
        <v>0</v>
      </c>
      <c r="T90" s="736">
        <f>IF($W$23="Yes",SimpleH!T139,0)</f>
        <v>0</v>
      </c>
      <c r="U90" s="736">
        <f>IF($W$23="Yes",SimpleH!U139,0)</f>
        <v>0</v>
      </c>
      <c r="V90" s="736">
        <f>IF($W$23="Yes",SimpleH!V139,0)</f>
        <v>0</v>
      </c>
      <c r="W90" s="736">
        <f>IF($W$23="Yes",SimpleH!W139,0)</f>
        <v>0</v>
      </c>
      <c r="X90" s="736">
        <f>IF($W$23="Yes",SimpleH!X139,0)</f>
        <v>0</v>
      </c>
      <c r="Y90" s="736">
        <f>IF($W$23="Yes",SimpleH!Y139,0)</f>
        <v>0</v>
      </c>
      <c r="Z90" s="736">
        <f>IF($W$23="Yes",SimpleH!Z139,0)</f>
        <v>0</v>
      </c>
      <c r="AA90" s="736">
        <f>IF($W$23="Yes",SimpleH!AA139,0)</f>
        <v>0</v>
      </c>
      <c r="AB90" s="736">
        <f>IF($W$23="Yes",SimpleH!AB139,0)</f>
        <v>0</v>
      </c>
      <c r="AC90" s="736">
        <f>IF($W$23="Yes",SimpleH!AC139,0)</f>
        <v>0</v>
      </c>
      <c r="AD90" s="736">
        <f>IF($W$23="Yes",SimpleH!AD139,0)</f>
        <v>0</v>
      </c>
      <c r="AE90" s="736">
        <f>IF($W$23="Yes",SimpleH!AE139,0)</f>
        <v>0</v>
      </c>
      <c r="AF90" s="736">
        <f>IF($W$23="Yes",SimpleH!AF139,0)</f>
        <v>0</v>
      </c>
      <c r="AG90" s="736">
        <f>IF($W$23="Yes",SimpleH!AG139,0)</f>
        <v>0</v>
      </c>
      <c r="AH90" s="736">
        <f>IF($W$23="Yes",SimpleH!AH139,0)</f>
        <v>0</v>
      </c>
      <c r="AI90" s="736">
        <f>IF($W$23="Yes",SimpleH!AI139,0)</f>
        <v>0</v>
      </c>
      <c r="AJ90" s="736">
        <f>IF($W$23="Yes",SimpleH!AJ139,0)</f>
        <v>0</v>
      </c>
    </row>
    <row r="91" spans="7:36" ht="15" hidden="1" customHeight="1" x14ac:dyDescent="0.2">
      <c r="G91" s="108" t="s">
        <v>585</v>
      </c>
      <c r="H91" s="60"/>
      <c r="I91" s="60"/>
      <c r="J91" s="60"/>
      <c r="K91" s="737">
        <f>IF($W$28="Yes",SimpleC!K136,0)</f>
        <v>0</v>
      </c>
      <c r="L91" s="737">
        <f>IF($W$28="Yes",SimpleC!L136,0)</f>
        <v>0</v>
      </c>
      <c r="M91" s="737">
        <f>IF($W$28="Yes",SimpleC!M136,0)</f>
        <v>0</v>
      </c>
      <c r="N91" s="737">
        <f>IF($W$28="Yes",SimpleC!N136,0)</f>
        <v>0</v>
      </c>
      <c r="O91" s="737">
        <f>IF($W$28="Yes",SimpleC!O136,0)</f>
        <v>0</v>
      </c>
      <c r="P91" s="737">
        <f>IF($W$28="Yes",SimpleC!P136,0)</f>
        <v>0</v>
      </c>
      <c r="Q91" s="737">
        <f>IF($W$28="Yes",SimpleC!Q136,0)</f>
        <v>0</v>
      </c>
      <c r="R91" s="737">
        <f>IF($W$28="Yes",SimpleC!R136,0)</f>
        <v>0</v>
      </c>
      <c r="S91" s="737">
        <f>IF($W$28="Yes",SimpleC!S136,0)</f>
        <v>0</v>
      </c>
      <c r="T91" s="737">
        <f>IF($W$28="Yes",SimpleC!T136,0)</f>
        <v>0</v>
      </c>
      <c r="U91" s="737">
        <f>IF($W$28="Yes",SimpleC!U136,0)</f>
        <v>0</v>
      </c>
      <c r="V91" s="737">
        <f>IF($W$28="Yes",SimpleC!V136,0)</f>
        <v>0</v>
      </c>
      <c r="W91" s="737">
        <f>IF($W$28="Yes",SimpleC!W136,0)</f>
        <v>0</v>
      </c>
      <c r="X91" s="737">
        <f>IF($W$28="Yes",SimpleC!X136,0)</f>
        <v>0</v>
      </c>
      <c r="Y91" s="737">
        <f>IF($W$28="Yes",SimpleC!Y136,0)</f>
        <v>0</v>
      </c>
      <c r="Z91" s="737">
        <f>IF($W$28="Yes",SimpleC!Z136,0)</f>
        <v>0</v>
      </c>
      <c r="AA91" s="737">
        <f>IF($W$28="Yes",SimpleC!AA136,0)</f>
        <v>0</v>
      </c>
      <c r="AB91" s="737">
        <f>IF($W$28="Yes",SimpleC!AB136,0)</f>
        <v>0</v>
      </c>
      <c r="AC91" s="737">
        <f>IF($W$28="Yes",SimpleC!AC136,0)</f>
        <v>0</v>
      </c>
      <c r="AD91" s="737">
        <f>IF($W$28="Yes",SimpleC!AD136,0)</f>
        <v>0</v>
      </c>
      <c r="AE91" s="737">
        <f>IF($W$28="Yes",SimpleC!AE136,0)</f>
        <v>0</v>
      </c>
      <c r="AF91" s="737">
        <f>IF($W$28="Yes",SimpleC!AF136,0)</f>
        <v>0</v>
      </c>
      <c r="AG91" s="737">
        <f>IF($W$28="Yes",SimpleC!AG136,0)</f>
        <v>0</v>
      </c>
      <c r="AH91" s="737">
        <f>IF($W$28="Yes",SimpleC!AH136,0)</f>
        <v>0</v>
      </c>
      <c r="AI91" s="737">
        <f>IF($W$28="Yes",SimpleC!AI136,0)</f>
        <v>0</v>
      </c>
      <c r="AJ91" s="737">
        <f>IF($W$28="Yes",SimpleC!AJ136,0)</f>
        <v>0</v>
      </c>
    </row>
    <row r="92" spans="7:36" ht="15" hidden="1" customHeight="1" x14ac:dyDescent="0.2">
      <c r="G92" s="733" t="s">
        <v>20</v>
      </c>
      <c r="H92" s="60"/>
      <c r="I92" s="60"/>
      <c r="J92" s="60"/>
      <c r="K92" s="738">
        <f>IF($W$33="Yes",SimpleL!K136,0)</f>
        <v>0</v>
      </c>
      <c r="L92" s="738">
        <f>IF($W$33="Yes",SimpleL!L136,0)</f>
        <v>0</v>
      </c>
      <c r="M92" s="738">
        <f>IF($W$33="Yes",SimpleL!M136,0)</f>
        <v>0</v>
      </c>
      <c r="N92" s="738">
        <f>IF($W$33="Yes",SimpleL!N136,0)</f>
        <v>0</v>
      </c>
      <c r="O92" s="738">
        <f>IF($W$33="Yes",SimpleL!O136,0)</f>
        <v>0</v>
      </c>
      <c r="P92" s="738">
        <f>IF($W$33="Yes",SimpleL!P136,0)</f>
        <v>0</v>
      </c>
      <c r="Q92" s="738">
        <f>IF($W$33="Yes",SimpleL!Q136,0)</f>
        <v>0</v>
      </c>
      <c r="R92" s="738">
        <f>IF($W$33="Yes",SimpleL!R136,0)</f>
        <v>0</v>
      </c>
      <c r="S92" s="738">
        <f>IF($W$33="Yes",SimpleL!S136,0)</f>
        <v>0</v>
      </c>
      <c r="T92" s="738">
        <f>IF($W$33="Yes",SimpleL!T136,0)</f>
        <v>0</v>
      </c>
      <c r="U92" s="738">
        <f>IF($W$33="Yes",SimpleL!U136,0)</f>
        <v>0</v>
      </c>
      <c r="V92" s="738">
        <f>IF($W$33="Yes",SimpleL!V136,0)</f>
        <v>0</v>
      </c>
      <c r="W92" s="738">
        <f>IF($W$33="Yes",SimpleL!W136,0)</f>
        <v>0</v>
      </c>
      <c r="X92" s="738">
        <f>IF($W$33="Yes",SimpleL!X136,0)</f>
        <v>0</v>
      </c>
      <c r="Y92" s="738">
        <f>IF($W$33="Yes",SimpleL!Y136,0)</f>
        <v>0</v>
      </c>
      <c r="Z92" s="738">
        <f>IF($W$33="Yes",SimpleL!Z136,0)</f>
        <v>0</v>
      </c>
      <c r="AA92" s="738">
        <f>IF($W$33="Yes",SimpleL!AA136,0)</f>
        <v>0</v>
      </c>
      <c r="AB92" s="738">
        <f>IF($W$33="Yes",SimpleL!AB136,0)</f>
        <v>0</v>
      </c>
      <c r="AC92" s="738">
        <f>IF($W$33="Yes",SimpleL!AC136,0)</f>
        <v>0</v>
      </c>
      <c r="AD92" s="738">
        <f>IF($W$33="Yes",SimpleL!AD136,0)</f>
        <v>0</v>
      </c>
      <c r="AE92" s="738">
        <f>IF($W$33="Yes",SimpleL!AE136,0)</f>
        <v>0</v>
      </c>
      <c r="AF92" s="738">
        <f>IF($W$33="Yes",SimpleL!AF136,0)</f>
        <v>0</v>
      </c>
      <c r="AG92" s="738">
        <f>IF($W$33="Yes",SimpleL!AG136,0)</f>
        <v>0</v>
      </c>
      <c r="AH92" s="738">
        <f>IF($W$33="Yes",SimpleL!AH136,0)</f>
        <v>0</v>
      </c>
      <c r="AI92" s="738">
        <f>IF($W$33="Yes",SimpleL!AI136,0)</f>
        <v>0</v>
      </c>
      <c r="AJ92" s="738">
        <f>IF($W$33="Yes",SimpleL!AJ136,0)</f>
        <v>0</v>
      </c>
    </row>
    <row r="93" spans="7:36" ht="15" hidden="1" customHeight="1" x14ac:dyDescent="0.2">
      <c r="G93" s="60" t="s">
        <v>586</v>
      </c>
      <c r="H93" s="60"/>
      <c r="I93" s="60"/>
      <c r="J93" s="60"/>
      <c r="K93" s="32">
        <f>IF($W$38="Yes",SimpleBA!K136,0)</f>
        <v>0</v>
      </c>
      <c r="L93" s="32">
        <f>IF($W$38="Yes",SimpleBA!L136,0)</f>
        <v>0</v>
      </c>
      <c r="M93" s="32">
        <f>IF($W$38="Yes",SimpleBA!M136,0)</f>
        <v>0</v>
      </c>
      <c r="N93" s="32">
        <f>IF($W$38="Yes",SimpleBA!N136,0)</f>
        <v>0</v>
      </c>
      <c r="O93" s="32">
        <f>IF($W$38="Yes",SimpleBA!O136,0)</f>
        <v>0</v>
      </c>
      <c r="P93" s="32">
        <f>IF($W$38="Yes",SimpleBA!P136,0)</f>
        <v>0</v>
      </c>
      <c r="Q93" s="32">
        <f>IF($W$38="Yes",SimpleBA!Q136,0)</f>
        <v>0</v>
      </c>
      <c r="R93" s="32">
        <f>IF($W$38="Yes",SimpleBA!R136,0)</f>
        <v>0</v>
      </c>
      <c r="S93" s="32">
        <f>IF($W$38="Yes",SimpleBA!S136,0)</f>
        <v>0</v>
      </c>
      <c r="T93" s="32">
        <f>IF($W$38="Yes",SimpleBA!T136,0)</f>
        <v>0</v>
      </c>
      <c r="U93" s="32">
        <f>IF($W$38="Yes",SimpleBA!U136,0)</f>
        <v>0</v>
      </c>
      <c r="V93" s="32">
        <f>IF($W$38="Yes",SimpleBA!V136,0)</f>
        <v>0</v>
      </c>
      <c r="W93" s="32">
        <f>IF($W$38="Yes",SimpleBA!W136,0)</f>
        <v>0</v>
      </c>
      <c r="X93" s="32">
        <f>IF($W$38="Yes",SimpleBA!X136,0)</f>
        <v>0</v>
      </c>
      <c r="Y93" s="32">
        <f>IF($W$38="Yes",SimpleBA!Y136,0)</f>
        <v>0</v>
      </c>
      <c r="Z93" s="32">
        <f>IF($W$38="Yes",SimpleBA!Z136,0)</f>
        <v>0</v>
      </c>
      <c r="AA93" s="32">
        <f>IF($W$38="Yes",SimpleBA!AA136,0)</f>
        <v>0</v>
      </c>
      <c r="AB93" s="32">
        <f>IF($W$38="Yes",SimpleBA!AB136,0)</f>
        <v>0</v>
      </c>
      <c r="AC93" s="32">
        <f>IF($W$38="Yes",SimpleBA!AC136,0)</f>
        <v>0</v>
      </c>
      <c r="AD93" s="32">
        <f>IF($W$38="Yes",SimpleBA!AD136,0)</f>
        <v>0</v>
      </c>
      <c r="AE93" s="32">
        <f>IF($W$38="Yes",SimpleBA!AE136,0)</f>
        <v>0</v>
      </c>
      <c r="AF93" s="32">
        <f>IF($W$38="Yes",SimpleBA!AF136,0)</f>
        <v>0</v>
      </c>
      <c r="AG93" s="32">
        <f>IF($W$38="Yes",SimpleBA!AG136,0)</f>
        <v>0</v>
      </c>
      <c r="AH93" s="32">
        <f>IF($W$38="Yes",SimpleBA!AH136,0)</f>
        <v>0</v>
      </c>
      <c r="AI93" s="32">
        <f>IF($W$38="Yes",SimpleBA!AI136,0)</f>
        <v>0</v>
      </c>
      <c r="AJ93" s="32">
        <f>IF($W$38="Yes",SimpleBA!AJ136,0)</f>
        <v>0</v>
      </c>
    </row>
    <row r="94" spans="7:36" ht="15" hidden="1" customHeight="1" x14ac:dyDescent="0.2">
      <c r="G94" s="60" t="s">
        <v>587</v>
      </c>
      <c r="H94" s="60"/>
      <c r="I94" s="60"/>
      <c r="J94" s="60"/>
      <c r="K94" s="32">
        <f>IF($W$43="Yes",SimpleBB!K136,0)</f>
        <v>0</v>
      </c>
      <c r="L94" s="32">
        <f>IF($W$43="Yes",SimpleBB!L136,0)</f>
        <v>0</v>
      </c>
      <c r="M94" s="32">
        <f>IF($W$43="Yes",SimpleBB!M136,0)</f>
        <v>0</v>
      </c>
      <c r="N94" s="32">
        <f>IF($W$43="Yes",SimpleBB!N136,0)</f>
        <v>0</v>
      </c>
      <c r="O94" s="32">
        <f>IF($W$43="Yes",SimpleBB!O136,0)</f>
        <v>0</v>
      </c>
      <c r="P94" s="32">
        <f>IF($W$43="Yes",SimpleBB!P136,0)</f>
        <v>0</v>
      </c>
      <c r="Q94" s="32">
        <f>IF($W$43="Yes",SimpleBB!Q136,0)</f>
        <v>0</v>
      </c>
      <c r="R94" s="32">
        <f>IF($W$43="Yes",SimpleBB!R136,0)</f>
        <v>0</v>
      </c>
      <c r="S94" s="32">
        <f>IF($W$43="Yes",SimpleBB!S136,0)</f>
        <v>0</v>
      </c>
      <c r="T94" s="32">
        <f>IF($W$43="Yes",SimpleBB!T136,0)</f>
        <v>0</v>
      </c>
      <c r="U94" s="32">
        <f>IF($W$43="Yes",SimpleBB!U136,0)</f>
        <v>0</v>
      </c>
      <c r="V94" s="32">
        <f>IF($W$43="Yes",SimpleBB!V136,0)</f>
        <v>0</v>
      </c>
      <c r="W94" s="32">
        <f>IF($W$43="Yes",SimpleBB!W136,0)</f>
        <v>0</v>
      </c>
      <c r="X94" s="32">
        <f>IF($W$43="Yes",SimpleBB!X136,0)</f>
        <v>0</v>
      </c>
      <c r="Y94" s="32">
        <f>IF($W$43="Yes",SimpleBB!Y136,0)</f>
        <v>0</v>
      </c>
      <c r="Z94" s="32">
        <f>IF($W$43="Yes",SimpleBB!Z136,0)</f>
        <v>0</v>
      </c>
      <c r="AA94" s="32">
        <f>IF($W$43="Yes",SimpleBB!AA136,0)</f>
        <v>0</v>
      </c>
      <c r="AB94" s="32">
        <f>IF($W$43="Yes",SimpleBB!AB136,0)</f>
        <v>0</v>
      </c>
      <c r="AC94" s="32">
        <f>IF($W$43="Yes",SimpleBB!AC136,0)</f>
        <v>0</v>
      </c>
      <c r="AD94" s="32">
        <f>IF($W$43="Yes",SimpleBB!AD136,0)</f>
        <v>0</v>
      </c>
      <c r="AE94" s="32">
        <f>IF($W$43="Yes",SimpleBB!AE136,0)</f>
        <v>0</v>
      </c>
      <c r="AF94" s="32">
        <f>IF($W$43="Yes",SimpleBB!AF136,0)</f>
        <v>0</v>
      </c>
      <c r="AG94" s="32">
        <f>IF($W$43="Yes",SimpleBB!AG136,0)</f>
        <v>0</v>
      </c>
      <c r="AH94" s="32">
        <f>IF($W$43="Yes",SimpleBB!AH136,0)</f>
        <v>0</v>
      </c>
      <c r="AI94" s="32">
        <f>IF($W$43="Yes",SimpleBB!AI136,0)</f>
        <v>0</v>
      </c>
      <c r="AJ94" s="32">
        <f>IF($W$43="Yes",SimpleBB!AJ136,0)</f>
        <v>0</v>
      </c>
    </row>
    <row r="95" spans="7:36" ht="15" hidden="1" customHeight="1" x14ac:dyDescent="0.2">
      <c r="G95" s="60" t="s">
        <v>588</v>
      </c>
      <c r="H95" s="60"/>
      <c r="I95" s="60"/>
      <c r="J95" s="60"/>
      <c r="K95" s="32">
        <f>IF($W$48="Yes",SimpleBC!K136,0)</f>
        <v>0</v>
      </c>
      <c r="L95" s="32">
        <f>IF($W$48="Yes",SimpleBC!L136,0)</f>
        <v>0</v>
      </c>
      <c r="M95" s="32">
        <f>IF($W$48="Yes",SimpleBC!M136,0)</f>
        <v>0</v>
      </c>
      <c r="N95" s="32">
        <f>IF($W$48="Yes",SimpleBC!N136,0)</f>
        <v>0</v>
      </c>
      <c r="O95" s="32">
        <f>IF($W$48="Yes",SimpleBC!O136,0)</f>
        <v>0</v>
      </c>
      <c r="P95" s="32">
        <f>IF($W$48="Yes",SimpleBC!P136,0)</f>
        <v>0</v>
      </c>
      <c r="Q95" s="32">
        <f>IF($W$48="Yes",SimpleBC!Q136,0)</f>
        <v>0</v>
      </c>
      <c r="R95" s="32">
        <f>IF($W$48="Yes",SimpleBC!R136,0)</f>
        <v>0</v>
      </c>
      <c r="S95" s="32">
        <f>IF($W$48="Yes",SimpleBC!S136,0)</f>
        <v>0</v>
      </c>
      <c r="T95" s="32">
        <f>IF($W$48="Yes",SimpleBC!T136,0)</f>
        <v>0</v>
      </c>
      <c r="U95" s="32">
        <f>IF($W$48="Yes",SimpleBC!U136,0)</f>
        <v>0</v>
      </c>
      <c r="V95" s="32">
        <f>IF($W$48="Yes",SimpleBC!V136,0)</f>
        <v>0</v>
      </c>
      <c r="W95" s="32">
        <f>IF($W$48="Yes",SimpleBC!W136,0)</f>
        <v>0</v>
      </c>
      <c r="X95" s="32">
        <f>IF($W$48="Yes",SimpleBC!X136,0)</f>
        <v>0</v>
      </c>
      <c r="Y95" s="32">
        <f>IF($W$48="Yes",SimpleBC!Y136,0)</f>
        <v>0</v>
      </c>
      <c r="Z95" s="32">
        <f>IF($W$48="Yes",SimpleBC!Z136,0)</f>
        <v>0</v>
      </c>
      <c r="AA95" s="32">
        <f>IF($W$48="Yes",SimpleBC!AA136,0)</f>
        <v>0</v>
      </c>
      <c r="AB95" s="32">
        <f>IF($W$48="Yes",SimpleBC!AB136,0)</f>
        <v>0</v>
      </c>
      <c r="AC95" s="32">
        <f>IF($W$48="Yes",SimpleBC!AC136,0)</f>
        <v>0</v>
      </c>
      <c r="AD95" s="32">
        <f>IF($W$48="Yes",SimpleBC!AD136,0)</f>
        <v>0</v>
      </c>
      <c r="AE95" s="32">
        <f>IF($W$48="Yes",SimpleBC!AE136,0)</f>
        <v>0</v>
      </c>
      <c r="AF95" s="32">
        <f>IF($W$48="Yes",SimpleBC!AF136,0)</f>
        <v>0</v>
      </c>
      <c r="AG95" s="32">
        <f>IF($W$48="Yes",SimpleBC!AG136,0)</f>
        <v>0</v>
      </c>
      <c r="AH95" s="32">
        <f>IF($W$48="Yes",SimpleBC!AH136,0)</f>
        <v>0</v>
      </c>
      <c r="AI95" s="32">
        <f>IF($W$48="Yes",SimpleBC!AI136,0)</f>
        <v>0</v>
      </c>
      <c r="AJ95" s="32">
        <f>IF($W$48="Yes",SimpleBC!AJ136,0)</f>
        <v>0</v>
      </c>
    </row>
    <row r="96" spans="7:36" ht="15" hidden="1" customHeight="1" x14ac:dyDescent="0.2">
      <c r="G96" s="60"/>
      <c r="H96" s="60"/>
      <c r="I96" s="60"/>
      <c r="J96" s="60"/>
      <c r="K96" s="60"/>
      <c r="L96" s="60"/>
      <c r="M96" s="60"/>
      <c r="N96" s="60"/>
      <c r="O96" s="60"/>
      <c r="P96" s="734"/>
      <c r="Q96" s="60"/>
      <c r="R96" s="61"/>
      <c r="S96" s="60"/>
      <c r="T96" s="60"/>
      <c r="U96" s="60"/>
      <c r="V96" s="60"/>
      <c r="W96" s="60"/>
      <c r="X96" s="60"/>
      <c r="Y96" s="60"/>
      <c r="Z96" s="60"/>
      <c r="AA96" s="60"/>
      <c r="AB96" s="60"/>
      <c r="AC96" s="60"/>
      <c r="AD96" s="60"/>
      <c r="AE96" s="60"/>
      <c r="AF96" s="60"/>
      <c r="AG96" s="60"/>
      <c r="AH96" s="60"/>
      <c r="AI96" s="60"/>
      <c r="AJ96" s="60"/>
    </row>
    <row r="97" spans="7:36" ht="15" hidden="1" customHeight="1" x14ac:dyDescent="0.2">
      <c r="G97" s="196" t="s">
        <v>593</v>
      </c>
      <c r="H97" s="196"/>
      <c r="I97" s="196"/>
      <c r="J97" s="196"/>
      <c r="K97" s="740">
        <f t="shared" ref="K97:AJ97" si="3">SUM(K88:K95)</f>
        <v>0</v>
      </c>
      <c r="L97" s="740">
        <f t="shared" si="3"/>
        <v>0</v>
      </c>
      <c r="M97" s="740">
        <f t="shared" si="3"/>
        <v>0</v>
      </c>
      <c r="N97" s="740">
        <f t="shared" si="3"/>
        <v>0</v>
      </c>
      <c r="O97" s="740">
        <f t="shared" si="3"/>
        <v>0</v>
      </c>
      <c r="P97" s="740">
        <f t="shared" si="3"/>
        <v>0</v>
      </c>
      <c r="Q97" s="740">
        <f t="shared" si="3"/>
        <v>0</v>
      </c>
      <c r="R97" s="740">
        <f t="shared" si="3"/>
        <v>0</v>
      </c>
      <c r="S97" s="740">
        <f t="shared" si="3"/>
        <v>0</v>
      </c>
      <c r="T97" s="740">
        <f t="shared" si="3"/>
        <v>0</v>
      </c>
      <c r="U97" s="740">
        <f t="shared" si="3"/>
        <v>0</v>
      </c>
      <c r="V97" s="740">
        <f t="shared" si="3"/>
        <v>0</v>
      </c>
      <c r="W97" s="740">
        <f t="shared" si="3"/>
        <v>0</v>
      </c>
      <c r="X97" s="740">
        <f t="shared" si="3"/>
        <v>0</v>
      </c>
      <c r="Y97" s="740">
        <f t="shared" si="3"/>
        <v>0</v>
      </c>
      <c r="Z97" s="740">
        <f t="shared" si="3"/>
        <v>0</v>
      </c>
      <c r="AA97" s="740">
        <f t="shared" si="3"/>
        <v>0</v>
      </c>
      <c r="AB97" s="740">
        <f t="shared" si="3"/>
        <v>0</v>
      </c>
      <c r="AC97" s="740">
        <f t="shared" si="3"/>
        <v>0</v>
      </c>
      <c r="AD97" s="740">
        <f t="shared" si="3"/>
        <v>0</v>
      </c>
      <c r="AE97" s="740">
        <f t="shared" si="3"/>
        <v>0</v>
      </c>
      <c r="AF97" s="740">
        <f t="shared" si="3"/>
        <v>0</v>
      </c>
      <c r="AG97" s="740">
        <f t="shared" si="3"/>
        <v>0</v>
      </c>
      <c r="AH97" s="740">
        <f t="shared" si="3"/>
        <v>0</v>
      </c>
      <c r="AI97" s="740">
        <f t="shared" si="3"/>
        <v>0</v>
      </c>
      <c r="AJ97" s="740">
        <f t="shared" si="3"/>
        <v>0</v>
      </c>
    </row>
    <row r="98" spans="7:36" ht="15" hidden="1" customHeight="1" x14ac:dyDescent="0.2"/>
    <row r="99" spans="7:36" ht="15" hidden="1" customHeight="1" x14ac:dyDescent="0.2">
      <c r="G99" s="815" t="s">
        <v>530</v>
      </c>
      <c r="H99" s="60"/>
      <c r="I99" s="60"/>
      <c r="J99" s="60"/>
      <c r="K99" s="60"/>
      <c r="L99" s="60"/>
      <c r="M99" s="60"/>
      <c r="N99" s="60"/>
      <c r="O99" s="60"/>
      <c r="P99" s="517"/>
      <c r="Q99" s="60"/>
      <c r="R99" s="61"/>
      <c r="S99" s="60"/>
      <c r="T99" s="60"/>
      <c r="U99" s="60"/>
      <c r="V99" s="60"/>
      <c r="W99" s="60"/>
      <c r="X99" s="60"/>
      <c r="Y99" s="60"/>
      <c r="Z99" s="60"/>
      <c r="AA99" s="60"/>
      <c r="AB99" s="60"/>
      <c r="AC99" s="60"/>
      <c r="AD99" s="60"/>
      <c r="AE99" s="60"/>
      <c r="AF99" s="60"/>
      <c r="AG99" s="60"/>
      <c r="AH99" s="60"/>
      <c r="AI99" s="60"/>
      <c r="AJ99" s="60"/>
    </row>
    <row r="100" spans="7:36" ht="15" hidden="1" customHeight="1" x14ac:dyDescent="0.2">
      <c r="G100" s="69" t="s">
        <v>584</v>
      </c>
      <c r="H100" s="60"/>
      <c r="I100" s="60"/>
      <c r="J100" s="60"/>
      <c r="K100" s="31">
        <f>IF($W$13="Yes",SimpleF!K160,0)</f>
        <v>0</v>
      </c>
      <c r="L100" s="31">
        <f>IF($W$13="Yes",SimpleF!L160,0)</f>
        <v>0</v>
      </c>
      <c r="M100" s="31">
        <f>IF($W$13="Yes",SimpleF!M160,0)</f>
        <v>0</v>
      </c>
      <c r="N100" s="31">
        <f>IF($W$13="Yes",SimpleF!N160,0)</f>
        <v>0</v>
      </c>
      <c r="O100" s="31">
        <f>IF($W$13="Yes",SimpleF!O160,0)</f>
        <v>0</v>
      </c>
      <c r="P100" s="31">
        <f>IF($W$13="Yes",SimpleF!P160,0)</f>
        <v>0</v>
      </c>
      <c r="Q100" s="31">
        <f>IF($W$13="Yes",SimpleF!Q160,0)</f>
        <v>0</v>
      </c>
      <c r="R100" s="31">
        <f>IF($W$13="Yes",SimpleF!R160,0)</f>
        <v>0</v>
      </c>
      <c r="S100" s="31">
        <f>IF($W$13="Yes",SimpleF!S160,0)</f>
        <v>0</v>
      </c>
      <c r="T100" s="31">
        <f>IF($W$13="Yes",SimpleF!T160,0)</f>
        <v>0</v>
      </c>
      <c r="U100" s="31">
        <f>IF($W$13="Yes",SimpleF!U160,0)</f>
        <v>0</v>
      </c>
      <c r="V100" s="31">
        <f>IF($W$13="Yes",SimpleF!V160,0)</f>
        <v>0</v>
      </c>
      <c r="W100" s="31">
        <f>IF($W$13="Yes",SimpleF!W160,0)</f>
        <v>0</v>
      </c>
      <c r="X100" s="31">
        <f>IF($W$13="Yes",SimpleF!X160,0)</f>
        <v>0</v>
      </c>
      <c r="Y100" s="31">
        <f>IF($W$13="Yes",SimpleF!Y160,0)</f>
        <v>0</v>
      </c>
      <c r="Z100" s="31">
        <f>IF($W$13="Yes",SimpleF!Z160,0)</f>
        <v>0</v>
      </c>
      <c r="AA100" s="31">
        <f>IF($W$13="Yes",SimpleF!AA160,0)</f>
        <v>0</v>
      </c>
      <c r="AB100" s="31">
        <f>IF($W$13="Yes",SimpleF!AB160,0)</f>
        <v>0</v>
      </c>
      <c r="AC100" s="31">
        <f>IF($W$13="Yes",SimpleF!AC160,0)</f>
        <v>0</v>
      </c>
      <c r="AD100" s="31">
        <f>IF($W$13="Yes",SimpleF!AD160,0)</f>
        <v>0</v>
      </c>
      <c r="AE100" s="31">
        <f>IF($W$13="Yes",SimpleF!AE160,0)</f>
        <v>0</v>
      </c>
      <c r="AF100" s="31">
        <f>IF($W$13="Yes",SimpleF!AF160,0)</f>
        <v>0</v>
      </c>
      <c r="AG100" s="31">
        <f>IF($W$13="Yes",SimpleF!AG160,0)</f>
        <v>0</v>
      </c>
      <c r="AH100" s="31">
        <f>IF($W$13="Yes",SimpleF!AH160,0)</f>
        <v>0</v>
      </c>
      <c r="AI100" s="31">
        <f>IF($W$13="Yes",SimpleF!AI160,0)</f>
        <v>0</v>
      </c>
      <c r="AJ100" s="31">
        <f>IF($W$13="Yes",SimpleF!AJ160,0)</f>
        <v>0</v>
      </c>
    </row>
    <row r="101" spans="7:36" ht="15" hidden="1" customHeight="1" x14ac:dyDescent="0.2">
      <c r="G101" s="731" t="s">
        <v>557</v>
      </c>
      <c r="H101" s="60"/>
      <c r="I101" s="60"/>
      <c r="J101" s="60"/>
      <c r="K101" s="735">
        <f>IF($W$18="Yes",SimpleV!K160,0)</f>
        <v>0</v>
      </c>
      <c r="L101" s="735">
        <f>IF($W$18="Yes",SimpleV!L160,0)</f>
        <v>0</v>
      </c>
      <c r="M101" s="735">
        <f>IF($W$18="Yes",SimpleV!M160,0)</f>
        <v>0</v>
      </c>
      <c r="N101" s="735">
        <f>IF($W$18="Yes",SimpleV!N160,0)</f>
        <v>0</v>
      </c>
      <c r="O101" s="735">
        <f>IF($W$18="Yes",SimpleV!O160,0)</f>
        <v>0</v>
      </c>
      <c r="P101" s="735">
        <f>IF($W$18="Yes",SimpleV!P160,0)</f>
        <v>0</v>
      </c>
      <c r="Q101" s="735">
        <f>IF($W$18="Yes",SimpleV!Q160,0)</f>
        <v>0</v>
      </c>
      <c r="R101" s="735">
        <f>IF($W$18="Yes",SimpleV!R160,0)</f>
        <v>0</v>
      </c>
      <c r="S101" s="735">
        <f>IF($W$18="Yes",SimpleV!S160,0)</f>
        <v>0</v>
      </c>
      <c r="T101" s="735">
        <f>IF($W$18="Yes",SimpleV!T160,0)</f>
        <v>0</v>
      </c>
      <c r="U101" s="735">
        <f>IF($W$18="Yes",SimpleV!U160,0)</f>
        <v>0</v>
      </c>
      <c r="V101" s="735">
        <f>IF($W$18="Yes",SimpleV!V160,0)</f>
        <v>0</v>
      </c>
      <c r="W101" s="735">
        <f>IF($W$18="Yes",SimpleV!W160,0)</f>
        <v>0</v>
      </c>
      <c r="X101" s="735">
        <f>IF($W$18="Yes",SimpleV!X160,0)</f>
        <v>0</v>
      </c>
      <c r="Y101" s="735">
        <f>IF($W$18="Yes",SimpleV!Y160,0)</f>
        <v>0</v>
      </c>
      <c r="Z101" s="735">
        <f>IF($W$18="Yes",SimpleV!Z160,0)</f>
        <v>0</v>
      </c>
      <c r="AA101" s="735">
        <f>IF($W$18="Yes",SimpleV!AA160,0)</f>
        <v>0</v>
      </c>
      <c r="AB101" s="735">
        <f>IF($W$18="Yes",SimpleV!AB160,0)</f>
        <v>0</v>
      </c>
      <c r="AC101" s="735">
        <f>IF($W$18="Yes",SimpleV!AC160,0)</f>
        <v>0</v>
      </c>
      <c r="AD101" s="735">
        <f>IF($W$18="Yes",SimpleV!AD160,0)</f>
        <v>0</v>
      </c>
      <c r="AE101" s="735">
        <f>IF($W$18="Yes",SimpleV!AE160,0)</f>
        <v>0</v>
      </c>
      <c r="AF101" s="735">
        <f>IF($W$18="Yes",SimpleV!AF160,0)</f>
        <v>0</v>
      </c>
      <c r="AG101" s="735">
        <f>IF($W$18="Yes",SimpleV!AG160,0)</f>
        <v>0</v>
      </c>
      <c r="AH101" s="735">
        <f>IF($W$18="Yes",SimpleV!AH160,0)</f>
        <v>0</v>
      </c>
      <c r="AI101" s="735">
        <f>IF($W$18="Yes",SimpleV!AI160,0)</f>
        <v>0</v>
      </c>
      <c r="AJ101" s="735">
        <f>IF($W$18="Yes",SimpleV!AJ160,0)</f>
        <v>0</v>
      </c>
    </row>
    <row r="102" spans="7:36" ht="15" hidden="1" customHeight="1" x14ac:dyDescent="0.2">
      <c r="G102" s="732" t="s">
        <v>454</v>
      </c>
      <c r="H102" s="60"/>
      <c r="I102" s="60"/>
      <c r="J102" s="60"/>
      <c r="K102" s="736">
        <f>IF($W$23="Yes",SimpleH2!K160,0)</f>
        <v>0</v>
      </c>
      <c r="L102" s="736">
        <f>IF($W$23="Yes",SimpleH2!L160,0)</f>
        <v>0</v>
      </c>
      <c r="M102" s="736">
        <f>IF($W$23="Yes",SimpleH2!M160,0)</f>
        <v>0</v>
      </c>
      <c r="N102" s="736">
        <f>IF($W$23="Yes",SimpleH2!N160,0)</f>
        <v>0</v>
      </c>
      <c r="O102" s="736">
        <f>IF($W$23="Yes",SimpleH2!O160,0)</f>
        <v>0</v>
      </c>
      <c r="P102" s="736">
        <f>IF($W$23="Yes",SimpleH2!P160,0)</f>
        <v>0</v>
      </c>
      <c r="Q102" s="736">
        <f>IF($W$23="Yes",SimpleH2!Q160,0)</f>
        <v>0</v>
      </c>
      <c r="R102" s="736">
        <f>IF($W$23="Yes",SimpleH2!R160,0)</f>
        <v>0</v>
      </c>
      <c r="S102" s="736">
        <f>IF($W$23="Yes",SimpleH2!S160,0)</f>
        <v>0</v>
      </c>
      <c r="T102" s="736">
        <f>IF($W$23="Yes",SimpleH2!T160,0)</f>
        <v>0</v>
      </c>
      <c r="U102" s="736">
        <f>IF($W$23="Yes",SimpleH2!U160,0)</f>
        <v>0</v>
      </c>
      <c r="V102" s="736">
        <f>IF($W$23="Yes",SimpleH2!V160,0)</f>
        <v>0</v>
      </c>
      <c r="W102" s="736">
        <f>IF($W$23="Yes",SimpleH2!W160,0)</f>
        <v>0</v>
      </c>
      <c r="X102" s="736">
        <f>IF($W$23="Yes",SimpleH2!X160,0)</f>
        <v>0</v>
      </c>
      <c r="Y102" s="736">
        <f>IF($W$23="Yes",SimpleH2!Y160,0)</f>
        <v>0</v>
      </c>
      <c r="Z102" s="736">
        <f>IF($W$23="Yes",SimpleH2!Z160,0)</f>
        <v>0</v>
      </c>
      <c r="AA102" s="736">
        <f>IF($W$23="Yes",SimpleH2!AA160,0)</f>
        <v>0</v>
      </c>
      <c r="AB102" s="736">
        <f>IF($W$23="Yes",SimpleH2!AB160,0)</f>
        <v>0</v>
      </c>
      <c r="AC102" s="736">
        <f>IF($W$23="Yes",SimpleH2!AC160,0)</f>
        <v>0</v>
      </c>
      <c r="AD102" s="736">
        <f>IF($W$23="Yes",SimpleH2!AD160,0)</f>
        <v>0</v>
      </c>
      <c r="AE102" s="736">
        <f>IF($W$23="Yes",SimpleH2!AE160,0)</f>
        <v>0</v>
      </c>
      <c r="AF102" s="736">
        <f>IF($W$23="Yes",SimpleH2!AF160,0)</f>
        <v>0</v>
      </c>
      <c r="AG102" s="736">
        <f>IF($W$23="Yes",SimpleH2!AG160,0)</f>
        <v>0</v>
      </c>
      <c r="AH102" s="736">
        <f>IF($W$23="Yes",SimpleH2!AH160,0)</f>
        <v>0</v>
      </c>
      <c r="AI102" s="736">
        <f>IF($W$23="Yes",SimpleH2!AI160,0)</f>
        <v>0</v>
      </c>
      <c r="AJ102" s="736">
        <f>IF($W$23="Yes",SimpleH2!AJ160,0)</f>
        <v>0</v>
      </c>
    </row>
    <row r="103" spans="7:36" ht="15" hidden="1" customHeight="1" x14ac:dyDescent="0.2">
      <c r="G103" s="108" t="s">
        <v>585</v>
      </c>
      <c r="H103" s="60"/>
      <c r="I103" s="60"/>
      <c r="J103" s="60"/>
      <c r="K103" s="737">
        <f>IF($W$28="Yes",SimpleC!K160,0)</f>
        <v>0</v>
      </c>
      <c r="L103" s="737">
        <f>IF($W$28="Yes",SimpleC!L160,0)</f>
        <v>0</v>
      </c>
      <c r="M103" s="737">
        <f>IF($W$28="Yes",SimpleC!M160,0)</f>
        <v>0</v>
      </c>
      <c r="N103" s="737">
        <f>IF($W$28="Yes",SimpleC!N160,0)</f>
        <v>0</v>
      </c>
      <c r="O103" s="737">
        <f>IF($W$28="Yes",SimpleC!O160,0)</f>
        <v>0</v>
      </c>
      <c r="P103" s="737">
        <f>IF($W$28="Yes",SimpleC!P160,0)</f>
        <v>0</v>
      </c>
      <c r="Q103" s="737">
        <f>IF($W$28="Yes",SimpleC!Q160,0)</f>
        <v>0</v>
      </c>
      <c r="R103" s="737">
        <f>IF($W$28="Yes",SimpleC!R160,0)</f>
        <v>0</v>
      </c>
      <c r="S103" s="737">
        <f>IF($W$28="Yes",SimpleC!S160,0)</f>
        <v>0</v>
      </c>
      <c r="T103" s="737">
        <f>IF($W$28="Yes",SimpleC!T160,0)</f>
        <v>0</v>
      </c>
      <c r="U103" s="737">
        <f>IF($W$28="Yes",SimpleC!U160,0)</f>
        <v>0</v>
      </c>
      <c r="V103" s="737">
        <f>IF($W$28="Yes",SimpleC!V160,0)</f>
        <v>0</v>
      </c>
      <c r="W103" s="737">
        <f>IF($W$28="Yes",SimpleC!W160,0)</f>
        <v>0</v>
      </c>
      <c r="X103" s="737">
        <f>IF($W$28="Yes",SimpleC!X160,0)</f>
        <v>0</v>
      </c>
      <c r="Y103" s="737">
        <f>IF($W$28="Yes",SimpleC!Y160,0)</f>
        <v>0</v>
      </c>
      <c r="Z103" s="737">
        <f>IF($W$28="Yes",SimpleC!Z160,0)</f>
        <v>0</v>
      </c>
      <c r="AA103" s="737">
        <f>IF($W$28="Yes",SimpleC!AA160,0)</f>
        <v>0</v>
      </c>
      <c r="AB103" s="737">
        <f>IF($W$28="Yes",SimpleC!AB160,0)</f>
        <v>0</v>
      </c>
      <c r="AC103" s="737">
        <f>IF($W$28="Yes",SimpleC!AC160,0)</f>
        <v>0</v>
      </c>
      <c r="AD103" s="737">
        <f>IF($W$28="Yes",SimpleC!AD160,0)</f>
        <v>0</v>
      </c>
      <c r="AE103" s="737">
        <f>IF($W$28="Yes",SimpleC!AE160,0)</f>
        <v>0</v>
      </c>
      <c r="AF103" s="737">
        <f>IF($W$28="Yes",SimpleC!AF160,0)</f>
        <v>0</v>
      </c>
      <c r="AG103" s="737">
        <f>IF($W$28="Yes",SimpleC!AG160,0)</f>
        <v>0</v>
      </c>
      <c r="AH103" s="737">
        <f>IF($W$28="Yes",SimpleC!AH160,0)</f>
        <v>0</v>
      </c>
      <c r="AI103" s="737">
        <f>IF($W$28="Yes",SimpleC!AI160,0)</f>
        <v>0</v>
      </c>
      <c r="AJ103" s="737">
        <f>IF($W$28="Yes",SimpleC!AJ160,0)</f>
        <v>0</v>
      </c>
    </row>
    <row r="104" spans="7:36" ht="15" hidden="1" customHeight="1" x14ac:dyDescent="0.2">
      <c r="G104" s="733" t="s">
        <v>20</v>
      </c>
      <c r="H104" s="60"/>
      <c r="I104" s="60"/>
      <c r="J104" s="60"/>
      <c r="K104" s="738">
        <f>IF($W$33="Yes",SimpleL!K160,0)</f>
        <v>0</v>
      </c>
      <c r="L104" s="738">
        <f>IF($W$33="Yes",SimpleL!L160,0)</f>
        <v>0</v>
      </c>
      <c r="M104" s="738">
        <f>IF($W$33="Yes",SimpleL!M160,0)</f>
        <v>0</v>
      </c>
      <c r="N104" s="738">
        <f>IF($W$33="Yes",SimpleL!N160,0)</f>
        <v>0</v>
      </c>
      <c r="O104" s="738">
        <f>IF($W$33="Yes",SimpleL!O160,0)</f>
        <v>0</v>
      </c>
      <c r="P104" s="738">
        <f>IF($W$33="Yes",SimpleL!P160,0)</f>
        <v>0</v>
      </c>
      <c r="Q104" s="738">
        <f>IF($W$33="Yes",SimpleL!Q160,0)</f>
        <v>0</v>
      </c>
      <c r="R104" s="738">
        <f>IF($W$33="Yes",SimpleL!R160,0)</f>
        <v>0</v>
      </c>
      <c r="S104" s="738">
        <f>IF($W$33="Yes",SimpleL!S160,0)</f>
        <v>0</v>
      </c>
      <c r="T104" s="738">
        <f>IF($W$33="Yes",SimpleL!T160,0)</f>
        <v>0</v>
      </c>
      <c r="U104" s="738">
        <f>IF($W$33="Yes",SimpleL!U160,0)</f>
        <v>0</v>
      </c>
      <c r="V104" s="738">
        <f>IF($W$33="Yes",SimpleL!V160,0)</f>
        <v>0</v>
      </c>
      <c r="W104" s="738">
        <f>IF($W$33="Yes",SimpleL!W160,0)</f>
        <v>0</v>
      </c>
      <c r="X104" s="738">
        <f>IF($W$33="Yes",SimpleL!X160,0)</f>
        <v>0</v>
      </c>
      <c r="Y104" s="738">
        <f>IF($W$33="Yes",SimpleL!Y160,0)</f>
        <v>0</v>
      </c>
      <c r="Z104" s="738">
        <f>IF($W$33="Yes",SimpleL!Z160,0)</f>
        <v>0</v>
      </c>
      <c r="AA104" s="738">
        <f>IF($W$33="Yes",SimpleL!AA160,0)</f>
        <v>0</v>
      </c>
      <c r="AB104" s="738">
        <f>IF($W$33="Yes",SimpleL!AB160,0)</f>
        <v>0</v>
      </c>
      <c r="AC104" s="738">
        <f>IF($W$33="Yes",SimpleL!AC160,0)</f>
        <v>0</v>
      </c>
      <c r="AD104" s="738">
        <f>IF($W$33="Yes",SimpleL!AD160,0)</f>
        <v>0</v>
      </c>
      <c r="AE104" s="738">
        <f>IF($W$33="Yes",SimpleL!AE160,0)</f>
        <v>0</v>
      </c>
      <c r="AF104" s="738">
        <f>IF($W$33="Yes",SimpleL!AF160,0)</f>
        <v>0</v>
      </c>
      <c r="AG104" s="738">
        <f>IF($W$33="Yes",SimpleL!AG160,0)</f>
        <v>0</v>
      </c>
      <c r="AH104" s="738">
        <f>IF($W$33="Yes",SimpleL!AH160,0)</f>
        <v>0</v>
      </c>
      <c r="AI104" s="738">
        <f>IF($W$33="Yes",SimpleL!AI160,0)</f>
        <v>0</v>
      </c>
      <c r="AJ104" s="738">
        <f>IF($W$33="Yes",SimpleL!AJ160,0)</f>
        <v>0</v>
      </c>
    </row>
    <row r="105" spans="7:36" ht="15" hidden="1" customHeight="1" x14ac:dyDescent="0.2">
      <c r="G105" s="60" t="s">
        <v>586</v>
      </c>
      <c r="H105" s="60"/>
      <c r="I105" s="60"/>
      <c r="J105" s="60"/>
      <c r="K105" s="32">
        <f>IF($W$38="Yes",SimpleBA!K160,0)</f>
        <v>0</v>
      </c>
      <c r="L105" s="32">
        <f>IF($W$38="Yes",SimpleBA!L160,0)</f>
        <v>0</v>
      </c>
      <c r="M105" s="32">
        <f>IF($W$38="Yes",SimpleBA!M160,0)</f>
        <v>0</v>
      </c>
      <c r="N105" s="32">
        <f>IF($W$38="Yes",SimpleBA!N160,0)</f>
        <v>0</v>
      </c>
      <c r="O105" s="32">
        <f>IF($W$38="Yes",SimpleBA!O160,0)</f>
        <v>0</v>
      </c>
      <c r="P105" s="32">
        <f>IF($W$38="Yes",SimpleBA!P160,0)</f>
        <v>0</v>
      </c>
      <c r="Q105" s="32">
        <f>IF($W$38="Yes",SimpleBA!Q160,0)</f>
        <v>0</v>
      </c>
      <c r="R105" s="32">
        <f>IF($W$38="Yes",SimpleBA!R160,0)</f>
        <v>0</v>
      </c>
      <c r="S105" s="32">
        <f>IF($W$38="Yes",SimpleBA!S160,0)</f>
        <v>0</v>
      </c>
      <c r="T105" s="32">
        <f>IF($W$38="Yes",SimpleBA!T160,0)</f>
        <v>0</v>
      </c>
      <c r="U105" s="32">
        <f>IF($W$38="Yes",SimpleBA!U160,0)</f>
        <v>0</v>
      </c>
      <c r="V105" s="32">
        <f>IF($W$38="Yes",SimpleBA!V160,0)</f>
        <v>0</v>
      </c>
      <c r="W105" s="32">
        <f>IF($W$38="Yes",SimpleBA!W160,0)</f>
        <v>0</v>
      </c>
      <c r="X105" s="32">
        <f>IF($W$38="Yes",SimpleBA!X160,0)</f>
        <v>0</v>
      </c>
      <c r="Y105" s="32">
        <f>IF($W$38="Yes",SimpleBA!Y160,0)</f>
        <v>0</v>
      </c>
      <c r="Z105" s="32">
        <f>IF($W$38="Yes",SimpleBA!Z160,0)</f>
        <v>0</v>
      </c>
      <c r="AA105" s="32">
        <f>IF($W$38="Yes",SimpleBA!AA160,0)</f>
        <v>0</v>
      </c>
      <c r="AB105" s="32">
        <f>IF($W$38="Yes",SimpleBA!AB160,0)</f>
        <v>0</v>
      </c>
      <c r="AC105" s="32">
        <f>IF($W$38="Yes",SimpleBA!AC160,0)</f>
        <v>0</v>
      </c>
      <c r="AD105" s="32">
        <f>IF($W$38="Yes",SimpleBA!AD160,0)</f>
        <v>0</v>
      </c>
      <c r="AE105" s="32">
        <f>IF($W$38="Yes",SimpleBA!AE160,0)</f>
        <v>0</v>
      </c>
      <c r="AF105" s="32">
        <f>IF($W$38="Yes",SimpleBA!AF160,0)</f>
        <v>0</v>
      </c>
      <c r="AG105" s="32">
        <f>IF($W$38="Yes",SimpleBA!AG160,0)</f>
        <v>0</v>
      </c>
      <c r="AH105" s="32">
        <f>IF($W$38="Yes",SimpleBA!AH160,0)</f>
        <v>0</v>
      </c>
      <c r="AI105" s="32">
        <f>IF($W$38="Yes",SimpleBA!AI160,0)</f>
        <v>0</v>
      </c>
      <c r="AJ105" s="32">
        <f>IF($W$38="Yes",SimpleBA!AJ160,0)</f>
        <v>0</v>
      </c>
    </row>
    <row r="106" spans="7:36" ht="15" hidden="1" customHeight="1" x14ac:dyDescent="0.2">
      <c r="G106" s="60" t="s">
        <v>587</v>
      </c>
      <c r="H106" s="60"/>
      <c r="I106" s="60"/>
      <c r="J106" s="60"/>
      <c r="K106" s="32">
        <f>IF($W$43="Yes",SimpleBB!K160,0)</f>
        <v>0</v>
      </c>
      <c r="L106" s="32">
        <f>IF($W$43="Yes",SimpleBB!L160,0)</f>
        <v>0</v>
      </c>
      <c r="M106" s="32">
        <f>IF($W$43="Yes",SimpleBB!M160,0)</f>
        <v>0</v>
      </c>
      <c r="N106" s="32">
        <f>IF($W$43="Yes",SimpleBB!N160,0)</f>
        <v>0</v>
      </c>
      <c r="O106" s="32">
        <f>IF($W$43="Yes",SimpleBB!O160,0)</f>
        <v>0</v>
      </c>
      <c r="P106" s="32">
        <f>IF($W$43="Yes",SimpleBB!P160,0)</f>
        <v>0</v>
      </c>
      <c r="Q106" s="32">
        <f>IF($W$43="Yes",SimpleBB!Q160,0)</f>
        <v>0</v>
      </c>
      <c r="R106" s="32">
        <f>IF($W$43="Yes",SimpleBB!R160,0)</f>
        <v>0</v>
      </c>
      <c r="S106" s="32">
        <f>IF($W$43="Yes",SimpleBB!S160,0)</f>
        <v>0</v>
      </c>
      <c r="T106" s="32">
        <f>IF($W$43="Yes",SimpleBB!T160,0)</f>
        <v>0</v>
      </c>
      <c r="U106" s="32">
        <f>IF($W$43="Yes",SimpleBB!U160,0)</f>
        <v>0</v>
      </c>
      <c r="V106" s="32">
        <f>IF($W$43="Yes",SimpleBB!V160,0)</f>
        <v>0</v>
      </c>
      <c r="W106" s="32">
        <f>IF($W$43="Yes",SimpleBB!W160,0)</f>
        <v>0</v>
      </c>
      <c r="X106" s="32">
        <f>IF($W$43="Yes",SimpleBB!X160,0)</f>
        <v>0</v>
      </c>
      <c r="Y106" s="32">
        <f>IF($W$43="Yes",SimpleBB!Y160,0)</f>
        <v>0</v>
      </c>
      <c r="Z106" s="32">
        <f>IF($W$43="Yes",SimpleBB!Z160,0)</f>
        <v>0</v>
      </c>
      <c r="AA106" s="32">
        <f>IF($W$43="Yes",SimpleBB!AA160,0)</f>
        <v>0</v>
      </c>
      <c r="AB106" s="32">
        <f>IF($W$43="Yes",SimpleBB!AB160,0)</f>
        <v>0</v>
      </c>
      <c r="AC106" s="32">
        <f>IF($W$43="Yes",SimpleBB!AC160,0)</f>
        <v>0</v>
      </c>
      <c r="AD106" s="32">
        <f>IF($W$43="Yes",SimpleBB!AD160,0)</f>
        <v>0</v>
      </c>
      <c r="AE106" s="32">
        <f>IF($W$43="Yes",SimpleBB!AE160,0)</f>
        <v>0</v>
      </c>
      <c r="AF106" s="32">
        <f>IF($W$43="Yes",SimpleBB!AF160,0)</f>
        <v>0</v>
      </c>
      <c r="AG106" s="32">
        <f>IF($W$43="Yes",SimpleBB!AG160,0)</f>
        <v>0</v>
      </c>
      <c r="AH106" s="32">
        <f>IF($W$43="Yes",SimpleBB!AH160,0)</f>
        <v>0</v>
      </c>
      <c r="AI106" s="32">
        <f>IF($W$43="Yes",SimpleBB!AI160,0)</f>
        <v>0</v>
      </c>
      <c r="AJ106" s="32">
        <f>IF($W$43="Yes",SimpleBB!AJ160,0)</f>
        <v>0</v>
      </c>
    </row>
    <row r="107" spans="7:36" ht="15" hidden="1" customHeight="1" x14ac:dyDescent="0.2">
      <c r="G107" s="60" t="s">
        <v>588</v>
      </c>
      <c r="H107" s="60"/>
      <c r="I107" s="60"/>
      <c r="J107" s="60"/>
      <c r="K107" s="32">
        <f>IF($W$48="Yes",SimpleBC!K160,0)</f>
        <v>0</v>
      </c>
      <c r="L107" s="32">
        <f>IF($W$48="Yes",SimpleBC!L160,0)</f>
        <v>0</v>
      </c>
      <c r="M107" s="32">
        <f>IF($W$48="Yes",SimpleBC!M160,0)</f>
        <v>0</v>
      </c>
      <c r="N107" s="32">
        <f>IF($W$48="Yes",SimpleBC!N160,0)</f>
        <v>0</v>
      </c>
      <c r="O107" s="32">
        <f>IF($W$48="Yes",SimpleBC!O160,0)</f>
        <v>0</v>
      </c>
      <c r="P107" s="32">
        <f>IF($W$48="Yes",SimpleBC!P160,0)</f>
        <v>0</v>
      </c>
      <c r="Q107" s="32">
        <f>IF($W$48="Yes",SimpleBC!Q160,0)</f>
        <v>0</v>
      </c>
      <c r="R107" s="32">
        <f>IF($W$48="Yes",SimpleBC!R160,0)</f>
        <v>0</v>
      </c>
      <c r="S107" s="32">
        <f>IF($W$48="Yes",SimpleBC!S160,0)</f>
        <v>0</v>
      </c>
      <c r="T107" s="32">
        <f>IF($W$48="Yes",SimpleBC!T160,0)</f>
        <v>0</v>
      </c>
      <c r="U107" s="32">
        <f>IF($W$48="Yes",SimpleBC!U160,0)</f>
        <v>0</v>
      </c>
      <c r="V107" s="32">
        <f>IF($W$48="Yes",SimpleBC!V160,0)</f>
        <v>0</v>
      </c>
      <c r="W107" s="32">
        <f>IF($W$48="Yes",SimpleBC!W160,0)</f>
        <v>0</v>
      </c>
      <c r="X107" s="32">
        <f>IF($W$48="Yes",SimpleBC!X160,0)</f>
        <v>0</v>
      </c>
      <c r="Y107" s="32">
        <f>IF($W$48="Yes",SimpleBC!Y160,0)</f>
        <v>0</v>
      </c>
      <c r="Z107" s="32">
        <f>IF($W$48="Yes",SimpleBC!Z160,0)</f>
        <v>0</v>
      </c>
      <c r="AA107" s="32">
        <f>IF($W$48="Yes",SimpleBC!AA160,0)</f>
        <v>0</v>
      </c>
      <c r="AB107" s="32">
        <f>IF($W$48="Yes",SimpleBC!AB160,0)</f>
        <v>0</v>
      </c>
      <c r="AC107" s="32">
        <f>IF($W$48="Yes",SimpleBC!AC160,0)</f>
        <v>0</v>
      </c>
      <c r="AD107" s="32">
        <f>IF($W$48="Yes",SimpleBC!AD160,0)</f>
        <v>0</v>
      </c>
      <c r="AE107" s="32">
        <f>IF($W$48="Yes",SimpleBC!AE160,0)</f>
        <v>0</v>
      </c>
      <c r="AF107" s="32">
        <f>IF($W$48="Yes",SimpleBC!AF160,0)</f>
        <v>0</v>
      </c>
      <c r="AG107" s="32">
        <f>IF($W$48="Yes",SimpleBC!AG160,0)</f>
        <v>0</v>
      </c>
      <c r="AH107" s="32">
        <f>IF($W$48="Yes",SimpleBC!AH160,0)</f>
        <v>0</v>
      </c>
      <c r="AI107" s="32">
        <f>IF($W$48="Yes",SimpleBC!AI160,0)</f>
        <v>0</v>
      </c>
      <c r="AJ107" s="32">
        <f>IF($W$48="Yes",SimpleBC!AJ160,0)</f>
        <v>0</v>
      </c>
    </row>
    <row r="108" spans="7:36" ht="15" hidden="1" customHeight="1" x14ac:dyDescent="0.2">
      <c r="G108" s="60"/>
      <c r="H108" s="60"/>
      <c r="I108" s="60"/>
      <c r="J108" s="60"/>
      <c r="K108" s="60"/>
      <c r="L108" s="60"/>
      <c r="M108" s="60"/>
      <c r="N108" s="60"/>
      <c r="O108" s="60"/>
      <c r="P108" s="517"/>
      <c r="Q108" s="60"/>
      <c r="R108" s="61"/>
      <c r="S108" s="60"/>
      <c r="T108" s="60"/>
      <c r="U108" s="60"/>
      <c r="V108" s="60"/>
      <c r="W108" s="60"/>
      <c r="X108" s="60"/>
      <c r="Y108" s="60"/>
      <c r="Z108" s="60"/>
      <c r="AA108" s="60"/>
      <c r="AB108" s="60"/>
      <c r="AC108" s="60"/>
      <c r="AD108" s="60"/>
      <c r="AE108" s="60"/>
      <c r="AF108" s="60"/>
      <c r="AG108" s="60"/>
      <c r="AH108" s="60"/>
      <c r="AI108" s="60"/>
      <c r="AJ108" s="60"/>
    </row>
    <row r="109" spans="7:36" ht="15" hidden="1" customHeight="1" x14ac:dyDescent="0.2">
      <c r="G109" s="196" t="s">
        <v>593</v>
      </c>
      <c r="H109" s="60"/>
      <c r="I109" s="60"/>
      <c r="J109" s="60"/>
      <c r="K109" s="740">
        <f t="shared" ref="K109:AJ109" si="4">SUM(K100:K107)</f>
        <v>0</v>
      </c>
      <c r="L109" s="740">
        <f t="shared" si="4"/>
        <v>0</v>
      </c>
      <c r="M109" s="740">
        <f t="shared" si="4"/>
        <v>0</v>
      </c>
      <c r="N109" s="740">
        <f t="shared" si="4"/>
        <v>0</v>
      </c>
      <c r="O109" s="740">
        <f t="shared" si="4"/>
        <v>0</v>
      </c>
      <c r="P109" s="740">
        <f t="shared" si="4"/>
        <v>0</v>
      </c>
      <c r="Q109" s="740">
        <f t="shared" si="4"/>
        <v>0</v>
      </c>
      <c r="R109" s="740">
        <f t="shared" si="4"/>
        <v>0</v>
      </c>
      <c r="S109" s="740">
        <f t="shared" si="4"/>
        <v>0</v>
      </c>
      <c r="T109" s="740">
        <f t="shared" si="4"/>
        <v>0</v>
      </c>
      <c r="U109" s="740">
        <f t="shared" si="4"/>
        <v>0</v>
      </c>
      <c r="V109" s="740">
        <f t="shared" si="4"/>
        <v>0</v>
      </c>
      <c r="W109" s="740">
        <f t="shared" si="4"/>
        <v>0</v>
      </c>
      <c r="X109" s="740">
        <f t="shared" si="4"/>
        <v>0</v>
      </c>
      <c r="Y109" s="740">
        <f t="shared" si="4"/>
        <v>0</v>
      </c>
      <c r="Z109" s="740">
        <f t="shared" si="4"/>
        <v>0</v>
      </c>
      <c r="AA109" s="740">
        <f t="shared" si="4"/>
        <v>0</v>
      </c>
      <c r="AB109" s="740">
        <f t="shared" si="4"/>
        <v>0</v>
      </c>
      <c r="AC109" s="740">
        <f t="shared" si="4"/>
        <v>0</v>
      </c>
      <c r="AD109" s="740">
        <f t="shared" si="4"/>
        <v>0</v>
      </c>
      <c r="AE109" s="740">
        <f t="shared" si="4"/>
        <v>0</v>
      </c>
      <c r="AF109" s="740">
        <f t="shared" si="4"/>
        <v>0</v>
      </c>
      <c r="AG109" s="740">
        <f t="shared" si="4"/>
        <v>0</v>
      </c>
      <c r="AH109" s="740">
        <f t="shared" si="4"/>
        <v>0</v>
      </c>
      <c r="AI109" s="740">
        <f t="shared" si="4"/>
        <v>0</v>
      </c>
      <c r="AJ109" s="740">
        <f t="shared" si="4"/>
        <v>0</v>
      </c>
    </row>
  </sheetData>
  <mergeCells count="43">
    <mergeCell ref="W38:X39"/>
    <mergeCell ref="G37:M38"/>
    <mergeCell ref="N13:N14"/>
    <mergeCell ref="O13:O14"/>
    <mergeCell ref="O23:O24"/>
    <mergeCell ref="O28:O29"/>
    <mergeCell ref="N23:N24"/>
    <mergeCell ref="Q10:T10"/>
    <mergeCell ref="M12:O12"/>
    <mergeCell ref="W5:X7"/>
    <mergeCell ref="V10:X10"/>
    <mergeCell ref="A1:E3"/>
    <mergeCell ref="G1:H3"/>
    <mergeCell ref="B7:D7"/>
    <mergeCell ref="G42:M43"/>
    <mergeCell ref="N43:N44"/>
    <mergeCell ref="N28:N29"/>
    <mergeCell ref="G5:H7"/>
    <mergeCell ref="B26:D27"/>
    <mergeCell ref="B31:D32"/>
    <mergeCell ref="N33:N34"/>
    <mergeCell ref="N38:N39"/>
    <mergeCell ref="G17:M18"/>
    <mergeCell ref="G22:M23"/>
    <mergeCell ref="G27:M28"/>
    <mergeCell ref="G32:M33"/>
    <mergeCell ref="N18:N19"/>
    <mergeCell ref="W43:X44"/>
    <mergeCell ref="W48:X49"/>
    <mergeCell ref="G12:L13"/>
    <mergeCell ref="O33:O34"/>
    <mergeCell ref="O38:O39"/>
    <mergeCell ref="O18:O19"/>
    <mergeCell ref="W13:X14"/>
    <mergeCell ref="W18:X19"/>
    <mergeCell ref="W23:X24"/>
    <mergeCell ref="W28:X29"/>
    <mergeCell ref="W33:X34"/>
    <mergeCell ref="Q48:T48"/>
    <mergeCell ref="O43:O44"/>
    <mergeCell ref="G47:M48"/>
    <mergeCell ref="N48:N49"/>
    <mergeCell ref="O48:O49"/>
  </mergeCells>
  <conditionalFormatting sqref="G10">
    <cfRule type="expression" dxfId="470" priority="48">
      <formula>#REF!="No"</formula>
    </cfRule>
    <cfRule type="expression" dxfId="469" priority="49">
      <formula>#REF!="No"</formula>
    </cfRule>
  </conditionalFormatting>
  <conditionalFormatting sqref="G12">
    <cfRule type="expression" dxfId="468" priority="131">
      <formula>#REF!="No"</formula>
    </cfRule>
  </conditionalFormatting>
  <conditionalFormatting sqref="G17">
    <cfRule type="expression" dxfId="467" priority="118">
      <formula>#REF!="No"</formula>
    </cfRule>
  </conditionalFormatting>
  <conditionalFormatting sqref="G22">
    <cfRule type="expression" dxfId="466" priority="121">
      <formula>#REF!="No"</formula>
    </cfRule>
  </conditionalFormatting>
  <conditionalFormatting sqref="G24">
    <cfRule type="expression" dxfId="465" priority="130">
      <formula>#REF!="No"</formula>
    </cfRule>
  </conditionalFormatting>
  <conditionalFormatting sqref="G25">
    <cfRule type="expression" dxfId="464" priority="105">
      <formula>#REF!="No"</formula>
    </cfRule>
  </conditionalFormatting>
  <conditionalFormatting sqref="G27">
    <cfRule type="expression" dxfId="463" priority="120">
      <formula>#REF!="No"</formula>
    </cfRule>
  </conditionalFormatting>
  <conditionalFormatting sqref="G32">
    <cfRule type="expression" dxfId="462" priority="119">
      <formula>#REF!="No"</formula>
    </cfRule>
  </conditionalFormatting>
  <conditionalFormatting sqref="G37">
    <cfRule type="expression" dxfId="461" priority="104">
      <formula>#REF!="No"</formula>
    </cfRule>
  </conditionalFormatting>
  <conditionalFormatting sqref="G42">
    <cfRule type="expression" dxfId="460" priority="26">
      <formula>#REF!="No"</formula>
    </cfRule>
  </conditionalFormatting>
  <conditionalFormatting sqref="G47">
    <cfRule type="expression" dxfId="459" priority="25">
      <formula>#REF!="No"</formula>
    </cfRule>
  </conditionalFormatting>
  <conditionalFormatting sqref="G75">
    <cfRule type="expression" dxfId="458" priority="20">
      <formula>#REF!="No"</formula>
    </cfRule>
  </conditionalFormatting>
  <conditionalFormatting sqref="G87">
    <cfRule type="expression" dxfId="457" priority="19">
      <formula>#REF!="No"</formula>
    </cfRule>
  </conditionalFormatting>
  <conditionalFormatting sqref="G99">
    <cfRule type="expression" dxfId="456" priority="12">
      <formula>#REF!="No"</formula>
    </cfRule>
  </conditionalFormatting>
  <conditionalFormatting sqref="N10">
    <cfRule type="expression" dxfId="455" priority="42">
      <formula>#REF!="No"</formula>
    </cfRule>
  </conditionalFormatting>
  <conditionalFormatting sqref="Q10">
    <cfRule type="expression" dxfId="454" priority="27">
      <formula>#REF!="No"</formula>
    </cfRule>
  </conditionalFormatting>
  <conditionalFormatting sqref="Q48:Q50">
    <cfRule type="expression" dxfId="453" priority="8">
      <formula>#REF!="No"</formula>
    </cfRule>
  </conditionalFormatting>
  <conditionalFormatting sqref="S49:S50">
    <cfRule type="expression" dxfId="452" priority="9">
      <formula>#REF!="No"</formula>
    </cfRule>
  </conditionalFormatting>
  <conditionalFormatting sqref="T49">
    <cfRule type="expression" dxfId="451" priority="17">
      <formula>#REF!="No"</formula>
    </cfRule>
  </conditionalFormatting>
  <conditionalFormatting sqref="T50">
    <cfRule type="expression" dxfId="450" priority="10">
      <formula>#REF!="No"</formula>
    </cfRule>
  </conditionalFormatting>
  <conditionalFormatting sqref="V10">
    <cfRule type="expression" dxfId="449" priority="44">
      <formula>#REF!="No"</formula>
    </cfRule>
    <cfRule type="expression" dxfId="448" priority="45">
      <formula>#REF!="No"</formula>
    </cfRule>
  </conditionalFormatting>
  <conditionalFormatting sqref="W13">
    <cfRule type="dataBar" priority="68">
      <dataBar showValue="0">
        <cfvo type="num" val="0"/>
        <cfvo type="num" val="23"/>
        <color theme="9" tint="0.39997558519241921"/>
      </dataBar>
      <extLst>
        <ext xmlns:x14="http://schemas.microsoft.com/office/spreadsheetml/2009/9/main" uri="{B025F937-C7B1-47D3-B67F-A62EFF666E3E}">
          <x14:id>{529CD197-A175-47C9-9459-B1F89FC2C1F1}</x14:id>
        </ext>
      </extLst>
    </cfRule>
  </conditionalFormatting>
  <conditionalFormatting sqref="W18">
    <cfRule type="dataBar" priority="7">
      <dataBar showValue="0">
        <cfvo type="num" val="0"/>
        <cfvo type="num" val="23"/>
        <color theme="9" tint="0.39997558519241921"/>
      </dataBar>
      <extLst>
        <ext xmlns:x14="http://schemas.microsoft.com/office/spreadsheetml/2009/9/main" uri="{B025F937-C7B1-47D3-B67F-A62EFF666E3E}">
          <x14:id>{6F0462AE-B74B-4B66-8686-E43E7DB5373C}</x14:id>
        </ext>
      </extLst>
    </cfRule>
  </conditionalFormatting>
  <conditionalFormatting sqref="W23">
    <cfRule type="dataBar" priority="6">
      <dataBar showValue="0">
        <cfvo type="num" val="0"/>
        <cfvo type="num" val="23"/>
        <color theme="9" tint="0.39997558519241921"/>
      </dataBar>
      <extLst>
        <ext xmlns:x14="http://schemas.microsoft.com/office/spreadsheetml/2009/9/main" uri="{B025F937-C7B1-47D3-B67F-A62EFF666E3E}">
          <x14:id>{40941111-B1D5-4453-9DE4-8967F9B0D0FB}</x14:id>
        </ext>
      </extLst>
    </cfRule>
  </conditionalFormatting>
  <conditionalFormatting sqref="W28">
    <cfRule type="dataBar" priority="5">
      <dataBar showValue="0">
        <cfvo type="num" val="0"/>
        <cfvo type="num" val="23"/>
        <color theme="9" tint="0.39997558519241921"/>
      </dataBar>
      <extLst>
        <ext xmlns:x14="http://schemas.microsoft.com/office/spreadsheetml/2009/9/main" uri="{B025F937-C7B1-47D3-B67F-A62EFF666E3E}">
          <x14:id>{FC05CBC6-7CFB-4C1B-A60A-34AEDD7C629F}</x14:id>
        </ext>
      </extLst>
    </cfRule>
  </conditionalFormatting>
  <conditionalFormatting sqref="W33">
    <cfRule type="dataBar" priority="4">
      <dataBar showValue="0">
        <cfvo type="num" val="0"/>
        <cfvo type="num" val="23"/>
        <color theme="9" tint="0.39997558519241921"/>
      </dataBar>
      <extLst>
        <ext xmlns:x14="http://schemas.microsoft.com/office/spreadsheetml/2009/9/main" uri="{B025F937-C7B1-47D3-B67F-A62EFF666E3E}">
          <x14:id>{7962EF94-7FE0-46BD-BE8C-C72E9400553D}</x14:id>
        </ext>
      </extLst>
    </cfRule>
  </conditionalFormatting>
  <conditionalFormatting sqref="W38">
    <cfRule type="dataBar" priority="3">
      <dataBar showValue="0">
        <cfvo type="num" val="0"/>
        <cfvo type="num" val="23"/>
        <color theme="9" tint="0.39997558519241921"/>
      </dataBar>
      <extLst>
        <ext xmlns:x14="http://schemas.microsoft.com/office/spreadsheetml/2009/9/main" uri="{B025F937-C7B1-47D3-B67F-A62EFF666E3E}">
          <x14:id>{882275CD-82AC-449A-A0CC-7B95CCEDC3E5}</x14:id>
        </ext>
      </extLst>
    </cfRule>
  </conditionalFormatting>
  <conditionalFormatting sqref="W43">
    <cfRule type="dataBar" priority="2">
      <dataBar showValue="0">
        <cfvo type="num" val="0"/>
        <cfvo type="num" val="23"/>
        <color theme="9" tint="0.39997558519241921"/>
      </dataBar>
      <extLst>
        <ext xmlns:x14="http://schemas.microsoft.com/office/spreadsheetml/2009/9/main" uri="{B025F937-C7B1-47D3-B67F-A62EFF666E3E}">
          <x14:id>{F06003EA-C214-421A-B21A-AE38DC89BADA}</x14:id>
        </ext>
      </extLst>
    </cfRule>
  </conditionalFormatting>
  <conditionalFormatting sqref="W48">
    <cfRule type="dataBar" priority="1">
      <dataBar showValue="0">
        <cfvo type="num" val="0"/>
        <cfvo type="num" val="23"/>
        <color theme="9" tint="0.39997558519241921"/>
      </dataBar>
      <extLst>
        <ext xmlns:x14="http://schemas.microsoft.com/office/spreadsheetml/2009/9/main" uri="{B025F937-C7B1-47D3-B67F-A62EFF666E3E}">
          <x14:id>{4B910AED-B0EA-4550-89D1-452ED833EBC1}</x14:id>
        </ext>
      </extLst>
    </cfRule>
  </conditionalFormatting>
  <conditionalFormatting sqref="X12">
    <cfRule type="dataBar" priority="97">
      <dataBar showValue="0">
        <cfvo type="percent" val="0"/>
        <cfvo type="percent" val="100"/>
        <color theme="9" tint="0.39997558519241921"/>
      </dataBar>
      <extLst>
        <ext xmlns:x14="http://schemas.microsoft.com/office/spreadsheetml/2009/9/main" uri="{B025F937-C7B1-47D3-B67F-A62EFF666E3E}">
          <x14:id>{9500F62B-DE0F-40C2-A70E-40BC7DFC09EB}</x14:id>
        </ext>
      </extLst>
    </cfRule>
  </conditionalFormatting>
  <conditionalFormatting sqref="X17">
    <cfRule type="dataBar" priority="89">
      <dataBar showValue="0">
        <cfvo type="percent" val="0"/>
        <cfvo type="percent" val="100"/>
        <color theme="9" tint="0.39997558519241921"/>
      </dataBar>
      <extLst>
        <ext xmlns:x14="http://schemas.microsoft.com/office/spreadsheetml/2009/9/main" uri="{B025F937-C7B1-47D3-B67F-A62EFF666E3E}">
          <x14:id>{463B82D9-A315-40E9-AD68-F0D94E6BA373}</x14:id>
        </ext>
      </extLst>
    </cfRule>
  </conditionalFormatting>
  <conditionalFormatting sqref="X22">
    <cfRule type="dataBar" priority="87">
      <dataBar showValue="0">
        <cfvo type="percent" val="0"/>
        <cfvo type="percent" val="100"/>
        <color theme="9" tint="0.39997558519241921"/>
      </dataBar>
      <extLst>
        <ext xmlns:x14="http://schemas.microsoft.com/office/spreadsheetml/2009/9/main" uri="{B025F937-C7B1-47D3-B67F-A62EFF666E3E}">
          <x14:id>{21875D10-34D7-4D7E-B141-CCFB8C0C2301}</x14:id>
        </ext>
      </extLst>
    </cfRule>
  </conditionalFormatting>
  <conditionalFormatting sqref="X27">
    <cfRule type="dataBar" priority="85">
      <dataBar showValue="0">
        <cfvo type="percent" val="0"/>
        <cfvo type="percent" val="100"/>
        <color theme="9" tint="0.39997558519241921"/>
      </dataBar>
      <extLst>
        <ext xmlns:x14="http://schemas.microsoft.com/office/spreadsheetml/2009/9/main" uri="{B025F937-C7B1-47D3-B67F-A62EFF666E3E}">
          <x14:id>{32BABD12-8F43-498A-9136-C3710FC083F3}</x14:id>
        </ext>
      </extLst>
    </cfRule>
  </conditionalFormatting>
  <conditionalFormatting sqref="X32">
    <cfRule type="dataBar" priority="83">
      <dataBar showValue="0">
        <cfvo type="percent" val="0"/>
        <cfvo type="percent" val="100"/>
        <color theme="9" tint="0.39997558519241921"/>
      </dataBar>
      <extLst>
        <ext xmlns:x14="http://schemas.microsoft.com/office/spreadsheetml/2009/9/main" uri="{B025F937-C7B1-47D3-B67F-A62EFF666E3E}">
          <x14:id>{6FF705A0-ECE1-4B11-BD97-4A9BDDBAA2A3}</x14:id>
        </ext>
      </extLst>
    </cfRule>
  </conditionalFormatting>
  <conditionalFormatting sqref="X37">
    <cfRule type="dataBar" priority="77">
      <dataBar showValue="0">
        <cfvo type="percent" val="0"/>
        <cfvo type="percent" val="100"/>
        <color theme="9" tint="0.39997558519241921"/>
      </dataBar>
      <extLst>
        <ext xmlns:x14="http://schemas.microsoft.com/office/spreadsheetml/2009/9/main" uri="{B025F937-C7B1-47D3-B67F-A62EFF666E3E}">
          <x14:id>{B4141D9F-0A77-4134-8DD9-41254C4B855E}</x14:id>
        </ext>
      </extLst>
    </cfRule>
  </conditionalFormatting>
  <conditionalFormatting sqref="X42">
    <cfRule type="dataBar" priority="24">
      <dataBar showValue="0">
        <cfvo type="percent" val="0"/>
        <cfvo type="percent" val="100"/>
        <color theme="9" tint="0.39997558519241921"/>
      </dataBar>
      <extLst>
        <ext xmlns:x14="http://schemas.microsoft.com/office/spreadsheetml/2009/9/main" uri="{B025F937-C7B1-47D3-B67F-A62EFF666E3E}">
          <x14:id>{507002BE-5D92-4774-BB18-3524F12692DE}</x14:id>
        </ext>
      </extLst>
    </cfRule>
  </conditionalFormatting>
  <conditionalFormatting sqref="X47">
    <cfRule type="dataBar" priority="22">
      <dataBar showValue="0">
        <cfvo type="percent" val="0"/>
        <cfvo type="percent" val="100"/>
        <color theme="9" tint="0.39997558519241921"/>
      </dataBar>
      <extLst>
        <ext xmlns:x14="http://schemas.microsoft.com/office/spreadsheetml/2009/9/main" uri="{B025F937-C7B1-47D3-B67F-A62EFF666E3E}">
          <x14:id>{AB6F60BF-6D52-43B8-BD42-A7DB82F66513}</x14:id>
        </ext>
      </extLst>
    </cfRule>
  </conditionalFormatting>
  <dataValidations count="2">
    <dataValidation type="list" allowBlank="1" showInputMessage="1" showErrorMessage="1" sqref="H20" xr:uid="{00000000-0002-0000-0200-000000000000}">
      <formula1>"TBC, A, B, C"</formula1>
    </dataValidation>
    <dataValidation type="list" allowBlank="1" showInputMessage="1" showErrorMessage="1" sqref="W13:X14 W18:X19 W23:X24 W28:X29 W33:X34 W38:X39 W43:X44 W48:X49" xr:uid="{00000000-0002-0000-0200-000001000000}">
      <formula1>"Yes, No"</formula1>
    </dataValidation>
  </dataValidations>
  <hyperlinks>
    <hyperlink ref="G17:L18" location="Simple1V!A1" display="2.5 Ventilating system change" xr:uid="{00000000-0004-0000-0200-000000000000}"/>
    <hyperlink ref="G5:H7" location="Step1!A1" display="Back" xr:uid="{00000000-0004-0000-0200-000001000000}"/>
    <hyperlink ref="W5:X7" location="SimpleStep3!A1" display="Next" xr:uid="{00000000-0004-0000-0200-000002000000}"/>
    <hyperlink ref="B12" location="Step1!A1" display="Step 1" xr:uid="{00000000-0004-0000-0200-000003000000}"/>
    <hyperlink ref="B10" location="Home!A1" display="HOME" xr:uid="{00000000-0004-0000-0200-000004000000}"/>
    <hyperlink ref="B18" location="Data!A1" display="DATA" xr:uid="{00000000-0004-0000-0200-000005000000}"/>
    <hyperlink ref="B16" location="SimpleStep3!A1" display="STEP 3" xr:uid="{00000000-0004-0000-0200-000006000000}"/>
    <hyperlink ref="G22:L23" location="SimpleH!A1" display="2.3 Click for boiler tool" xr:uid="{00000000-0004-0000-0200-000007000000}"/>
    <hyperlink ref="G27:L28" location="SimpleC!A1" display="2.4 Click for VRF/chiller tool" xr:uid="{00000000-0004-0000-0200-000008000000}"/>
    <hyperlink ref="G32:L33" location="SimpleL!A1" display="2.5 Click for lighting tool" xr:uid="{00000000-0004-0000-0200-000009000000}"/>
    <hyperlink ref="G17:M18" location="SimpleV!A1" display="2.2 Click for ventilation tool" xr:uid="{00000000-0004-0000-0200-00000A000000}"/>
    <hyperlink ref="G37:M38" location="SimpleBA!A1" display="A. Click for bespoke tool A" xr:uid="{00000000-0004-0000-0200-00000B000000}"/>
    <hyperlink ref="G42:M43" location="SimpleBB!A1" display="B. Click for bespoke tool B" xr:uid="{00000000-0004-0000-0200-00000C000000}"/>
    <hyperlink ref="G47:M48" location="SimpleBC!A1" display="C. Click for bespoke tool C" xr:uid="{00000000-0004-0000-0200-00000D000000}"/>
    <hyperlink ref="G12:L13" location="SimpleF!A1" display="2.1 Click for building fabric tool" xr:uid="{00000000-0004-0000-0200-00000E000000}"/>
  </hyperlinks>
  <pageMargins left="0.25" right="0.25" top="0.75" bottom="0.75" header="0.3" footer="0.3"/>
  <pageSetup paperSize="8" scale="86" orientation="landscape" r:id="rId1"/>
  <colBreaks count="1" manualBreakCount="1">
    <brk id="21" max="1048575" man="1"/>
  </colBreaks>
  <drawing r:id="rId2"/>
  <legacyDrawing r:id="rId3"/>
  <extLst>
    <ext xmlns:x14="http://schemas.microsoft.com/office/spreadsheetml/2009/9/main" uri="{78C0D931-6437-407d-A8EE-F0AAD7539E65}">
      <x14:conditionalFormattings>
        <x14:conditionalFormatting xmlns:xm="http://schemas.microsoft.com/office/excel/2006/main">
          <x14:cfRule type="dataBar" id="{529CD197-A175-47C9-9459-B1F89FC2C1F1}">
            <x14:dataBar minLength="0" maxLength="100" gradient="0">
              <x14:cfvo type="num">
                <xm:f>0</xm:f>
              </x14:cfvo>
              <x14:cfvo type="num">
                <xm:f>23</xm:f>
              </x14:cfvo>
              <x14:negativeFillColor rgb="FFFF0000"/>
              <x14:axisColor rgb="FF000000"/>
            </x14:dataBar>
          </x14:cfRule>
          <xm:sqref>W13</xm:sqref>
        </x14:conditionalFormatting>
        <x14:conditionalFormatting xmlns:xm="http://schemas.microsoft.com/office/excel/2006/main">
          <x14:cfRule type="dataBar" id="{6F0462AE-B74B-4B66-8686-E43E7DB5373C}">
            <x14:dataBar minLength="0" maxLength="100" gradient="0">
              <x14:cfvo type="num">
                <xm:f>0</xm:f>
              </x14:cfvo>
              <x14:cfvo type="num">
                <xm:f>23</xm:f>
              </x14:cfvo>
              <x14:negativeFillColor rgb="FFFF0000"/>
              <x14:axisColor rgb="FF000000"/>
            </x14:dataBar>
          </x14:cfRule>
          <xm:sqref>W18</xm:sqref>
        </x14:conditionalFormatting>
        <x14:conditionalFormatting xmlns:xm="http://schemas.microsoft.com/office/excel/2006/main">
          <x14:cfRule type="dataBar" id="{40941111-B1D5-4453-9DE4-8967F9B0D0FB}">
            <x14:dataBar minLength="0" maxLength="100" gradient="0">
              <x14:cfvo type="num">
                <xm:f>0</xm:f>
              </x14:cfvo>
              <x14:cfvo type="num">
                <xm:f>23</xm:f>
              </x14:cfvo>
              <x14:negativeFillColor rgb="FFFF0000"/>
              <x14:axisColor rgb="FF000000"/>
            </x14:dataBar>
          </x14:cfRule>
          <xm:sqref>W23</xm:sqref>
        </x14:conditionalFormatting>
        <x14:conditionalFormatting xmlns:xm="http://schemas.microsoft.com/office/excel/2006/main">
          <x14:cfRule type="dataBar" id="{FC05CBC6-7CFB-4C1B-A60A-34AEDD7C629F}">
            <x14:dataBar minLength="0" maxLength="100" gradient="0">
              <x14:cfvo type="num">
                <xm:f>0</xm:f>
              </x14:cfvo>
              <x14:cfvo type="num">
                <xm:f>23</xm:f>
              </x14:cfvo>
              <x14:negativeFillColor rgb="FFFF0000"/>
              <x14:axisColor rgb="FF000000"/>
            </x14:dataBar>
          </x14:cfRule>
          <xm:sqref>W28</xm:sqref>
        </x14:conditionalFormatting>
        <x14:conditionalFormatting xmlns:xm="http://schemas.microsoft.com/office/excel/2006/main">
          <x14:cfRule type="dataBar" id="{7962EF94-7FE0-46BD-BE8C-C72E9400553D}">
            <x14:dataBar minLength="0" maxLength="100" gradient="0">
              <x14:cfvo type="num">
                <xm:f>0</xm:f>
              </x14:cfvo>
              <x14:cfvo type="num">
                <xm:f>23</xm:f>
              </x14:cfvo>
              <x14:negativeFillColor rgb="FFFF0000"/>
              <x14:axisColor rgb="FF000000"/>
            </x14:dataBar>
          </x14:cfRule>
          <xm:sqref>W33</xm:sqref>
        </x14:conditionalFormatting>
        <x14:conditionalFormatting xmlns:xm="http://schemas.microsoft.com/office/excel/2006/main">
          <x14:cfRule type="dataBar" id="{882275CD-82AC-449A-A0CC-7B95CCEDC3E5}">
            <x14:dataBar minLength="0" maxLength="100" gradient="0">
              <x14:cfvo type="num">
                <xm:f>0</xm:f>
              </x14:cfvo>
              <x14:cfvo type="num">
                <xm:f>23</xm:f>
              </x14:cfvo>
              <x14:negativeFillColor rgb="FFFF0000"/>
              <x14:axisColor rgb="FF000000"/>
            </x14:dataBar>
          </x14:cfRule>
          <xm:sqref>W38</xm:sqref>
        </x14:conditionalFormatting>
        <x14:conditionalFormatting xmlns:xm="http://schemas.microsoft.com/office/excel/2006/main">
          <x14:cfRule type="dataBar" id="{F06003EA-C214-421A-B21A-AE38DC89BADA}">
            <x14:dataBar minLength="0" maxLength="100" gradient="0">
              <x14:cfvo type="num">
                <xm:f>0</xm:f>
              </x14:cfvo>
              <x14:cfvo type="num">
                <xm:f>23</xm:f>
              </x14:cfvo>
              <x14:negativeFillColor rgb="FFFF0000"/>
              <x14:axisColor rgb="FF000000"/>
            </x14:dataBar>
          </x14:cfRule>
          <xm:sqref>W43</xm:sqref>
        </x14:conditionalFormatting>
        <x14:conditionalFormatting xmlns:xm="http://schemas.microsoft.com/office/excel/2006/main">
          <x14:cfRule type="dataBar" id="{4B910AED-B0EA-4550-89D1-452ED833EBC1}">
            <x14:dataBar minLength="0" maxLength="100" gradient="0">
              <x14:cfvo type="num">
                <xm:f>0</xm:f>
              </x14:cfvo>
              <x14:cfvo type="num">
                <xm:f>23</xm:f>
              </x14:cfvo>
              <x14:negativeFillColor rgb="FFFF0000"/>
              <x14:axisColor rgb="FF000000"/>
            </x14:dataBar>
          </x14:cfRule>
          <xm:sqref>W48</xm:sqref>
        </x14:conditionalFormatting>
        <x14:conditionalFormatting xmlns:xm="http://schemas.microsoft.com/office/excel/2006/main">
          <x14:cfRule type="dataBar" id="{9500F62B-DE0F-40C2-A70E-40BC7DFC09EB}">
            <x14:dataBar minLength="0" maxLength="100" gradient="0">
              <x14:cfvo type="percent">
                <xm:f>0</xm:f>
              </x14:cfvo>
              <x14:cfvo type="percent">
                <xm:f>100</xm:f>
              </x14:cfvo>
              <x14:negativeFillColor rgb="FFFF0000"/>
              <x14:axisColor rgb="FF000000"/>
            </x14:dataBar>
          </x14:cfRule>
          <xm:sqref>X12</xm:sqref>
        </x14:conditionalFormatting>
        <x14:conditionalFormatting xmlns:xm="http://schemas.microsoft.com/office/excel/2006/main">
          <x14:cfRule type="dataBar" id="{463B82D9-A315-40E9-AD68-F0D94E6BA373}">
            <x14:dataBar minLength="0" maxLength="100" gradient="0">
              <x14:cfvo type="percent">
                <xm:f>0</xm:f>
              </x14:cfvo>
              <x14:cfvo type="percent">
                <xm:f>100</xm:f>
              </x14:cfvo>
              <x14:negativeFillColor rgb="FFFF0000"/>
              <x14:axisColor rgb="FF000000"/>
            </x14:dataBar>
          </x14:cfRule>
          <xm:sqref>X17</xm:sqref>
        </x14:conditionalFormatting>
        <x14:conditionalFormatting xmlns:xm="http://schemas.microsoft.com/office/excel/2006/main">
          <x14:cfRule type="dataBar" id="{21875D10-34D7-4D7E-B141-CCFB8C0C2301}">
            <x14:dataBar minLength="0" maxLength="100" gradient="0">
              <x14:cfvo type="percent">
                <xm:f>0</xm:f>
              </x14:cfvo>
              <x14:cfvo type="percent">
                <xm:f>100</xm:f>
              </x14:cfvo>
              <x14:negativeFillColor rgb="FFFF0000"/>
              <x14:axisColor rgb="FF000000"/>
            </x14:dataBar>
          </x14:cfRule>
          <xm:sqref>X22</xm:sqref>
        </x14:conditionalFormatting>
        <x14:conditionalFormatting xmlns:xm="http://schemas.microsoft.com/office/excel/2006/main">
          <x14:cfRule type="dataBar" id="{32BABD12-8F43-498A-9136-C3710FC083F3}">
            <x14:dataBar minLength="0" maxLength="100" gradient="0">
              <x14:cfvo type="percent">
                <xm:f>0</xm:f>
              </x14:cfvo>
              <x14:cfvo type="percent">
                <xm:f>100</xm:f>
              </x14:cfvo>
              <x14:negativeFillColor rgb="FFFF0000"/>
              <x14:axisColor rgb="FF000000"/>
            </x14:dataBar>
          </x14:cfRule>
          <xm:sqref>X27</xm:sqref>
        </x14:conditionalFormatting>
        <x14:conditionalFormatting xmlns:xm="http://schemas.microsoft.com/office/excel/2006/main">
          <x14:cfRule type="dataBar" id="{6FF705A0-ECE1-4B11-BD97-4A9BDDBAA2A3}">
            <x14:dataBar minLength="0" maxLength="100" gradient="0">
              <x14:cfvo type="percent">
                <xm:f>0</xm:f>
              </x14:cfvo>
              <x14:cfvo type="percent">
                <xm:f>100</xm:f>
              </x14:cfvo>
              <x14:negativeFillColor rgb="FFFF0000"/>
              <x14:axisColor rgb="FF000000"/>
            </x14:dataBar>
          </x14:cfRule>
          <xm:sqref>X32</xm:sqref>
        </x14:conditionalFormatting>
        <x14:conditionalFormatting xmlns:xm="http://schemas.microsoft.com/office/excel/2006/main">
          <x14:cfRule type="dataBar" id="{B4141D9F-0A77-4134-8DD9-41254C4B855E}">
            <x14:dataBar minLength="0" maxLength="100" gradient="0">
              <x14:cfvo type="percent">
                <xm:f>0</xm:f>
              </x14:cfvo>
              <x14:cfvo type="percent">
                <xm:f>100</xm:f>
              </x14:cfvo>
              <x14:negativeFillColor rgb="FFFF0000"/>
              <x14:axisColor rgb="FF000000"/>
            </x14:dataBar>
          </x14:cfRule>
          <xm:sqref>X37</xm:sqref>
        </x14:conditionalFormatting>
        <x14:conditionalFormatting xmlns:xm="http://schemas.microsoft.com/office/excel/2006/main">
          <x14:cfRule type="dataBar" id="{507002BE-5D92-4774-BB18-3524F12692DE}">
            <x14:dataBar minLength="0" maxLength="100" gradient="0">
              <x14:cfvo type="percent">
                <xm:f>0</xm:f>
              </x14:cfvo>
              <x14:cfvo type="percent">
                <xm:f>100</xm:f>
              </x14:cfvo>
              <x14:negativeFillColor rgb="FFFF0000"/>
              <x14:axisColor rgb="FF000000"/>
            </x14:dataBar>
          </x14:cfRule>
          <xm:sqref>X42</xm:sqref>
        </x14:conditionalFormatting>
        <x14:conditionalFormatting xmlns:xm="http://schemas.microsoft.com/office/excel/2006/main">
          <x14:cfRule type="dataBar" id="{AB6F60BF-6D52-43B8-BD42-A7DB82F66513}">
            <x14:dataBar minLength="0" maxLength="100" gradient="0">
              <x14:cfvo type="percent">
                <xm:f>0</xm:f>
              </x14:cfvo>
              <x14:cfvo type="percent">
                <xm:f>100</xm:f>
              </x14:cfvo>
              <x14:negativeFillColor rgb="FFFF0000"/>
              <x14:axisColor rgb="FF000000"/>
            </x14:dataBar>
          </x14:cfRule>
          <xm:sqref>X47</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dimension ref="A1:AL162"/>
  <sheetViews>
    <sheetView showGridLines="0" zoomScale="70" zoomScaleNormal="70" zoomScaleSheetLayoutView="70" workbookViewId="0">
      <selection sqref="A1:E3"/>
    </sheetView>
  </sheetViews>
  <sheetFormatPr defaultColWidth="8.7109375" defaultRowHeight="15" customHeight="1" x14ac:dyDescent="0.2"/>
  <cols>
    <col min="1" max="1" width="3.7109375" style="47" customWidth="1"/>
    <col min="2" max="2" width="8.85546875" style="62" bestFit="1" customWidth="1"/>
    <col min="3" max="3" width="8.7109375" style="481" customWidth="1"/>
    <col min="4" max="4" width="8.7109375" style="49" customWidth="1"/>
    <col min="5" max="5" width="3.7109375" style="48" customWidth="1"/>
    <col min="6" max="8" width="8.7109375" style="1"/>
    <col min="9" max="9" width="25.7109375" style="1" customWidth="1"/>
    <col min="10" max="11" width="12.7109375" style="1" customWidth="1"/>
    <col min="12" max="14" width="8.7109375" style="1"/>
    <col min="15" max="15" width="25.7109375" style="1" customWidth="1"/>
    <col min="16" max="17" width="12.7109375" style="1" customWidth="1"/>
    <col min="18" max="18" width="8.7109375" style="5"/>
    <col min="19" max="26" width="8.7109375" style="1"/>
    <col min="27" max="27" width="25.7109375" style="1" customWidth="1"/>
    <col min="28" max="33" width="8.7109375" style="1"/>
    <col min="34" max="34" width="8.7109375" style="1" customWidth="1"/>
    <col min="35" max="37" width="8.7109375" style="1"/>
    <col min="38" max="38" width="8.7109375" style="986"/>
    <col min="39" max="16384" width="8.7109375" style="1"/>
  </cols>
  <sheetData>
    <row r="1" spans="1:36" ht="15" customHeight="1" x14ac:dyDescent="0.2">
      <c r="A1" s="1022"/>
      <c r="B1" s="1022"/>
      <c r="C1" s="1022"/>
      <c r="D1" s="1022"/>
      <c r="E1" s="1022"/>
    </row>
    <row r="2" spans="1:36" ht="15" customHeight="1" x14ac:dyDescent="0.2">
      <c r="A2" s="1022"/>
      <c r="B2" s="1022"/>
      <c r="C2" s="1022"/>
      <c r="D2" s="1022"/>
      <c r="E2" s="1022"/>
      <c r="H2" s="2"/>
      <c r="I2" s="2"/>
      <c r="J2" s="2"/>
      <c r="K2" s="3"/>
      <c r="L2" s="70"/>
      <c r="M2" s="3"/>
      <c r="N2" s="2"/>
      <c r="O2" s="2"/>
      <c r="P2" s="2"/>
      <c r="Q2" s="4"/>
    </row>
    <row r="3" spans="1:36" ht="15" customHeight="1" x14ac:dyDescent="0.2">
      <c r="A3" s="1022"/>
      <c r="B3" s="1022"/>
      <c r="C3" s="1022"/>
      <c r="D3" s="1022"/>
      <c r="E3" s="1022"/>
    </row>
    <row r="4" spans="1:36" ht="15" customHeight="1" x14ac:dyDescent="0.2">
      <c r="A4" s="618"/>
      <c r="B4" s="618"/>
      <c r="C4" s="618"/>
      <c r="D4" s="618"/>
      <c r="E4" s="618"/>
    </row>
    <row r="5" spans="1:36" ht="15" customHeight="1" x14ac:dyDescent="0.2">
      <c r="A5" s="669"/>
      <c r="B5" s="62" t="s">
        <v>251</v>
      </c>
      <c r="C5" s="669"/>
      <c r="D5" s="669"/>
      <c r="E5" s="669"/>
      <c r="G5" s="1020" t="s">
        <v>201</v>
      </c>
      <c r="H5" s="1020"/>
    </row>
    <row r="6" spans="1:36" ht="15" customHeight="1" x14ac:dyDescent="0.2">
      <c r="A6" s="669"/>
      <c r="C6" s="48"/>
      <c r="E6" s="669"/>
      <c r="F6" s="8"/>
      <c r="G6" s="1020"/>
      <c r="H6" s="1020"/>
      <c r="I6" s="8"/>
      <c r="J6" s="8"/>
      <c r="K6" s="8"/>
      <c r="L6" s="10"/>
      <c r="M6" s="8"/>
      <c r="N6" s="8"/>
      <c r="O6" s="8"/>
      <c r="P6" s="8"/>
      <c r="U6" s="8"/>
      <c r="V6" s="8"/>
      <c r="Y6" s="8"/>
      <c r="Z6" s="10"/>
      <c r="AA6" s="8"/>
      <c r="AB6" s="8"/>
      <c r="AC6" s="8"/>
      <c r="AD6" s="8"/>
      <c r="AE6" s="8"/>
      <c r="AF6" s="8"/>
      <c r="AG6" s="8"/>
      <c r="AH6" s="8"/>
      <c r="AI6" s="8"/>
      <c r="AJ6" s="8"/>
    </row>
    <row r="7" spans="1:36" ht="15" customHeight="1" x14ac:dyDescent="0.2">
      <c r="A7" s="669"/>
      <c r="B7" s="1023" t="str">
        <f>IF(Step1!K12="New building",Step1!Q12,Step1!K15)</f>
        <v>1-19 Torrington Place</v>
      </c>
      <c r="C7" s="1023"/>
      <c r="D7" s="1023"/>
      <c r="E7" s="669"/>
      <c r="F7" s="8"/>
      <c r="G7" s="1020"/>
      <c r="H7" s="1020"/>
      <c r="I7" s="22"/>
      <c r="J7" s="22"/>
      <c r="K7" s="8"/>
      <c r="L7" s="10"/>
      <c r="M7" s="8"/>
      <c r="N7" s="8"/>
      <c r="O7" s="8"/>
      <c r="P7" s="8"/>
      <c r="U7" s="8"/>
      <c r="V7" s="8"/>
      <c r="Y7" s="8"/>
      <c r="Z7" s="10"/>
      <c r="AA7" s="8"/>
      <c r="AB7" s="8"/>
      <c r="AC7" s="8"/>
      <c r="AD7" s="8"/>
      <c r="AE7" s="8"/>
      <c r="AF7" s="8"/>
      <c r="AG7" s="8"/>
      <c r="AH7" s="8"/>
      <c r="AI7" s="8"/>
      <c r="AJ7" s="8"/>
    </row>
    <row r="8" spans="1:36" ht="15" customHeight="1" x14ac:dyDescent="0.2">
      <c r="B8" s="89"/>
      <c r="C8" s="48"/>
      <c r="F8" s="8"/>
      <c r="G8" s="20"/>
      <c r="H8" s="8"/>
      <c r="I8" s="8"/>
      <c r="J8" s="8"/>
      <c r="K8" s="8"/>
      <c r="L8" s="10"/>
      <c r="M8" s="8"/>
      <c r="N8" s="8"/>
      <c r="O8" s="8"/>
      <c r="P8" s="8"/>
      <c r="Q8" s="8"/>
      <c r="R8" s="9"/>
      <c r="S8" s="10"/>
      <c r="T8" s="8"/>
      <c r="U8" s="8"/>
      <c r="V8" s="8"/>
      <c r="W8" s="8"/>
      <c r="X8" s="8"/>
      <c r="Y8" s="8"/>
      <c r="Z8" s="10"/>
      <c r="AA8" s="8"/>
      <c r="AB8" s="8"/>
      <c r="AC8" s="8"/>
      <c r="AD8" s="8"/>
      <c r="AE8" s="8"/>
      <c r="AF8" s="8"/>
      <c r="AG8" s="8"/>
      <c r="AH8" s="8"/>
      <c r="AI8" s="8"/>
      <c r="AJ8" s="8"/>
    </row>
    <row r="9" spans="1:36" ht="15" customHeight="1" x14ac:dyDescent="0.2">
      <c r="B9" s="89"/>
      <c r="C9" s="48"/>
      <c r="F9" s="8"/>
      <c r="G9" s="20"/>
      <c r="H9" s="8"/>
      <c r="I9" s="8"/>
      <c r="J9" s="8"/>
      <c r="K9" s="8"/>
      <c r="L9" s="10"/>
      <c r="M9" s="8"/>
      <c r="N9" s="8"/>
      <c r="O9" s="8"/>
      <c r="P9" s="8"/>
      <c r="Q9" s="8"/>
      <c r="R9" s="9"/>
      <c r="S9" s="10"/>
      <c r="T9" s="8"/>
      <c r="U9" s="8"/>
      <c r="V9" s="8"/>
      <c r="W9" s="8"/>
      <c r="X9" s="8"/>
      <c r="Y9" s="8"/>
      <c r="Z9" s="10"/>
      <c r="AA9" s="8"/>
      <c r="AB9" s="8"/>
      <c r="AC9" s="8"/>
      <c r="AD9" s="8"/>
      <c r="AE9" s="8"/>
      <c r="AF9" s="8"/>
      <c r="AG9" s="8"/>
      <c r="AH9" s="8"/>
      <c r="AI9" s="8"/>
      <c r="AJ9" s="8"/>
    </row>
    <row r="10" spans="1:36" ht="15" customHeight="1" x14ac:dyDescent="0.2">
      <c r="B10" s="480"/>
      <c r="C10" s="48"/>
      <c r="F10" s="8"/>
      <c r="G10" s="817" t="s">
        <v>573</v>
      </c>
      <c r="H10" s="297"/>
      <c r="I10" s="297"/>
      <c r="J10" s="297"/>
      <c r="K10" s="298"/>
      <c r="M10" s="339" t="s">
        <v>525</v>
      </c>
      <c r="N10" s="299"/>
      <c r="O10" s="299"/>
      <c r="P10" s="299"/>
      <c r="Q10" s="300"/>
      <c r="R10" s="9"/>
      <c r="S10" s="1019" t="s">
        <v>496</v>
      </c>
      <c r="T10" s="1019"/>
      <c r="U10" s="1019"/>
      <c r="V10" s="1019"/>
      <c r="W10" s="1019"/>
      <c r="X10" s="8"/>
      <c r="Y10" s="8"/>
      <c r="Z10" s="8"/>
      <c r="AA10" s="8"/>
      <c r="AB10" s="8"/>
      <c r="AC10" s="8"/>
      <c r="AD10" s="8"/>
      <c r="AE10" s="8"/>
      <c r="AF10" s="521"/>
      <c r="AG10" s="8"/>
      <c r="AH10" s="8"/>
      <c r="AI10" s="8"/>
      <c r="AJ10" s="250"/>
    </row>
    <row r="11" spans="1:36" ht="15" customHeight="1" thickBot="1" x14ac:dyDescent="0.25">
      <c r="B11" s="195"/>
      <c r="C11" s="48"/>
      <c r="F11" s="8"/>
      <c r="G11" s="818" t="s">
        <v>381</v>
      </c>
      <c r="H11" s="220"/>
      <c r="I11" s="220"/>
      <c r="J11" s="304">
        <v>0</v>
      </c>
      <c r="K11" s="244">
        <f>J11</f>
        <v>0</v>
      </c>
      <c r="M11" s="232" t="s">
        <v>381</v>
      </c>
      <c r="N11" s="220"/>
      <c r="O11" s="220"/>
      <c r="P11" s="305">
        <v>0</v>
      </c>
      <c r="Q11" s="244">
        <f>P11</f>
        <v>0</v>
      </c>
      <c r="R11" s="9"/>
      <c r="S11" s="7"/>
      <c r="T11" s="8"/>
      <c r="U11" s="8"/>
      <c r="V11" s="8"/>
      <c r="W11" s="11"/>
      <c r="X11" s="8"/>
      <c r="Y11" s="8"/>
      <c r="Z11" s="10"/>
      <c r="AA11" s="8"/>
      <c r="AB11" s="8"/>
      <c r="AC11" s="8"/>
      <c r="AD11" s="8"/>
      <c r="AE11" s="8"/>
    </row>
    <row r="12" spans="1:36" ht="15" customHeight="1" thickBot="1" x14ac:dyDescent="0.25">
      <c r="B12" s="480"/>
      <c r="F12" s="8"/>
      <c r="G12" s="889"/>
      <c r="H12" s="188"/>
      <c r="I12" s="188"/>
      <c r="J12" s="188"/>
      <c r="K12" s="522"/>
      <c r="M12" s="188"/>
      <c r="N12" s="188"/>
      <c r="O12" s="188"/>
      <c r="P12" s="188"/>
      <c r="Q12" s="522"/>
      <c r="R12" s="9"/>
      <c r="S12" s="10"/>
      <c r="T12" s="8"/>
      <c r="U12" s="8"/>
      <c r="V12" s="8"/>
      <c r="W12" s="11"/>
      <c r="X12" s="8"/>
      <c r="Y12" s="8"/>
      <c r="Z12" s="10"/>
      <c r="AA12" s="8"/>
      <c r="AB12" s="8"/>
      <c r="AC12" s="8"/>
      <c r="AD12" s="8"/>
      <c r="AE12" s="8"/>
    </row>
    <row r="13" spans="1:36" ht="15" customHeight="1" thickBot="1" x14ac:dyDescent="0.25">
      <c r="B13" s="119"/>
      <c r="C13" s="114"/>
      <c r="F13" s="8"/>
      <c r="G13" s="889"/>
      <c r="H13" s="188"/>
      <c r="I13" s="188"/>
      <c r="J13" s="188"/>
      <c r="K13" s="522"/>
      <c r="M13" s="167" t="s">
        <v>0</v>
      </c>
      <c r="N13" s="171"/>
      <c r="O13" s="171"/>
      <c r="P13" s="188"/>
      <c r="Q13" s="1008" t="e">
        <f>1-Q11/K11</f>
        <v>#DIV/0!</v>
      </c>
      <c r="R13" s="9"/>
      <c r="S13" s="7"/>
      <c r="T13" s="8"/>
      <c r="U13" s="8"/>
      <c r="V13" s="8"/>
      <c r="W13" s="11"/>
      <c r="X13" s="8"/>
      <c r="Y13" s="8"/>
      <c r="Z13" s="10"/>
      <c r="AA13" s="8"/>
      <c r="AB13" s="8"/>
      <c r="AC13" s="8"/>
      <c r="AD13" s="8"/>
      <c r="AE13" s="8"/>
    </row>
    <row r="14" spans="1:36" ht="15" customHeight="1" x14ac:dyDescent="0.2">
      <c r="B14" s="484"/>
      <c r="C14" s="48"/>
      <c r="F14" s="8"/>
      <c r="G14" s="866"/>
      <c r="H14" s="523"/>
      <c r="I14" s="523"/>
      <c r="J14" s="523"/>
      <c r="K14" s="524"/>
      <c r="M14" s="523"/>
      <c r="N14" s="523"/>
      <c r="O14" s="523"/>
      <c r="P14" s="523"/>
      <c r="Q14" s="524"/>
      <c r="R14" s="9"/>
      <c r="S14" s="10"/>
      <c r="T14" s="8"/>
      <c r="U14" s="8"/>
      <c r="V14" s="8"/>
      <c r="W14" s="11"/>
      <c r="X14" s="8"/>
      <c r="Y14" s="8"/>
      <c r="Z14" s="10"/>
      <c r="AA14" s="8"/>
      <c r="AB14" s="8"/>
      <c r="AC14" s="8"/>
      <c r="AD14" s="8"/>
      <c r="AE14" s="8"/>
    </row>
    <row r="15" spans="1:36" ht="15" customHeight="1" thickBot="1" x14ac:dyDescent="0.25">
      <c r="B15" s="120"/>
      <c r="C15" s="48"/>
      <c r="F15" s="8"/>
      <c r="G15" s="826" t="s">
        <v>283</v>
      </c>
      <c r="H15" s="60"/>
      <c r="I15" s="357" t="s">
        <v>252</v>
      </c>
      <c r="J15" s="637"/>
      <c r="K15" s="525"/>
      <c r="M15" s="17" t="s">
        <v>283</v>
      </c>
      <c r="N15" s="60"/>
      <c r="O15" s="357" t="s">
        <v>252</v>
      </c>
      <c r="P15" s="637"/>
      <c r="Q15" s="525"/>
      <c r="R15" s="9"/>
      <c r="S15" s="10"/>
      <c r="T15" s="8"/>
      <c r="U15" s="8"/>
      <c r="V15" s="8"/>
      <c r="W15" s="11"/>
      <c r="X15" s="8"/>
      <c r="Y15" s="8"/>
      <c r="Z15" s="10"/>
      <c r="AA15" s="8"/>
      <c r="AB15" s="8"/>
      <c r="AC15" s="8"/>
      <c r="AD15" s="8"/>
      <c r="AE15" s="8"/>
    </row>
    <row r="16" spans="1:36" ht="15" customHeight="1" x14ac:dyDescent="0.2">
      <c r="B16" s="120"/>
      <c r="C16" s="48"/>
      <c r="F16" s="8"/>
      <c r="G16" s="896"/>
      <c r="H16" s="526"/>
      <c r="I16" s="526"/>
      <c r="J16" s="526"/>
      <c r="K16" s="527"/>
      <c r="M16" s="526"/>
      <c r="N16" s="526"/>
      <c r="O16" s="526"/>
      <c r="P16" s="526"/>
      <c r="Q16" s="527"/>
      <c r="R16" s="9"/>
      <c r="S16" s="10"/>
      <c r="T16" s="8"/>
      <c r="U16" s="8"/>
      <c r="V16" s="8"/>
      <c r="W16" s="8"/>
      <c r="X16" s="8"/>
      <c r="Y16" s="8"/>
      <c r="Z16" s="10"/>
      <c r="AA16" s="8"/>
      <c r="AB16" s="8"/>
      <c r="AC16" s="8"/>
      <c r="AD16" s="8"/>
      <c r="AE16" s="8"/>
    </row>
    <row r="17" spans="2:36" ht="15" customHeight="1" thickBot="1" x14ac:dyDescent="0.25">
      <c r="B17" s="120"/>
      <c r="C17" s="48"/>
      <c r="F17" s="8"/>
      <c r="G17" s="818" t="s">
        <v>386</v>
      </c>
      <c r="H17" s="310"/>
      <c r="I17" s="310"/>
      <c r="J17" s="310"/>
      <c r="K17" s="528"/>
      <c r="M17" s="232" t="s">
        <v>386</v>
      </c>
      <c r="N17" s="310"/>
      <c r="O17" s="310"/>
      <c r="P17" s="310"/>
      <c r="Q17" s="528"/>
      <c r="U17" s="8"/>
      <c r="V17" s="8"/>
      <c r="AC17" s="8"/>
      <c r="AD17" s="8"/>
      <c r="AE17" s="8"/>
    </row>
    <row r="18" spans="2:36" ht="15" customHeight="1" thickBot="1" x14ac:dyDescent="0.25">
      <c r="B18" s="120"/>
      <c r="C18" s="48"/>
      <c r="F18" s="8"/>
      <c r="G18" s="819" t="s">
        <v>205</v>
      </c>
      <c r="H18" s="171"/>
      <c r="I18" s="175"/>
      <c r="J18" s="184">
        <v>0</v>
      </c>
      <c r="K18" s="247">
        <f>J18</f>
        <v>0</v>
      </c>
      <c r="M18" s="170" t="s">
        <v>205</v>
      </c>
      <c r="N18" s="171"/>
      <c r="O18" s="175"/>
      <c r="P18" s="184">
        <v>0</v>
      </c>
      <c r="Q18" s="247">
        <f>P18</f>
        <v>0</v>
      </c>
      <c r="U18" s="8"/>
      <c r="V18" s="8"/>
      <c r="AC18" s="8"/>
      <c r="AD18" s="8"/>
      <c r="AE18" s="8"/>
    </row>
    <row r="19" spans="2:36" ht="15" customHeight="1" thickBot="1" x14ac:dyDescent="0.25">
      <c r="B19" s="120"/>
      <c r="C19" s="48"/>
      <c r="F19" s="8"/>
      <c r="G19" s="819" t="s">
        <v>531</v>
      </c>
      <c r="H19" s="171"/>
      <c r="I19" s="175"/>
      <c r="J19" s="172">
        <v>0</v>
      </c>
      <c r="K19" s="243">
        <f>J19</f>
        <v>0</v>
      </c>
      <c r="M19" s="170" t="s">
        <v>531</v>
      </c>
      <c r="N19" s="171"/>
      <c r="O19" s="188"/>
      <c r="P19" s="174">
        <v>0</v>
      </c>
      <c r="Q19" s="243">
        <f>P19</f>
        <v>0</v>
      </c>
      <c r="U19" s="8"/>
      <c r="V19" s="8"/>
      <c r="AC19" s="8"/>
      <c r="AD19" s="8"/>
      <c r="AE19" s="8"/>
    </row>
    <row r="20" spans="2:36" ht="15" customHeight="1" thickBot="1" x14ac:dyDescent="0.25">
      <c r="B20" s="120"/>
      <c r="C20" s="48"/>
      <c r="F20" s="8"/>
      <c r="G20" s="872"/>
      <c r="H20" s="60"/>
      <c r="I20" s="60"/>
      <c r="J20" s="60"/>
      <c r="K20" s="60"/>
      <c r="M20" s="60"/>
      <c r="N20" s="60"/>
      <c r="O20" s="60"/>
      <c r="P20" s="60"/>
      <c r="Q20" s="60"/>
      <c r="U20" s="8"/>
      <c r="V20" s="8"/>
      <c r="AC20" s="8"/>
      <c r="AD20" s="8"/>
      <c r="AE20" s="8"/>
    </row>
    <row r="21" spans="2:36" ht="15" customHeight="1" thickBot="1" x14ac:dyDescent="0.25">
      <c r="B21" s="120"/>
      <c r="C21" s="48"/>
      <c r="F21" s="8"/>
      <c r="G21" s="819" t="s">
        <v>16</v>
      </c>
      <c r="H21" s="171"/>
      <c r="I21" s="177"/>
      <c r="J21" s="172">
        <v>0</v>
      </c>
      <c r="K21" s="243">
        <f>J21</f>
        <v>0</v>
      </c>
      <c r="M21" s="170" t="s">
        <v>16</v>
      </c>
      <c r="N21" s="171"/>
      <c r="O21" s="177"/>
      <c r="P21" s="174">
        <v>0</v>
      </c>
      <c r="Q21" s="243">
        <f>P21</f>
        <v>0</v>
      </c>
      <c r="U21" s="8"/>
      <c r="V21" s="8"/>
      <c r="AC21" s="8"/>
      <c r="AD21" s="8"/>
      <c r="AE21" s="8"/>
    </row>
    <row r="22" spans="2:36" ht="15" customHeight="1" thickBot="1" x14ac:dyDescent="0.25">
      <c r="F22" s="8"/>
      <c r="G22" s="819" t="s">
        <v>425</v>
      </c>
      <c r="H22" s="171"/>
      <c r="I22" s="171"/>
      <c r="J22" s="172">
        <v>0</v>
      </c>
      <c r="K22" s="243">
        <f>J22</f>
        <v>0</v>
      </c>
      <c r="M22" s="170" t="s">
        <v>425</v>
      </c>
      <c r="N22" s="171"/>
      <c r="O22" s="171"/>
      <c r="P22" s="172">
        <v>0</v>
      </c>
      <c r="Q22" s="243">
        <f>P22</f>
        <v>0</v>
      </c>
      <c r="U22" s="8"/>
      <c r="V22" s="8"/>
      <c r="AC22" s="8"/>
      <c r="AD22" s="8"/>
      <c r="AE22" s="8"/>
    </row>
    <row r="23" spans="2:36" ht="15" customHeight="1" thickBot="1" x14ac:dyDescent="0.25">
      <c r="F23" s="8"/>
      <c r="G23" s="872" t="s">
        <v>385</v>
      </c>
      <c r="H23" s="60"/>
      <c r="I23" s="60"/>
      <c r="J23" s="658">
        <v>0</v>
      </c>
      <c r="K23" s="243">
        <f>J23</f>
        <v>0</v>
      </c>
      <c r="M23" s="397" t="s">
        <v>385</v>
      </c>
      <c r="N23" s="60"/>
      <c r="O23" s="60"/>
      <c r="P23" s="658">
        <v>0</v>
      </c>
      <c r="Q23" s="243">
        <f>P23</f>
        <v>0</v>
      </c>
      <c r="U23" s="8"/>
      <c r="V23" s="8"/>
      <c r="AC23" s="8"/>
      <c r="AD23" s="8"/>
      <c r="AE23" s="8"/>
    </row>
    <row r="24" spans="2:36" ht="15" customHeight="1" thickBot="1" x14ac:dyDescent="0.25">
      <c r="B24" s="119"/>
      <c r="C24" s="114"/>
      <c r="F24" s="8"/>
      <c r="G24" s="819" t="s">
        <v>532</v>
      </c>
      <c r="H24" s="641"/>
      <c r="I24" s="643"/>
      <c r="J24" s="649">
        <v>0</v>
      </c>
      <c r="K24" s="642">
        <f>J24</f>
        <v>0</v>
      </c>
      <c r="M24" s="170" t="s">
        <v>532</v>
      </c>
      <c r="N24" s="171"/>
      <c r="O24" s="175"/>
      <c r="P24" s="174">
        <v>0</v>
      </c>
      <c r="Q24" s="243">
        <f>P24</f>
        <v>0</v>
      </c>
      <c r="U24" s="8"/>
      <c r="V24" s="8"/>
      <c r="AC24" s="8"/>
      <c r="AD24" s="8"/>
      <c r="AE24" s="8"/>
    </row>
    <row r="25" spans="2:36" ht="15" customHeight="1" thickBot="1" x14ac:dyDescent="0.25">
      <c r="B25" s="484"/>
      <c r="C25" s="114"/>
      <c r="F25" s="8"/>
      <c r="G25" s="891"/>
      <c r="H25" s="176"/>
      <c r="I25" s="340"/>
      <c r="J25" s="171"/>
      <c r="K25" s="341"/>
      <c r="M25" s="243"/>
      <c r="N25" s="176"/>
      <c r="O25" s="340"/>
      <c r="P25" s="356"/>
      <c r="Q25" s="341"/>
      <c r="U25" s="8"/>
      <c r="V25" s="8"/>
      <c r="AC25" s="8"/>
      <c r="AD25" s="8"/>
      <c r="AE25" s="8"/>
    </row>
    <row r="26" spans="2:36" ht="15" customHeight="1" x14ac:dyDescent="0.2">
      <c r="B26" s="89"/>
      <c r="C26" s="48"/>
      <c r="F26" s="8"/>
      <c r="K26" s="529"/>
      <c r="Q26" s="529"/>
      <c r="U26" s="8"/>
      <c r="V26" s="8"/>
      <c r="AC26" s="8"/>
      <c r="AD26" s="8"/>
      <c r="AE26" s="8"/>
    </row>
    <row r="27" spans="2:36" ht="15" customHeight="1" x14ac:dyDescent="0.2">
      <c r="B27" s="89"/>
      <c r="C27" s="48"/>
      <c r="F27" s="8"/>
      <c r="G27" s="10"/>
      <c r="H27" s="8"/>
      <c r="I27" s="8"/>
      <c r="J27" s="96"/>
      <c r="K27" s="250"/>
      <c r="Q27" s="529"/>
      <c r="U27" s="8"/>
      <c r="V27" s="8"/>
      <c r="AC27" s="8"/>
      <c r="AD27" s="8"/>
      <c r="AE27" s="8"/>
    </row>
    <row r="28" spans="2:36" ht="15" customHeight="1" thickBot="1" x14ac:dyDescent="0.25">
      <c r="B28" s="89"/>
      <c r="C28" s="48"/>
      <c r="F28" s="8"/>
      <c r="K28" s="529"/>
      <c r="O28" s="574"/>
      <c r="Q28" s="529"/>
      <c r="U28" s="8"/>
      <c r="V28" s="8"/>
      <c r="AC28" s="8"/>
      <c r="AD28" s="8"/>
      <c r="AE28" s="8"/>
      <c r="AF28" s="66"/>
      <c r="AG28" s="8"/>
      <c r="AH28" s="8"/>
      <c r="AI28" s="96"/>
      <c r="AJ28" s="10"/>
    </row>
    <row r="29" spans="2:36" ht="15" customHeight="1" thickBot="1" x14ac:dyDescent="0.25">
      <c r="B29" s="89"/>
      <c r="C29" s="89"/>
      <c r="D29" s="89"/>
      <c r="F29" s="8"/>
      <c r="G29" s="339" t="s">
        <v>489</v>
      </c>
      <c r="H29" s="297"/>
      <c r="I29" s="297"/>
      <c r="J29" s="297"/>
      <c r="K29" s="298"/>
      <c r="M29" s="873" t="s">
        <v>530</v>
      </c>
      <c r="N29" s="405"/>
      <c r="O29" s="406"/>
      <c r="P29" s="406"/>
      <c r="Q29" s="337"/>
      <c r="U29" s="8"/>
      <c r="V29" s="8"/>
      <c r="AC29" s="8"/>
      <c r="AD29" s="8"/>
      <c r="AE29" s="8"/>
    </row>
    <row r="30" spans="2:36" ht="15" customHeight="1" thickBot="1" x14ac:dyDescent="0.25">
      <c r="B30" s="89"/>
      <c r="C30" s="89"/>
      <c r="D30" s="89"/>
      <c r="F30" s="8"/>
      <c r="G30" s="69"/>
      <c r="H30" s="644"/>
      <c r="I30" s="644"/>
      <c r="J30" s="644"/>
      <c r="K30" s="644"/>
      <c r="M30" s="830" t="s">
        <v>381</v>
      </c>
      <c r="N30" s="220"/>
      <c r="O30" s="171"/>
      <c r="P30" s="305">
        <v>0</v>
      </c>
      <c r="Q30" s="244">
        <f>P30</f>
        <v>0</v>
      </c>
      <c r="U30" s="8"/>
      <c r="V30" s="8"/>
      <c r="AC30" s="8"/>
      <c r="AD30" s="8"/>
      <c r="AE30" s="8"/>
    </row>
    <row r="31" spans="2:36" ht="15" customHeight="1" thickBot="1" x14ac:dyDescent="0.25">
      <c r="B31" s="89"/>
      <c r="C31" s="89"/>
      <c r="D31" s="89"/>
      <c r="F31" s="8"/>
      <c r="G31" s="69" t="s">
        <v>527</v>
      </c>
      <c r="H31" s="1057" t="s">
        <v>534</v>
      </c>
      <c r="I31" s="1057"/>
      <c r="J31" s="1057"/>
      <c r="K31" s="1057"/>
      <c r="M31" s="832" t="s">
        <v>0</v>
      </c>
      <c r="N31" s="171"/>
      <c r="O31" s="171"/>
      <c r="P31" s="188"/>
      <c r="Q31" s="257" t="e">
        <f>1-Q30/K11</f>
        <v>#DIV/0!</v>
      </c>
      <c r="U31" s="8"/>
      <c r="V31" s="8"/>
      <c r="AC31" s="8"/>
      <c r="AD31" s="8"/>
      <c r="AE31" s="8"/>
      <c r="AF31" s="8"/>
      <c r="AG31" s="8"/>
      <c r="AH31" s="530"/>
      <c r="AI31" s="8"/>
      <c r="AJ31" s="10"/>
    </row>
    <row r="32" spans="2:36" ht="15" customHeight="1" x14ac:dyDescent="0.2">
      <c r="B32" s="89"/>
      <c r="C32" s="89"/>
      <c r="D32" s="89"/>
      <c r="E32" s="55"/>
      <c r="F32" s="8"/>
      <c r="G32" s="69"/>
      <c r="H32" s="644"/>
      <c r="I32" s="644"/>
      <c r="J32" s="644"/>
      <c r="K32" s="644"/>
      <c r="M32" s="885"/>
      <c r="N32" s="523"/>
      <c r="O32" s="523"/>
      <c r="P32" s="523"/>
      <c r="Q32" s="524"/>
      <c r="U32" s="8"/>
      <c r="V32" s="8"/>
      <c r="AC32" s="8"/>
      <c r="AD32" s="8"/>
      <c r="AE32" s="8"/>
      <c r="AH32" s="530"/>
    </row>
    <row r="33" spans="2:36" ht="15" customHeight="1" thickBot="1" x14ac:dyDescent="0.25">
      <c r="B33" s="89"/>
      <c r="C33" s="89"/>
      <c r="D33" s="89"/>
      <c r="F33" s="8"/>
      <c r="G33" s="1057" t="s">
        <v>533</v>
      </c>
      <c r="H33" s="1057"/>
      <c r="I33" s="1057"/>
      <c r="J33" s="1057"/>
      <c r="K33" s="1057"/>
      <c r="M33" s="839" t="s">
        <v>283</v>
      </c>
      <c r="N33" s="60"/>
      <c r="O33" s="357" t="s">
        <v>252</v>
      </c>
      <c r="P33" s="637"/>
      <c r="Q33" s="525"/>
      <c r="U33" s="8"/>
      <c r="V33" s="8"/>
      <c r="AC33" s="8"/>
      <c r="AD33" s="8"/>
      <c r="AE33" s="8"/>
    </row>
    <row r="34" spans="2:36" ht="15" customHeight="1" x14ac:dyDescent="0.2">
      <c r="B34" s="89"/>
      <c r="C34" s="89"/>
      <c r="D34" s="89"/>
      <c r="F34" s="8"/>
      <c r="G34" s="1057"/>
      <c r="H34" s="1057"/>
      <c r="I34" s="1057"/>
      <c r="J34" s="1057"/>
      <c r="K34" s="1057"/>
      <c r="M34" s="888"/>
      <c r="N34" s="526"/>
      <c r="O34" s="526"/>
      <c r="P34" s="526"/>
      <c r="Q34" s="527"/>
      <c r="U34" s="8"/>
      <c r="V34" s="8"/>
      <c r="AC34" s="8"/>
      <c r="AD34" s="8"/>
      <c r="AE34" s="8"/>
      <c r="AF34" s="66"/>
      <c r="AG34" s="10"/>
      <c r="AH34" s="10"/>
      <c r="AI34" s="8"/>
      <c r="AJ34" s="10"/>
    </row>
    <row r="35" spans="2:36" ht="15" customHeight="1" thickBot="1" x14ac:dyDescent="0.25">
      <c r="B35" s="89"/>
      <c r="C35" s="89"/>
      <c r="D35" s="89"/>
      <c r="F35" s="8"/>
      <c r="G35" s="1057"/>
      <c r="H35" s="1057"/>
      <c r="I35" s="1057"/>
      <c r="J35" s="1057"/>
      <c r="K35" s="1057"/>
      <c r="M35" s="830" t="s">
        <v>386</v>
      </c>
      <c r="N35" s="310"/>
      <c r="O35" s="221"/>
      <c r="P35" s="310"/>
      <c r="Q35" s="528"/>
      <c r="U35" s="8"/>
      <c r="V35" s="8"/>
      <c r="AC35" s="8"/>
      <c r="AD35" s="8"/>
      <c r="AE35" s="8"/>
      <c r="AF35" s="8"/>
      <c r="AG35" s="8"/>
      <c r="AI35" s="8"/>
      <c r="AJ35" s="10"/>
    </row>
    <row r="36" spans="2:36" ht="15" customHeight="1" thickBot="1" x14ac:dyDescent="0.25">
      <c r="B36" s="89"/>
      <c r="C36" s="89"/>
      <c r="D36" s="89"/>
      <c r="E36" s="55"/>
      <c r="F36" s="8"/>
      <c r="G36" s="1057"/>
      <c r="H36" s="1057"/>
      <c r="I36" s="1057"/>
      <c r="J36" s="1057"/>
      <c r="K36" s="1057"/>
      <c r="M36" s="837" t="s">
        <v>205</v>
      </c>
      <c r="N36" s="171"/>
      <c r="O36" s="175"/>
      <c r="P36" s="184">
        <v>0</v>
      </c>
      <c r="Q36" s="247">
        <f>P36</f>
        <v>0</v>
      </c>
      <c r="U36" s="8"/>
      <c r="V36" s="8"/>
      <c r="AC36" s="8"/>
      <c r="AD36" s="8"/>
      <c r="AE36" s="8"/>
      <c r="AF36" s="66"/>
      <c r="AG36" s="8"/>
      <c r="AH36" s="8"/>
      <c r="AI36" s="8"/>
      <c r="AJ36" s="93"/>
    </row>
    <row r="37" spans="2:36" ht="15" customHeight="1" thickBot="1" x14ac:dyDescent="0.25">
      <c r="B37" s="89"/>
      <c r="C37" s="89"/>
      <c r="D37" s="89"/>
      <c r="F37" s="8"/>
      <c r="G37" s="1057"/>
      <c r="H37" s="1057"/>
      <c r="I37" s="1057"/>
      <c r="J37" s="1057"/>
      <c r="K37" s="1057"/>
      <c r="M37" s="837" t="s">
        <v>531</v>
      </c>
      <c r="N37" s="171"/>
      <c r="O37" s="175"/>
      <c r="P37" s="174">
        <v>0</v>
      </c>
      <c r="Q37" s="243">
        <f>P37</f>
        <v>0</v>
      </c>
      <c r="R37" s="9"/>
      <c r="S37" s="10"/>
      <c r="T37" s="8"/>
      <c r="U37" s="8"/>
      <c r="V37" s="8"/>
      <c r="AB37" s="8"/>
      <c r="AC37" s="8"/>
      <c r="AD37" s="8"/>
      <c r="AE37" s="8"/>
      <c r="AF37" s="66"/>
      <c r="AG37" s="8"/>
      <c r="AH37" s="8"/>
      <c r="AI37" s="8"/>
      <c r="AJ37" s="93"/>
    </row>
    <row r="38" spans="2:36" ht="15" customHeight="1" thickBot="1" x14ac:dyDescent="0.25">
      <c r="B38" s="89"/>
      <c r="C38" s="89"/>
      <c r="D38" s="89"/>
      <c r="F38" s="8"/>
      <c r="G38" s="1057"/>
      <c r="H38" s="1057"/>
      <c r="I38" s="1057"/>
      <c r="J38" s="1057"/>
      <c r="K38" s="1057"/>
      <c r="M38" s="864"/>
      <c r="N38" s="60"/>
      <c r="O38" s="60"/>
      <c r="P38" s="60"/>
      <c r="Q38" s="60"/>
      <c r="R38" s="9"/>
      <c r="S38" s="10"/>
      <c r="T38" s="8"/>
      <c r="U38" s="8"/>
      <c r="V38" s="8"/>
      <c r="AB38" s="8"/>
      <c r="AC38" s="8"/>
      <c r="AD38" s="8"/>
      <c r="AE38" s="8"/>
      <c r="AF38" s="66"/>
      <c r="AG38" s="8"/>
      <c r="AH38" s="8"/>
      <c r="AI38" s="8"/>
      <c r="AJ38" s="93"/>
    </row>
    <row r="39" spans="2:36" ht="15" customHeight="1" thickBot="1" x14ac:dyDescent="0.25">
      <c r="B39" s="89"/>
      <c r="C39" s="89"/>
      <c r="D39" s="89"/>
      <c r="F39" s="8"/>
      <c r="G39" s="1057"/>
      <c r="H39" s="1057"/>
      <c r="I39" s="1057"/>
      <c r="J39" s="1057"/>
      <c r="K39" s="1057"/>
      <c r="L39" s="10"/>
      <c r="M39" s="837" t="s">
        <v>16</v>
      </c>
      <c r="N39" s="171"/>
      <c r="O39" s="177"/>
      <c r="P39" s="174">
        <v>0</v>
      </c>
      <c r="Q39" s="243">
        <f>P39</f>
        <v>0</v>
      </c>
      <c r="R39" s="9"/>
      <c r="S39" s="10"/>
      <c r="T39" s="8"/>
      <c r="U39" s="8"/>
      <c r="V39" s="8"/>
      <c r="AB39" s="8"/>
      <c r="AC39" s="8"/>
      <c r="AD39" s="8"/>
      <c r="AE39" s="8"/>
      <c r="AF39" s="66"/>
      <c r="AG39" s="8"/>
      <c r="AH39" s="8"/>
      <c r="AI39" s="8"/>
      <c r="AJ39" s="93"/>
    </row>
    <row r="40" spans="2:36" ht="15" customHeight="1" thickBot="1" x14ac:dyDescent="0.25">
      <c r="B40" s="89"/>
      <c r="C40" s="89"/>
      <c r="D40" s="89"/>
      <c r="F40" s="8"/>
      <c r="G40" s="1057"/>
      <c r="H40" s="1057"/>
      <c r="I40" s="1057"/>
      <c r="J40" s="1057"/>
      <c r="K40" s="1057"/>
      <c r="M40" s="837" t="s">
        <v>425</v>
      </c>
      <c r="N40" s="171"/>
      <c r="O40" s="171"/>
      <c r="P40" s="172">
        <v>0</v>
      </c>
      <c r="Q40" s="243">
        <f>P40</f>
        <v>0</v>
      </c>
      <c r="R40" s="9"/>
      <c r="S40" s="10"/>
      <c r="T40" s="8"/>
      <c r="U40" s="8"/>
      <c r="V40" s="8"/>
      <c r="W40" s="531"/>
      <c r="AB40" s="8"/>
      <c r="AC40" s="8"/>
      <c r="AD40" s="8"/>
      <c r="AE40" s="8"/>
      <c r="AF40" s="8"/>
      <c r="AG40" s="8"/>
      <c r="AH40" s="8"/>
      <c r="AI40" s="68"/>
      <c r="AJ40" s="10"/>
    </row>
    <row r="41" spans="2:36" ht="15" customHeight="1" thickBot="1" x14ac:dyDescent="0.25">
      <c r="B41" s="89"/>
      <c r="C41" s="89"/>
      <c r="D41" s="89"/>
      <c r="F41" s="8"/>
      <c r="G41" s="1057"/>
      <c r="H41" s="1057"/>
      <c r="I41" s="1057"/>
      <c r="J41" s="1057"/>
      <c r="K41" s="1057"/>
      <c r="M41" s="864" t="s">
        <v>385</v>
      </c>
      <c r="N41" s="60"/>
      <c r="O41" s="60"/>
      <c r="P41" s="658">
        <v>0</v>
      </c>
      <c r="Q41" s="243">
        <f>P41</f>
        <v>0</v>
      </c>
      <c r="R41" s="9"/>
      <c r="S41" s="899" t="s">
        <v>316</v>
      </c>
      <c r="T41" s="659"/>
      <c r="U41" s="659"/>
      <c r="V41" s="659"/>
      <c r="W41" s="659"/>
      <c r="AB41" s="8"/>
      <c r="AC41" s="8"/>
      <c r="AD41" s="8"/>
      <c r="AE41" s="8"/>
    </row>
    <row r="42" spans="2:36" ht="15" customHeight="1" thickBot="1" x14ac:dyDescent="0.25">
      <c r="B42" s="89"/>
      <c r="C42" s="89"/>
      <c r="D42" s="89"/>
      <c r="F42" s="8"/>
      <c r="G42" s="1057"/>
      <c r="H42" s="1057"/>
      <c r="I42" s="1057"/>
      <c r="J42" s="1057"/>
      <c r="K42" s="1057"/>
      <c r="L42" s="10"/>
      <c r="M42" s="837" t="s">
        <v>532</v>
      </c>
      <c r="N42" s="171"/>
      <c r="O42" s="175"/>
      <c r="P42" s="174">
        <v>0</v>
      </c>
      <c r="Q42" s="243">
        <f>P42</f>
        <v>0</v>
      </c>
      <c r="R42" s="9"/>
      <c r="S42" s="532" t="s">
        <v>541</v>
      </c>
      <c r="T42" s="60"/>
      <c r="U42" s="13"/>
      <c r="V42" s="661" t="e">
        <f>J72</f>
        <v>#N/A</v>
      </c>
      <c r="W42" s="662" t="s">
        <v>542</v>
      </c>
      <c r="AB42" s="8"/>
      <c r="AC42" s="8"/>
      <c r="AD42" s="8"/>
      <c r="AE42" s="8"/>
    </row>
    <row r="43" spans="2:36" ht="15" customHeight="1" thickBot="1" x14ac:dyDescent="0.25">
      <c r="C43" s="486"/>
      <c r="D43" s="486"/>
      <c r="F43" s="8"/>
      <c r="G43" s="1057"/>
      <c r="H43" s="1057"/>
      <c r="I43" s="1057"/>
      <c r="J43" s="1057"/>
      <c r="K43" s="1057"/>
      <c r="L43" s="10"/>
      <c r="M43" s="895"/>
      <c r="N43" s="176"/>
      <c r="O43" s="340"/>
      <c r="P43" s="171"/>
      <c r="Q43" s="341"/>
      <c r="R43" s="9"/>
      <c r="S43" s="906" t="s">
        <v>594</v>
      </c>
      <c r="T43" s="864"/>
      <c r="U43" s="864"/>
      <c r="V43" s="907" t="e">
        <f>J73</f>
        <v>#N/A</v>
      </c>
      <c r="W43" s="908" t="s">
        <v>542</v>
      </c>
      <c r="AB43" s="8"/>
      <c r="AC43" s="8"/>
      <c r="AD43" s="8"/>
      <c r="AE43" s="8"/>
      <c r="AF43" s="9"/>
      <c r="AG43" s="9"/>
      <c r="AH43" s="9"/>
      <c r="AI43" s="9"/>
      <c r="AJ43" s="9"/>
    </row>
    <row r="44" spans="2:36" ht="15" customHeight="1" x14ac:dyDescent="0.2">
      <c r="B44" s="89"/>
      <c r="C44" s="48"/>
      <c r="F44" s="8"/>
      <c r="G44" s="10"/>
      <c r="H44" s="8"/>
      <c r="I44" s="8"/>
      <c r="J44" s="8"/>
      <c r="K44" s="45"/>
      <c r="L44" s="10"/>
      <c r="M44" s="46"/>
      <c r="N44" s="46"/>
      <c r="O44" s="8"/>
      <c r="P44" s="8"/>
      <c r="Q44" s="46"/>
      <c r="R44" s="9"/>
      <c r="S44" s="10"/>
      <c r="T44" s="8"/>
      <c r="U44" s="8"/>
      <c r="V44" s="8"/>
      <c r="AB44" s="8"/>
      <c r="AC44" s="8"/>
      <c r="AD44" s="8"/>
      <c r="AE44" s="8"/>
      <c r="AF44" s="9"/>
      <c r="AG44" s="9"/>
      <c r="AH44" s="9"/>
      <c r="AI44" s="9"/>
      <c r="AJ44" s="9"/>
    </row>
    <row r="45" spans="2:36" ht="15" customHeight="1" x14ac:dyDescent="0.2">
      <c r="B45" s="89"/>
      <c r="C45" s="48"/>
      <c r="F45" s="8"/>
      <c r="G45" s="8"/>
      <c r="H45" s="8"/>
      <c r="I45" s="8"/>
      <c r="J45" s="8"/>
      <c r="K45" s="8"/>
      <c r="L45" s="10"/>
      <c r="M45" s="8"/>
      <c r="N45" s="8"/>
      <c r="O45" s="8"/>
      <c r="P45" s="8"/>
      <c r="Q45" s="8"/>
      <c r="R45" s="9"/>
      <c r="S45" s="10"/>
      <c r="T45" s="8"/>
      <c r="U45" s="8"/>
      <c r="V45" s="8"/>
      <c r="AB45" s="8"/>
      <c r="AC45" s="8"/>
      <c r="AD45" s="8"/>
      <c r="AE45" s="8"/>
      <c r="AF45" s="9"/>
      <c r="AG45" s="9"/>
      <c r="AH45" s="9"/>
      <c r="AI45" s="9"/>
      <c r="AJ45" s="9"/>
    </row>
    <row r="46" spans="2:36" ht="15" customHeight="1" x14ac:dyDescent="0.2">
      <c r="B46" s="89"/>
      <c r="C46" s="48"/>
      <c r="F46" s="8"/>
      <c r="G46" s="7"/>
      <c r="H46" s="8"/>
      <c r="I46" s="8"/>
      <c r="J46" s="8"/>
      <c r="K46" s="67"/>
      <c r="T46" s="12"/>
      <c r="U46" s="8"/>
      <c r="AC46" s="8"/>
      <c r="AD46" s="8"/>
      <c r="AE46" s="8"/>
      <c r="AF46" s="87"/>
      <c r="AG46" s="9"/>
      <c r="AH46" s="9"/>
      <c r="AI46" s="9"/>
      <c r="AJ46" s="98"/>
    </row>
    <row r="47" spans="2:36" ht="15" customHeight="1" x14ac:dyDescent="0.2">
      <c r="B47" s="89"/>
      <c r="C47" s="48"/>
      <c r="F47" s="8"/>
      <c r="G47" s="7"/>
      <c r="H47" s="8"/>
      <c r="I47" s="8"/>
      <c r="J47" s="8"/>
      <c r="K47" s="67"/>
      <c r="T47" s="12"/>
      <c r="U47" s="8"/>
      <c r="AC47" s="8"/>
      <c r="AD47" s="8"/>
      <c r="AE47" s="8"/>
      <c r="AF47" s="87"/>
      <c r="AG47" s="9"/>
      <c r="AH47" s="9"/>
      <c r="AI47" s="9"/>
      <c r="AJ47" s="98"/>
    </row>
    <row r="48" spans="2:36" ht="15" customHeight="1" x14ac:dyDescent="0.2">
      <c r="B48" s="89"/>
      <c r="C48" s="48"/>
      <c r="F48" s="8"/>
      <c r="G48" s="7"/>
      <c r="H48" s="8"/>
      <c r="I48" s="8"/>
      <c r="J48" s="8"/>
      <c r="K48" s="67"/>
      <c r="R48" s="1"/>
    </row>
    <row r="49" spans="2:36" ht="15" customHeight="1" x14ac:dyDescent="0.2">
      <c r="B49" s="89"/>
      <c r="C49" s="48"/>
      <c r="F49" s="8"/>
      <c r="G49" s="7"/>
      <c r="H49" s="8"/>
      <c r="I49" s="8"/>
      <c r="J49" s="8"/>
      <c r="K49" s="67"/>
      <c r="T49" s="12"/>
      <c r="U49" s="8"/>
      <c r="AC49" s="8"/>
      <c r="AD49" s="8"/>
      <c r="AE49" s="8"/>
      <c r="AF49" s="87"/>
      <c r="AG49" s="9"/>
      <c r="AH49" s="9"/>
      <c r="AI49" s="9"/>
      <c r="AJ49" s="98"/>
    </row>
    <row r="50" spans="2:36" ht="15" customHeight="1" x14ac:dyDescent="0.2">
      <c r="B50" s="89"/>
      <c r="C50" s="48"/>
      <c r="F50" s="8"/>
      <c r="G50" s="7"/>
      <c r="H50" s="8"/>
      <c r="I50" s="8"/>
      <c r="J50" s="8"/>
      <c r="K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row>
    <row r="51" spans="2:36" ht="15" customHeight="1" x14ac:dyDescent="0.2">
      <c r="B51" s="89"/>
      <c r="C51" s="48"/>
      <c r="F51" s="8"/>
      <c r="G51" s="7"/>
      <c r="H51" s="8"/>
      <c r="I51" s="8"/>
      <c r="J51" s="8"/>
      <c r="K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row>
    <row r="52" spans="2:36" ht="15" customHeight="1" x14ac:dyDescent="0.2">
      <c r="B52" s="89"/>
      <c r="C52" s="48"/>
      <c r="F52" s="8"/>
      <c r="G52" s="7"/>
      <c r="H52" s="8"/>
      <c r="I52" s="8"/>
      <c r="J52" s="8"/>
      <c r="K52" s="67"/>
      <c r="T52" s="12"/>
      <c r="U52" s="8"/>
      <c r="AC52" s="8"/>
      <c r="AD52" s="8"/>
      <c r="AE52" s="8"/>
      <c r="AF52" s="87"/>
      <c r="AG52" s="9"/>
      <c r="AH52" s="9"/>
      <c r="AI52" s="9"/>
      <c r="AJ52" s="98"/>
    </row>
    <row r="53" spans="2:36" ht="15" customHeight="1" x14ac:dyDescent="0.2">
      <c r="B53" s="89"/>
      <c r="C53" s="48"/>
      <c r="F53" s="8"/>
      <c r="G53" s="7"/>
      <c r="H53" s="8"/>
      <c r="I53" s="8"/>
      <c r="J53" s="8"/>
      <c r="K53" s="67"/>
      <c r="T53" s="12"/>
      <c r="U53" s="8"/>
      <c r="AC53" s="8"/>
      <c r="AD53" s="8"/>
      <c r="AE53" s="8"/>
      <c r="AF53" s="87"/>
      <c r="AG53" s="9"/>
      <c r="AH53" s="9"/>
      <c r="AI53" s="9"/>
      <c r="AJ53" s="98"/>
    </row>
    <row r="54" spans="2:36" ht="15" customHeight="1" x14ac:dyDescent="0.2">
      <c r="B54" s="89"/>
      <c r="C54" s="48"/>
      <c r="F54" s="8"/>
      <c r="G54" s="7"/>
      <c r="H54" s="8"/>
      <c r="I54" s="8"/>
      <c r="J54" s="8"/>
      <c r="K54" s="67"/>
      <c r="T54" s="12"/>
      <c r="U54" s="8"/>
      <c r="AC54" s="8"/>
      <c r="AD54" s="8"/>
      <c r="AE54" s="8"/>
      <c r="AF54" s="87"/>
      <c r="AG54" s="9"/>
      <c r="AH54" s="9"/>
      <c r="AI54" s="9"/>
      <c r="AJ54" s="98"/>
    </row>
    <row r="55" spans="2:36" ht="15" customHeight="1" x14ac:dyDescent="0.2">
      <c r="B55" s="89"/>
      <c r="C55" s="48"/>
      <c r="F55" s="8"/>
      <c r="G55" s="7"/>
      <c r="H55" s="8"/>
      <c r="I55" s="8"/>
      <c r="J55" s="8"/>
      <c r="K55" s="67"/>
      <c r="T55" s="12"/>
      <c r="U55" s="8"/>
      <c r="AC55" s="8"/>
      <c r="AD55" s="8"/>
      <c r="AE55" s="8"/>
      <c r="AF55" s="87"/>
      <c r="AG55" s="9"/>
      <c r="AH55" s="9"/>
      <c r="AI55" s="9"/>
      <c r="AJ55" s="98"/>
    </row>
    <row r="56" spans="2:36" ht="15" customHeight="1" x14ac:dyDescent="0.2">
      <c r="B56" s="89"/>
      <c r="C56" s="48"/>
      <c r="F56" s="8"/>
      <c r="G56" s="7"/>
      <c r="H56" s="8"/>
      <c r="I56" s="8"/>
      <c r="J56" s="8"/>
      <c r="K56" s="67"/>
      <c r="T56" s="12"/>
      <c r="U56" s="8"/>
      <c r="AC56" s="8"/>
      <c r="AD56" s="8"/>
      <c r="AE56" s="8"/>
      <c r="AF56" s="87"/>
      <c r="AG56" s="9"/>
      <c r="AH56" s="9"/>
      <c r="AI56" s="9"/>
      <c r="AJ56" s="98"/>
    </row>
    <row r="57" spans="2:36" ht="15" customHeight="1" x14ac:dyDescent="0.2">
      <c r="B57" s="89"/>
      <c r="C57" s="48"/>
      <c r="F57" s="8"/>
      <c r="G57" s="7"/>
      <c r="H57" s="8"/>
      <c r="I57" s="8"/>
      <c r="J57" s="8"/>
      <c r="K57" s="67"/>
      <c r="T57" s="12"/>
      <c r="U57" s="8"/>
      <c r="AC57" s="8"/>
      <c r="AD57" s="8"/>
      <c r="AE57" s="8"/>
      <c r="AF57" s="87"/>
      <c r="AG57" s="9"/>
      <c r="AH57" s="9"/>
      <c r="AI57" s="9"/>
      <c r="AJ57" s="98"/>
    </row>
    <row r="58" spans="2:36" ht="15" customHeight="1" x14ac:dyDescent="0.2">
      <c r="B58" s="89"/>
      <c r="C58" s="48"/>
      <c r="F58" s="8"/>
      <c r="G58" s="7"/>
      <c r="H58" s="8"/>
      <c r="I58" s="8"/>
      <c r="J58" s="8"/>
      <c r="K58" s="67"/>
      <c r="T58" s="12"/>
      <c r="U58" s="8"/>
      <c r="AC58" s="8"/>
      <c r="AD58" s="8"/>
      <c r="AE58" s="8"/>
      <c r="AF58" s="87"/>
      <c r="AG58" s="9"/>
      <c r="AH58" s="9"/>
      <c r="AI58" s="9"/>
      <c r="AJ58" s="98"/>
    </row>
    <row r="59" spans="2:36" ht="15" customHeight="1" x14ac:dyDescent="0.2">
      <c r="B59" s="89"/>
      <c r="C59" s="48"/>
      <c r="F59" s="8"/>
      <c r="G59" s="7"/>
      <c r="H59" s="8"/>
      <c r="I59" s="8"/>
      <c r="J59" s="8"/>
      <c r="K59" s="67"/>
      <c r="T59" s="12"/>
      <c r="U59" s="8"/>
      <c r="AC59" s="8"/>
      <c r="AD59" s="8"/>
      <c r="AE59" s="8"/>
      <c r="AF59" s="87"/>
      <c r="AG59" s="9"/>
      <c r="AH59" s="9"/>
      <c r="AI59" s="9"/>
      <c r="AJ59" s="98"/>
    </row>
    <row r="60" spans="2:36" ht="15" customHeight="1" x14ac:dyDescent="0.2">
      <c r="B60" s="89"/>
      <c r="C60" s="48"/>
      <c r="F60" s="8"/>
      <c r="G60" s="7"/>
      <c r="H60" s="8"/>
      <c r="I60" s="8"/>
      <c r="J60" s="8"/>
      <c r="K60" s="67"/>
      <c r="T60" s="12"/>
      <c r="U60" s="8"/>
      <c r="AC60" s="8"/>
      <c r="AD60" s="8"/>
      <c r="AE60" s="8"/>
      <c r="AF60" s="87"/>
      <c r="AG60" s="9"/>
      <c r="AH60" s="9"/>
      <c r="AI60" s="9"/>
      <c r="AJ60" s="98"/>
    </row>
    <row r="61" spans="2:36" ht="15" customHeight="1" x14ac:dyDescent="0.2">
      <c r="B61" s="89"/>
      <c r="C61" s="48"/>
      <c r="F61" s="8"/>
      <c r="G61" s="7"/>
      <c r="H61" s="8"/>
      <c r="I61" s="8"/>
      <c r="J61" s="8"/>
      <c r="K61" s="67"/>
      <c r="T61" s="12"/>
      <c r="U61" s="8"/>
      <c r="AC61" s="8"/>
      <c r="AD61" s="8"/>
      <c r="AE61" s="8"/>
      <c r="AF61" s="87"/>
      <c r="AG61" s="9"/>
      <c r="AH61" s="9"/>
      <c r="AI61" s="9"/>
      <c r="AJ61" s="98"/>
    </row>
    <row r="62" spans="2:36" ht="15" customHeight="1" x14ac:dyDescent="0.2">
      <c r="B62" s="89"/>
      <c r="C62" s="48"/>
      <c r="F62" s="8"/>
      <c r="G62" s="7"/>
      <c r="H62" s="8"/>
      <c r="I62" s="8"/>
      <c r="J62" s="8"/>
      <c r="K62" s="67"/>
      <c r="T62" s="12"/>
      <c r="U62" s="8"/>
      <c r="AC62" s="8"/>
      <c r="AD62" s="8"/>
      <c r="AE62" s="8"/>
      <c r="AF62" s="87"/>
      <c r="AG62" s="9"/>
      <c r="AH62" s="9"/>
      <c r="AI62" s="9"/>
      <c r="AJ62" s="98"/>
    </row>
    <row r="63" spans="2:36" ht="15" customHeight="1" x14ac:dyDescent="0.2">
      <c r="B63" s="89"/>
      <c r="C63" s="48"/>
      <c r="F63" s="8"/>
      <c r="G63" s="7"/>
      <c r="H63" s="8"/>
      <c r="I63" s="8"/>
      <c r="J63" s="8"/>
      <c r="K63" s="67"/>
      <c r="T63" s="12"/>
      <c r="U63" s="8"/>
      <c r="AC63" s="8"/>
      <c r="AD63" s="8"/>
      <c r="AE63" s="8"/>
      <c r="AF63" s="87"/>
      <c r="AG63" s="9"/>
      <c r="AH63" s="9"/>
      <c r="AI63" s="9"/>
      <c r="AJ63" s="98"/>
    </row>
    <row r="64" spans="2:36" ht="15" customHeight="1" x14ac:dyDescent="0.2">
      <c r="B64" s="89"/>
      <c r="C64" s="48"/>
      <c r="F64" s="8"/>
      <c r="G64" s="7"/>
      <c r="H64" s="8"/>
      <c r="I64" s="8"/>
      <c r="J64" s="8"/>
      <c r="K64" s="67"/>
      <c r="T64" s="12"/>
      <c r="U64" s="8"/>
      <c r="AC64" s="8"/>
      <c r="AD64" s="8"/>
      <c r="AE64" s="8"/>
      <c r="AF64" s="87"/>
      <c r="AG64" s="9"/>
      <c r="AH64" s="9"/>
      <c r="AI64" s="9"/>
      <c r="AJ64" s="98"/>
    </row>
    <row r="65" spans="2:36" ht="15" customHeight="1" x14ac:dyDescent="0.2">
      <c r="B65" s="89"/>
      <c r="C65" s="48"/>
      <c r="F65" s="8"/>
      <c r="G65" s="7"/>
      <c r="H65" s="8"/>
      <c r="I65" s="8"/>
      <c r="J65" s="8"/>
      <c r="K65" s="67"/>
      <c r="T65" s="12"/>
      <c r="U65" s="8"/>
      <c r="AC65" s="8"/>
      <c r="AD65" s="8"/>
      <c r="AE65" s="8"/>
      <c r="AF65" s="87"/>
      <c r="AG65" s="9"/>
      <c r="AH65" s="9"/>
      <c r="AI65" s="9"/>
      <c r="AJ65" s="98"/>
    </row>
    <row r="66" spans="2:36" ht="15" customHeight="1" x14ac:dyDescent="0.2">
      <c r="B66" s="89"/>
      <c r="C66" s="48"/>
      <c r="F66" s="8"/>
      <c r="G66" s="7"/>
      <c r="H66" s="8"/>
      <c r="I66" s="8"/>
      <c r="J66" s="8"/>
      <c r="K66" s="663"/>
      <c r="L66" s="663"/>
      <c r="M66" s="663"/>
      <c r="N66" s="663"/>
      <c r="O66" s="663"/>
      <c r="P66" s="663"/>
      <c r="Q66" s="663"/>
      <c r="R66" s="663"/>
      <c r="S66" s="663"/>
      <c r="T66" s="663"/>
      <c r="U66" s="663"/>
      <c r="V66" s="663"/>
      <c r="W66" s="663"/>
      <c r="X66" s="663"/>
      <c r="Y66" s="663"/>
      <c r="Z66" s="663"/>
      <c r="AA66" s="663"/>
      <c r="AB66" s="663"/>
      <c r="AC66" s="663"/>
      <c r="AD66" s="663"/>
      <c r="AE66" s="663"/>
      <c r="AF66" s="663"/>
      <c r="AG66" s="663"/>
      <c r="AH66" s="663"/>
      <c r="AI66" s="663"/>
      <c r="AJ66" s="663"/>
    </row>
    <row r="67" spans="2:36" ht="15" customHeight="1" x14ac:dyDescent="0.2">
      <c r="F67" s="8"/>
      <c r="G67" s="8"/>
      <c r="H67" s="8"/>
      <c r="I67" s="8"/>
      <c r="J67" s="8"/>
      <c r="K67" s="8"/>
      <c r="T67" s="93"/>
      <c r="U67" s="8"/>
      <c r="V67" s="8"/>
      <c r="AC67" s="8"/>
      <c r="AD67" s="8"/>
      <c r="AE67" s="8"/>
      <c r="AF67" s="87"/>
      <c r="AG67" s="9"/>
      <c r="AH67" s="9"/>
      <c r="AI67" s="9"/>
      <c r="AJ67" s="97"/>
    </row>
    <row r="68" spans="2:36" ht="15" customHeight="1" x14ac:dyDescent="0.2">
      <c r="F68" s="8"/>
      <c r="G68" s="8"/>
      <c r="H68" s="8"/>
      <c r="I68" s="8"/>
      <c r="J68" s="8"/>
      <c r="K68" s="8"/>
      <c r="L68" s="10"/>
      <c r="M68" s="8"/>
      <c r="N68" s="8"/>
      <c r="O68" s="8"/>
      <c r="P68" s="8"/>
      <c r="Q68" s="8"/>
      <c r="R68" s="9"/>
      <c r="S68" s="10"/>
      <c r="T68" s="8"/>
      <c r="U68" s="8"/>
      <c r="V68" s="8"/>
      <c r="W68" s="8"/>
      <c r="X68" s="8"/>
      <c r="Y68" s="8"/>
      <c r="Z68" s="10"/>
      <c r="AA68" s="8"/>
      <c r="AB68" s="8"/>
      <c r="AC68" s="8"/>
      <c r="AD68" s="8"/>
      <c r="AE68" s="8"/>
      <c r="AF68" s="8"/>
      <c r="AG68" s="8"/>
      <c r="AH68" s="8"/>
      <c r="AI68" s="8"/>
      <c r="AJ68" s="8"/>
    </row>
    <row r="69" spans="2:36" ht="15" customHeight="1" x14ac:dyDescent="0.2">
      <c r="F69" s="8"/>
      <c r="G69" s="8"/>
      <c r="H69" s="8"/>
      <c r="I69" s="8"/>
      <c r="J69" s="8"/>
      <c r="K69" s="8"/>
      <c r="L69" s="10"/>
      <c r="M69" s="8"/>
      <c r="N69" s="8"/>
      <c r="O69" s="8"/>
      <c r="P69" s="8"/>
      <c r="Q69" s="8"/>
      <c r="R69" s="9"/>
      <c r="S69" s="10"/>
      <c r="T69" s="8"/>
      <c r="U69" s="8"/>
      <c r="V69" s="8"/>
      <c r="W69" s="8"/>
      <c r="X69" s="8"/>
      <c r="Y69" s="8"/>
      <c r="Z69" s="10"/>
      <c r="AA69" s="8"/>
      <c r="AB69" s="8"/>
      <c r="AC69" s="8"/>
      <c r="AD69" s="8"/>
      <c r="AE69" s="8"/>
      <c r="AF69" s="8"/>
      <c r="AG69" s="8"/>
      <c r="AH69" s="8"/>
      <c r="AI69" s="8"/>
      <c r="AJ69" s="8"/>
    </row>
    <row r="70" spans="2:36" ht="15" hidden="1" customHeight="1" x14ac:dyDescent="0.2">
      <c r="F70" s="8"/>
      <c r="G70" s="30"/>
      <c r="H70" s="14"/>
      <c r="I70" s="14"/>
      <c r="J70" s="14"/>
      <c r="K70" s="40">
        <v>0</v>
      </c>
      <c r="L70" s="40">
        <v>1</v>
      </c>
      <c r="M70" s="40">
        <v>2</v>
      </c>
      <c r="N70" s="40">
        <v>3</v>
      </c>
      <c r="O70" s="40">
        <v>4</v>
      </c>
      <c r="P70" s="40">
        <v>5</v>
      </c>
      <c r="Q70" s="40">
        <v>6</v>
      </c>
      <c r="R70" s="40">
        <v>7</v>
      </c>
      <c r="S70" s="40">
        <v>8</v>
      </c>
      <c r="T70" s="40">
        <v>9</v>
      </c>
      <c r="U70" s="40">
        <v>10</v>
      </c>
      <c r="V70" s="40">
        <v>11</v>
      </c>
      <c r="W70" s="40">
        <v>12</v>
      </c>
      <c r="X70" s="40">
        <v>13</v>
      </c>
      <c r="Y70" s="40">
        <v>14</v>
      </c>
      <c r="Z70" s="40">
        <v>15</v>
      </c>
      <c r="AA70" s="40">
        <v>16</v>
      </c>
      <c r="AB70" s="40">
        <v>17</v>
      </c>
      <c r="AC70" s="40">
        <v>18</v>
      </c>
      <c r="AD70" s="40">
        <v>19</v>
      </c>
      <c r="AE70" s="40">
        <v>20</v>
      </c>
      <c r="AF70" s="40">
        <v>21</v>
      </c>
      <c r="AG70" s="40">
        <v>22</v>
      </c>
      <c r="AH70" s="40">
        <v>23</v>
      </c>
      <c r="AI70" s="40">
        <v>24</v>
      </c>
      <c r="AJ70" s="40">
        <v>25</v>
      </c>
    </row>
    <row r="71" spans="2:36" ht="15" hidden="1" customHeight="1" x14ac:dyDescent="0.2">
      <c r="B71" s="47"/>
      <c r="C71" s="47"/>
      <c r="D71" s="47"/>
      <c r="E71" s="47"/>
      <c r="F71" s="8"/>
      <c r="G71" s="14" t="s">
        <v>183</v>
      </c>
      <c r="H71" s="14"/>
      <c r="I71" s="14"/>
      <c r="J71" s="14">
        <v>0</v>
      </c>
      <c r="K71" s="41">
        <v>1</v>
      </c>
      <c r="L71" s="41">
        <f>K71+1</f>
        <v>2</v>
      </c>
      <c r="M71" s="41">
        <f t="shared" ref="M71:AJ71" si="0">L71+1</f>
        <v>3</v>
      </c>
      <c r="N71" s="41">
        <f t="shared" si="0"/>
        <v>4</v>
      </c>
      <c r="O71" s="41">
        <f t="shared" si="0"/>
        <v>5</v>
      </c>
      <c r="P71" s="41">
        <f t="shared" si="0"/>
        <v>6</v>
      </c>
      <c r="Q71" s="41">
        <f t="shared" si="0"/>
        <v>7</v>
      </c>
      <c r="R71" s="41">
        <f t="shared" si="0"/>
        <v>8</v>
      </c>
      <c r="S71" s="41">
        <f t="shared" si="0"/>
        <v>9</v>
      </c>
      <c r="T71" s="41">
        <f t="shared" si="0"/>
        <v>10</v>
      </c>
      <c r="U71" s="41">
        <f t="shared" si="0"/>
        <v>11</v>
      </c>
      <c r="V71" s="41">
        <f t="shared" si="0"/>
        <v>12</v>
      </c>
      <c r="W71" s="41">
        <f t="shared" si="0"/>
        <v>13</v>
      </c>
      <c r="X71" s="41">
        <f t="shared" si="0"/>
        <v>14</v>
      </c>
      <c r="Y71" s="41">
        <f t="shared" si="0"/>
        <v>15</v>
      </c>
      <c r="Z71" s="41">
        <f t="shared" si="0"/>
        <v>16</v>
      </c>
      <c r="AA71" s="41">
        <f t="shared" si="0"/>
        <v>17</v>
      </c>
      <c r="AB71" s="41">
        <f t="shared" si="0"/>
        <v>18</v>
      </c>
      <c r="AC71" s="41">
        <f t="shared" si="0"/>
        <v>19</v>
      </c>
      <c r="AD71" s="41">
        <f t="shared" si="0"/>
        <v>20</v>
      </c>
      <c r="AE71" s="41">
        <f t="shared" si="0"/>
        <v>21</v>
      </c>
      <c r="AF71" s="41">
        <f t="shared" si="0"/>
        <v>22</v>
      </c>
      <c r="AG71" s="41">
        <f t="shared" si="0"/>
        <v>23</v>
      </c>
      <c r="AH71" s="41">
        <f t="shared" si="0"/>
        <v>24</v>
      </c>
      <c r="AI71" s="41">
        <f t="shared" si="0"/>
        <v>25</v>
      </c>
      <c r="AJ71" s="41">
        <f t="shared" si="0"/>
        <v>26</v>
      </c>
    </row>
    <row r="72" spans="2:36" ht="15" hidden="1" customHeight="1" x14ac:dyDescent="0.2">
      <c r="B72" s="47"/>
      <c r="C72" s="47"/>
      <c r="D72" s="47"/>
      <c r="E72" s="47"/>
      <c r="F72" s="8"/>
      <c r="G72" s="14" t="s">
        <v>548</v>
      </c>
      <c r="H72" s="69"/>
      <c r="I72" s="69"/>
      <c r="J72" s="196" t="e">
        <f>INDEX(K$70:AJ$70,MATCH(TRUE,INDEX(K72:AJ72&lt;&gt;0,),0))</f>
        <v>#N/A</v>
      </c>
      <c r="K72" s="69">
        <f>IF(K70&lt;$Q$19,0,IF(K136&lt;K112,1,0))</f>
        <v>0</v>
      </c>
      <c r="L72" s="69">
        <f t="shared" ref="L72:AJ72" si="1">IF(L70&lt;$Q$19,0,IF(L136&lt;L112,1,0))</f>
        <v>0</v>
      </c>
      <c r="M72" s="69">
        <f t="shared" si="1"/>
        <v>0</v>
      </c>
      <c r="N72" s="69">
        <f t="shared" si="1"/>
        <v>0</v>
      </c>
      <c r="O72" s="69">
        <f t="shared" si="1"/>
        <v>0</v>
      </c>
      <c r="P72" s="69">
        <f t="shared" si="1"/>
        <v>0</v>
      </c>
      <c r="Q72" s="69">
        <f t="shared" si="1"/>
        <v>0</v>
      </c>
      <c r="R72" s="69">
        <f t="shared" si="1"/>
        <v>0</v>
      </c>
      <c r="S72" s="69">
        <f t="shared" si="1"/>
        <v>0</v>
      </c>
      <c r="T72" s="69">
        <f t="shared" si="1"/>
        <v>0</v>
      </c>
      <c r="U72" s="69">
        <f t="shared" si="1"/>
        <v>0</v>
      </c>
      <c r="V72" s="69">
        <f t="shared" si="1"/>
        <v>0</v>
      </c>
      <c r="W72" s="69">
        <f t="shared" si="1"/>
        <v>0</v>
      </c>
      <c r="X72" s="69">
        <f t="shared" si="1"/>
        <v>0</v>
      </c>
      <c r="Y72" s="69">
        <f t="shared" si="1"/>
        <v>0</v>
      </c>
      <c r="Z72" s="69">
        <f t="shared" si="1"/>
        <v>0</v>
      </c>
      <c r="AA72" s="69">
        <f t="shared" si="1"/>
        <v>0</v>
      </c>
      <c r="AB72" s="69">
        <f t="shared" si="1"/>
        <v>0</v>
      </c>
      <c r="AC72" s="69">
        <f t="shared" si="1"/>
        <v>0</v>
      </c>
      <c r="AD72" s="69">
        <f t="shared" si="1"/>
        <v>0</v>
      </c>
      <c r="AE72" s="69">
        <f t="shared" si="1"/>
        <v>0</v>
      </c>
      <c r="AF72" s="69">
        <f t="shared" si="1"/>
        <v>0</v>
      </c>
      <c r="AG72" s="69">
        <f t="shared" si="1"/>
        <v>0</v>
      </c>
      <c r="AH72" s="69">
        <f t="shared" si="1"/>
        <v>0</v>
      </c>
      <c r="AI72" s="69">
        <f t="shared" si="1"/>
        <v>0</v>
      </c>
      <c r="AJ72" s="69">
        <f t="shared" si="1"/>
        <v>0</v>
      </c>
    </row>
    <row r="73" spans="2:36" ht="15" hidden="1" customHeight="1" x14ac:dyDescent="0.2">
      <c r="B73" s="47"/>
      <c r="C73" s="47"/>
      <c r="D73" s="47"/>
      <c r="E73" s="47"/>
      <c r="F73" s="8"/>
      <c r="G73" s="14" t="s">
        <v>592</v>
      </c>
      <c r="H73" s="69"/>
      <c r="I73" s="69"/>
      <c r="J73" s="196" t="e">
        <f>INDEX(K$70:AJ$70,MATCH(TRUE,INDEX(K73:AJ73&lt;&gt;0,),0))</f>
        <v>#N/A</v>
      </c>
      <c r="K73" s="69">
        <f>IF(K71&lt;$Q$37,0,IF(K160&lt;K112,1,0))</f>
        <v>0</v>
      </c>
      <c r="L73" s="69">
        <f t="shared" ref="L73:AJ73" si="2">IF(L71&lt;$Q$37,0,IF(L160&lt;L112,1,0))</f>
        <v>0</v>
      </c>
      <c r="M73" s="69">
        <f t="shared" si="2"/>
        <v>0</v>
      </c>
      <c r="N73" s="69">
        <f t="shared" si="2"/>
        <v>0</v>
      </c>
      <c r="O73" s="69">
        <f t="shared" si="2"/>
        <v>0</v>
      </c>
      <c r="P73" s="69">
        <f t="shared" si="2"/>
        <v>0</v>
      </c>
      <c r="Q73" s="69">
        <f t="shared" si="2"/>
        <v>0</v>
      </c>
      <c r="R73" s="69">
        <f t="shared" si="2"/>
        <v>0</v>
      </c>
      <c r="S73" s="69">
        <f t="shared" si="2"/>
        <v>0</v>
      </c>
      <c r="T73" s="69">
        <f t="shared" si="2"/>
        <v>0</v>
      </c>
      <c r="U73" s="69">
        <f t="shared" si="2"/>
        <v>0</v>
      </c>
      <c r="V73" s="69">
        <f t="shared" si="2"/>
        <v>0</v>
      </c>
      <c r="W73" s="69">
        <f t="shared" si="2"/>
        <v>0</v>
      </c>
      <c r="X73" s="69">
        <f t="shared" si="2"/>
        <v>0</v>
      </c>
      <c r="Y73" s="69">
        <f t="shared" si="2"/>
        <v>0</v>
      </c>
      <c r="Z73" s="69">
        <f>IF(Z71&lt;$Q$37,0,IF(Z160&lt;Z112,1,0))</f>
        <v>0</v>
      </c>
      <c r="AA73" s="69">
        <f t="shared" si="2"/>
        <v>0</v>
      </c>
      <c r="AB73" s="69">
        <f t="shared" si="2"/>
        <v>0</v>
      </c>
      <c r="AC73" s="69">
        <f t="shared" si="2"/>
        <v>0</v>
      </c>
      <c r="AD73" s="69">
        <f t="shared" si="2"/>
        <v>0</v>
      </c>
      <c r="AE73" s="69">
        <f t="shared" si="2"/>
        <v>0</v>
      </c>
      <c r="AF73" s="69">
        <f t="shared" si="2"/>
        <v>0</v>
      </c>
      <c r="AG73" s="69">
        <f t="shared" si="2"/>
        <v>0</v>
      </c>
      <c r="AH73" s="69">
        <f t="shared" si="2"/>
        <v>0</v>
      </c>
      <c r="AI73" s="69">
        <f t="shared" si="2"/>
        <v>0</v>
      </c>
      <c r="AJ73" s="69">
        <f t="shared" si="2"/>
        <v>0</v>
      </c>
    </row>
    <row r="74" spans="2:36" ht="15" hidden="1" customHeight="1" x14ac:dyDescent="0.2">
      <c r="B74" s="47"/>
      <c r="C74" s="47"/>
      <c r="D74" s="47"/>
      <c r="E74" s="47"/>
      <c r="F74" s="8"/>
      <c r="G74" s="14"/>
      <c r="H74" s="69"/>
      <c r="I74" s="69"/>
      <c r="J74" s="196"/>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row>
    <row r="75" spans="2:36" ht="15" hidden="1" customHeight="1" x14ac:dyDescent="0.2">
      <c r="B75" s="47"/>
      <c r="C75" s="47"/>
      <c r="D75" s="47"/>
      <c r="E75" s="47"/>
      <c r="F75" s="8"/>
      <c r="G75" s="14" t="s">
        <v>309</v>
      </c>
      <c r="H75" s="69"/>
      <c r="I75" s="69"/>
      <c r="J75" s="196"/>
      <c r="K75" s="394">
        <f>Data!$P$170</f>
        <v>0</v>
      </c>
      <c r="L75" s="103">
        <f>K75*(1+(Data!$P$196/100))</f>
        <v>0</v>
      </c>
      <c r="M75" s="103">
        <f>L75*(1+(Data!$P$196/100))</f>
        <v>0</v>
      </c>
      <c r="N75" s="103">
        <f>M75*(1+(Data!$P$196/100))</f>
        <v>0</v>
      </c>
      <c r="O75" s="103">
        <f>N75*(1+(Data!$P$196/100))</f>
        <v>0</v>
      </c>
      <c r="P75" s="103">
        <f>O75*(1+(Data!$P$196/100))</f>
        <v>0</v>
      </c>
      <c r="Q75" s="103">
        <f>P75*(1+(Data!$P$196/100))</f>
        <v>0</v>
      </c>
      <c r="R75" s="103">
        <f>Q75*(1+(Data!$P$196/100))</f>
        <v>0</v>
      </c>
      <c r="S75" s="103">
        <f>R75*(1+(Data!$P$196/100))</f>
        <v>0</v>
      </c>
      <c r="T75" s="103">
        <f>S75*(1+(Data!$P$196/100))</f>
        <v>0</v>
      </c>
      <c r="U75" s="103">
        <f>T75*(1+(Data!$P$196/100))</f>
        <v>0</v>
      </c>
      <c r="V75" s="103">
        <f>U75*(1+(Data!$P$196/100))</f>
        <v>0</v>
      </c>
      <c r="W75" s="103">
        <f>V75*(1+(Data!$P$196/100))</f>
        <v>0</v>
      </c>
      <c r="X75" s="103">
        <f>W75*(1+(Data!$P$196/100))</f>
        <v>0</v>
      </c>
      <c r="Y75" s="103">
        <f>X75*(1+(Data!$P$196/100))</f>
        <v>0</v>
      </c>
      <c r="Z75" s="103">
        <f>Y75*(1+(Data!$P$196/100))</f>
        <v>0</v>
      </c>
      <c r="AA75" s="103">
        <f>Z75*(1+(Data!$P$196/100))</f>
        <v>0</v>
      </c>
      <c r="AB75" s="103">
        <f>AA75*(1+(Data!$P$196/100))</f>
        <v>0</v>
      </c>
      <c r="AC75" s="103">
        <f>AB75*(1+(Data!$P$196/100))</f>
        <v>0</v>
      </c>
      <c r="AD75" s="103">
        <f>AC75*(1+(Data!$P$196/100))</f>
        <v>0</v>
      </c>
      <c r="AE75" s="103">
        <f>AD75*(1+(Data!$P$196/100))</f>
        <v>0</v>
      </c>
      <c r="AF75" s="103">
        <f>AE75*(1+(Data!$P$196/100))</f>
        <v>0</v>
      </c>
      <c r="AG75" s="103">
        <f>AF75*(1+(Data!$P$196/100))</f>
        <v>0</v>
      </c>
      <c r="AH75" s="103">
        <f>AG75*(1+(Data!$P$196/100))</f>
        <v>0</v>
      </c>
      <c r="AI75" s="103">
        <f>AH75*(1+(Data!$P$196/100))</f>
        <v>0</v>
      </c>
      <c r="AJ75" s="103">
        <f>AI75*(1+(Data!$P$196/100))</f>
        <v>0</v>
      </c>
    </row>
    <row r="76" spans="2:36" ht="15" hidden="1" customHeight="1" x14ac:dyDescent="0.2">
      <c r="B76" s="47"/>
      <c r="C76" s="47"/>
      <c r="D76" s="47"/>
      <c r="E76" s="47"/>
      <c r="F76" s="8"/>
      <c r="G76" s="14" t="s">
        <v>284</v>
      </c>
      <c r="H76" s="14"/>
      <c r="I76" s="14"/>
      <c r="J76" s="14"/>
      <c r="K76" s="103">
        <f>Data!$P$171</f>
        <v>0.184</v>
      </c>
      <c r="L76" s="103">
        <f>K76*(1+(Data!$P$197/100))</f>
        <v>0.184</v>
      </c>
      <c r="M76" s="103">
        <f>L76*(1+(Data!$P$197/100))</f>
        <v>0.184</v>
      </c>
      <c r="N76" s="103">
        <f>M76*(1+(Data!$P$197/100))</f>
        <v>0.184</v>
      </c>
      <c r="O76" s="103">
        <f>N76*(1+(Data!$P$197/100))</f>
        <v>0.184</v>
      </c>
      <c r="P76" s="103">
        <f>O76*(1+(Data!$P$197/100))</f>
        <v>0.184</v>
      </c>
      <c r="Q76" s="103">
        <f>P76*(1+(Data!$P$197/100))</f>
        <v>0.184</v>
      </c>
      <c r="R76" s="103">
        <f>Q76*(1+(Data!$P$197/100))</f>
        <v>0.184</v>
      </c>
      <c r="S76" s="103">
        <f>R76*(1+(Data!$P$197/100))</f>
        <v>0.184</v>
      </c>
      <c r="T76" s="103">
        <f>S76*(1+(Data!$P$197/100))</f>
        <v>0.184</v>
      </c>
      <c r="U76" s="103">
        <f>T76*(1+(Data!$P$197/100))</f>
        <v>0.184</v>
      </c>
      <c r="V76" s="103">
        <f>U76*(1+(Data!$P$197/100))</f>
        <v>0.184</v>
      </c>
      <c r="W76" s="103">
        <f>V76*(1+(Data!$P$197/100))</f>
        <v>0.184</v>
      </c>
      <c r="X76" s="103">
        <f>W76*(1+(Data!$P$197/100))</f>
        <v>0.184</v>
      </c>
      <c r="Y76" s="103">
        <f>X76*(1+(Data!$P$197/100))</f>
        <v>0.184</v>
      </c>
      <c r="Z76" s="103">
        <f>Y76*(1+(Data!$P$197/100))</f>
        <v>0.184</v>
      </c>
      <c r="AA76" s="103">
        <f>Z76*(1+(Data!$P$197/100))</f>
        <v>0.184</v>
      </c>
      <c r="AB76" s="103">
        <f>AA76*(1+(Data!$P$197/100))</f>
        <v>0.184</v>
      </c>
      <c r="AC76" s="103">
        <f>AB76*(1+(Data!$P$197/100))</f>
        <v>0.184</v>
      </c>
      <c r="AD76" s="103">
        <f>AC76*(1+(Data!$P$197/100))</f>
        <v>0.184</v>
      </c>
      <c r="AE76" s="103">
        <f>AD76*(1+(Data!$P$197/100))</f>
        <v>0.184</v>
      </c>
      <c r="AF76" s="103">
        <f>AE76*(1+(Data!$P$197/100))</f>
        <v>0.184</v>
      </c>
      <c r="AG76" s="103">
        <f>AF76*(1+(Data!$P$197/100))</f>
        <v>0.184</v>
      </c>
      <c r="AH76" s="103">
        <f>AG76*(1+(Data!$P$197/100))</f>
        <v>0.184</v>
      </c>
      <c r="AI76" s="103">
        <f>AH76*(1+(Data!$P$197/100))</f>
        <v>0.184</v>
      </c>
      <c r="AJ76" s="103">
        <f>AI76*(1+(Data!$P$197/100))</f>
        <v>0.184</v>
      </c>
    </row>
    <row r="77" spans="2:36" ht="15" hidden="1" customHeight="1" x14ac:dyDescent="0.2">
      <c r="B77" s="47"/>
      <c r="C77" s="47"/>
      <c r="D77" s="47"/>
      <c r="E77" s="47"/>
      <c r="F77" s="8"/>
      <c r="G77" s="14" t="s">
        <v>259</v>
      </c>
      <c r="H77" s="14"/>
      <c r="I77" s="14"/>
      <c r="J77" s="14"/>
      <c r="K77" s="103">
        <f>Data!$P$172</f>
        <v>0.17072999999999999</v>
      </c>
      <c r="L77" s="103">
        <f>K77*(1+(Data!$P$198/100))</f>
        <v>0.17072999999999999</v>
      </c>
      <c r="M77" s="103">
        <f>L77*(1+(Data!$P$198/100))</f>
        <v>0.17072999999999999</v>
      </c>
      <c r="N77" s="103">
        <f>M77*(1+(Data!$P$198/100))</f>
        <v>0.17072999999999999</v>
      </c>
      <c r="O77" s="103">
        <f>N77*(1+(Data!$P$198/100))</f>
        <v>0.17072999999999999</v>
      </c>
      <c r="P77" s="103">
        <f>O77*(1+(Data!$P$198/100))</f>
        <v>0.17072999999999999</v>
      </c>
      <c r="Q77" s="103">
        <f>P77*(1+(Data!$P$198/100))</f>
        <v>0.17072999999999999</v>
      </c>
      <c r="R77" s="103">
        <f>Q77*(1+(Data!$P$198/100))</f>
        <v>0.17072999999999999</v>
      </c>
      <c r="S77" s="103">
        <f>R77*(1+(Data!$P$198/100))</f>
        <v>0.17072999999999999</v>
      </c>
      <c r="T77" s="103">
        <f>S77*(1+(Data!$P$198/100))</f>
        <v>0.17072999999999999</v>
      </c>
      <c r="U77" s="103">
        <f>T77*(1+(Data!$P$198/100))</f>
        <v>0.17072999999999999</v>
      </c>
      <c r="V77" s="103">
        <f>U77*(1+(Data!$P$198/100))</f>
        <v>0.17072999999999999</v>
      </c>
      <c r="W77" s="103">
        <f>V77*(1+(Data!$P$198/100))</f>
        <v>0.17072999999999999</v>
      </c>
      <c r="X77" s="103">
        <f>W77*(1+(Data!$P$198/100))</f>
        <v>0.17072999999999999</v>
      </c>
      <c r="Y77" s="103">
        <f>X77*(1+(Data!$P$198/100))</f>
        <v>0.17072999999999999</v>
      </c>
      <c r="Z77" s="103">
        <f>Y77*(1+(Data!$P$198/100))</f>
        <v>0.17072999999999999</v>
      </c>
      <c r="AA77" s="103">
        <f>Z77*(1+(Data!$P$198/100))</f>
        <v>0.17072999999999999</v>
      </c>
      <c r="AB77" s="103">
        <f>AA77*(1+(Data!$P$198/100))</f>
        <v>0.17072999999999999</v>
      </c>
      <c r="AC77" s="103">
        <f>AB77*(1+(Data!$P$198/100))</f>
        <v>0.17072999999999999</v>
      </c>
      <c r="AD77" s="103">
        <f>AC77*(1+(Data!$P$198/100))</f>
        <v>0.17072999999999999</v>
      </c>
      <c r="AE77" s="103">
        <f>AD77*(1+(Data!$P$198/100))</f>
        <v>0.17072999999999999</v>
      </c>
      <c r="AF77" s="103">
        <f>AE77*(1+(Data!$P$198/100))</f>
        <v>0.17072999999999999</v>
      </c>
      <c r="AG77" s="103">
        <f>AF77*(1+(Data!$P$198/100))</f>
        <v>0.17072999999999999</v>
      </c>
      <c r="AH77" s="103">
        <f>AG77*(1+(Data!$P$198/100))</f>
        <v>0.17072999999999999</v>
      </c>
      <c r="AI77" s="103">
        <f>AH77*(1+(Data!$P$198/100))</f>
        <v>0.17072999999999999</v>
      </c>
      <c r="AJ77" s="103">
        <f>AI77*(1+(Data!$P$198/100))</f>
        <v>0.17072999999999999</v>
      </c>
    </row>
    <row r="78" spans="2:36" ht="15" hidden="1" customHeight="1" x14ac:dyDescent="0.2">
      <c r="B78" s="47"/>
      <c r="C78" s="47"/>
      <c r="D78" s="47"/>
      <c r="E78" s="47"/>
      <c r="F78" s="8"/>
      <c r="G78" s="14" t="s">
        <v>320</v>
      </c>
      <c r="H78" s="14"/>
      <c r="I78" s="14"/>
      <c r="J78" s="14"/>
      <c r="K78" s="103">
        <f>Data!$P$173</f>
        <v>0.17072999999999999</v>
      </c>
      <c r="L78" s="103">
        <f>K78*(1+(Data!$P$199/100))</f>
        <v>0.17072999999999999</v>
      </c>
      <c r="M78" s="103">
        <f>L78*(1+(Data!$P$199/100))</f>
        <v>0.17072999999999999</v>
      </c>
      <c r="N78" s="103">
        <f>M78*(1+(Data!$P$199/100))</f>
        <v>0.17072999999999999</v>
      </c>
      <c r="O78" s="103">
        <f>N78*(1+(Data!$P$199/100))</f>
        <v>0.17072999999999999</v>
      </c>
      <c r="P78" s="103">
        <f>O78*(1+(Data!$P$199/100))</f>
        <v>0.17072999999999999</v>
      </c>
      <c r="Q78" s="103">
        <f>P78*(1+(Data!$P$199/100))</f>
        <v>0.17072999999999999</v>
      </c>
      <c r="R78" s="103">
        <f>Q78*(1+(Data!$P$199/100))</f>
        <v>0.17072999999999999</v>
      </c>
      <c r="S78" s="103">
        <f>R78*(1+(Data!$P$199/100))</f>
        <v>0.17072999999999999</v>
      </c>
      <c r="T78" s="103">
        <f>S78*(1+(Data!$P$199/100))</f>
        <v>0.17072999999999999</v>
      </c>
      <c r="U78" s="103">
        <f>T78*(1+(Data!$P$199/100))</f>
        <v>0.17072999999999999</v>
      </c>
      <c r="V78" s="103">
        <f>U78*(1+(Data!$P$199/100))</f>
        <v>0.17072999999999999</v>
      </c>
      <c r="W78" s="103">
        <f>V78*(1+(Data!$P$199/100))</f>
        <v>0.17072999999999999</v>
      </c>
      <c r="X78" s="103">
        <f>W78*(1+(Data!$P$199/100))</f>
        <v>0.17072999999999999</v>
      </c>
      <c r="Y78" s="103">
        <f>X78*(1+(Data!$P$199/100))</f>
        <v>0.17072999999999999</v>
      </c>
      <c r="Z78" s="103">
        <f>Y78*(1+(Data!$P$199/100))</f>
        <v>0.17072999999999999</v>
      </c>
      <c r="AA78" s="103">
        <f>Z78*(1+(Data!$P$199/100))</f>
        <v>0.17072999999999999</v>
      </c>
      <c r="AB78" s="103">
        <f>AA78*(1+(Data!$P$199/100))</f>
        <v>0.17072999999999999</v>
      </c>
      <c r="AC78" s="103">
        <f>AB78*(1+(Data!$P$199/100))</f>
        <v>0.17072999999999999</v>
      </c>
      <c r="AD78" s="103">
        <f>AC78*(1+(Data!$P$199/100))</f>
        <v>0.17072999999999999</v>
      </c>
      <c r="AE78" s="103">
        <f>AD78*(1+(Data!$P$199/100))</f>
        <v>0.17072999999999999</v>
      </c>
      <c r="AF78" s="103">
        <f>AE78*(1+(Data!$P$199/100))</f>
        <v>0.17072999999999999</v>
      </c>
      <c r="AG78" s="103">
        <f>AF78*(1+(Data!$P$199/100))</f>
        <v>0.17072999999999999</v>
      </c>
      <c r="AH78" s="103">
        <f>AG78*(1+(Data!$P$199/100))</f>
        <v>0.17072999999999999</v>
      </c>
      <c r="AI78" s="103">
        <f>AH78*(1+(Data!$P$199/100))</f>
        <v>0.17072999999999999</v>
      </c>
      <c r="AJ78" s="103">
        <f>AI78*(1+(Data!$P$199/100))</f>
        <v>0.17072999999999999</v>
      </c>
    </row>
    <row r="79" spans="2:36" ht="15" hidden="1" customHeight="1" x14ac:dyDescent="0.2">
      <c r="B79" s="47"/>
      <c r="C79" s="47"/>
      <c r="D79" s="47"/>
      <c r="E79" s="47"/>
      <c r="F79" s="8"/>
      <c r="G79" s="14" t="s">
        <v>252</v>
      </c>
      <c r="H79" s="14"/>
      <c r="I79" s="14"/>
      <c r="J79" s="14"/>
      <c r="K79" s="103">
        <f>Data!$P$174</f>
        <v>0.19338</v>
      </c>
      <c r="L79" s="103">
        <f>K79*(1+(Data!$P$200/100))</f>
        <v>0.18757859999999998</v>
      </c>
      <c r="M79" s="103">
        <f>L79*(1+(Data!$P$200/100))</f>
        <v>0.18195124199999999</v>
      </c>
      <c r="N79" s="103">
        <f>M79*(1+(Data!$P$200/100))</f>
        <v>0.17649270473999998</v>
      </c>
      <c r="O79" s="103">
        <f>N79*(1+(Data!$P$200/100))</f>
        <v>0.17119792359779998</v>
      </c>
      <c r="P79" s="103">
        <f>O79*(1+(Data!$P$200/100))</f>
        <v>0.16606198588986598</v>
      </c>
      <c r="Q79" s="103">
        <f>P79*(1+(Data!$P$200/100))</f>
        <v>0.16108012631317001</v>
      </c>
      <c r="R79" s="103">
        <f>Q79*(1+(Data!$P$200/100))</f>
        <v>0.15624772252377489</v>
      </c>
      <c r="S79" s="103">
        <f>R79*(1+(Data!$P$200/100))</f>
        <v>0.15156029084806164</v>
      </c>
      <c r="T79" s="103">
        <f>S79*(1+(Data!$P$200/100))</f>
        <v>0.14701348212261978</v>
      </c>
      <c r="U79" s="103">
        <f>T79*(1+(Data!$P$200/100))</f>
        <v>0.14260307765894117</v>
      </c>
      <c r="V79" s="103">
        <f>U79*(1+(Data!$P$200/100))</f>
        <v>0.13832498532917292</v>
      </c>
      <c r="W79" s="103">
        <f>V79*(1+(Data!$P$200/100))</f>
        <v>0.13417523576929774</v>
      </c>
      <c r="X79" s="103">
        <f>W79*(1+(Data!$P$200/100))</f>
        <v>0.1301499786962188</v>
      </c>
      <c r="Y79" s="103">
        <f>X79*(1+(Data!$P$200/100))</f>
        <v>0.12624547933533223</v>
      </c>
      <c r="Z79" s="103">
        <f>Y79*(1+(Data!$P$200/100))</f>
        <v>0.12245811495527226</v>
      </c>
      <c r="AA79" s="103">
        <f>Z79*(1+(Data!$P$200/100))</f>
        <v>0.11878437150661408</v>
      </c>
      <c r="AB79" s="103">
        <f>AA79*(1+(Data!$P$200/100))</f>
        <v>0.11522084036141565</v>
      </c>
      <c r="AC79" s="103">
        <f>AB79*(1+(Data!$P$200/100))</f>
        <v>0.11176421515057318</v>
      </c>
      <c r="AD79" s="103">
        <f>AC79*(1+(Data!$P$200/100))</f>
        <v>0.10841128869605599</v>
      </c>
      <c r="AE79" s="103">
        <f>AD79*(1+(Data!$P$200/100))</f>
        <v>0.10515895003517431</v>
      </c>
      <c r="AF79" s="103">
        <f>AE79*(1+(Data!$P$200/100))</f>
        <v>0.10200418153411908</v>
      </c>
      <c r="AG79" s="103">
        <f>AF79*(1+(Data!$P$200/100))</f>
        <v>9.8944056088095506E-2</v>
      </c>
      <c r="AH79" s="103">
        <f>AG79*(1+(Data!$P$200/100))</f>
        <v>9.5975734405452637E-2</v>
      </c>
      <c r="AI79" s="103">
        <f>AH79*(1+(Data!$P$200/100))</f>
        <v>9.3096462373289057E-2</v>
      </c>
      <c r="AJ79" s="103">
        <f>AI79*(1+(Data!$P$200/100))</f>
        <v>9.0303568502090384E-2</v>
      </c>
    </row>
    <row r="80" spans="2:36" ht="15" hidden="1" customHeight="1" x14ac:dyDescent="0.2">
      <c r="B80" s="47"/>
      <c r="C80" s="47"/>
      <c r="D80" s="47"/>
      <c r="E80" s="47"/>
      <c r="F80" s="8"/>
      <c r="G80" s="14"/>
      <c r="H80" s="69"/>
      <c r="I80" s="69"/>
      <c r="J80" s="196"/>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row>
    <row r="81" spans="2:36" ht="15" hidden="1" customHeight="1" x14ac:dyDescent="0.2">
      <c r="B81" s="47"/>
      <c r="C81" s="47"/>
      <c r="D81" s="47"/>
      <c r="E81" s="47"/>
      <c r="F81" s="8"/>
      <c r="G81" s="14" t="s">
        <v>309</v>
      </c>
      <c r="H81" s="69"/>
      <c r="I81" s="69"/>
      <c r="J81" s="196"/>
      <c r="K81" s="394">
        <f>Data!$P$177</f>
        <v>0</v>
      </c>
      <c r="L81" s="103">
        <f>K81*(1+(Data!$P$188/100))</f>
        <v>0</v>
      </c>
      <c r="M81" s="103">
        <f>L81*(1+(Data!$P$188/100))</f>
        <v>0</v>
      </c>
      <c r="N81" s="103">
        <f>M81*(1+(Data!$P$188/100))</f>
        <v>0</v>
      </c>
      <c r="O81" s="103">
        <f>N81*(1+(Data!$P$188/100))</f>
        <v>0</v>
      </c>
      <c r="P81" s="103">
        <f>O81*(1+(Data!$P$188/100))</f>
        <v>0</v>
      </c>
      <c r="Q81" s="103">
        <f>P81*(1+(Data!$P$188/100))</f>
        <v>0</v>
      </c>
      <c r="R81" s="103">
        <f>Q81*(1+(Data!$P$188/100))</f>
        <v>0</v>
      </c>
      <c r="S81" s="103">
        <f>R81*(1+(Data!$P$188/100))</f>
        <v>0</v>
      </c>
      <c r="T81" s="103">
        <f>S81*(1+(Data!$P$188/100))</f>
        <v>0</v>
      </c>
      <c r="U81" s="103">
        <f>T81*(1+(Data!$P$188/100))</f>
        <v>0</v>
      </c>
      <c r="V81" s="103">
        <f>U81*(1+(Data!$P$188/100))</f>
        <v>0</v>
      </c>
      <c r="W81" s="103">
        <f>V81*(1+(Data!$P$188/100))</f>
        <v>0</v>
      </c>
      <c r="X81" s="103">
        <f>W81*(1+(Data!$P$188/100))</f>
        <v>0</v>
      </c>
      <c r="Y81" s="103">
        <f>X81*(1+(Data!$P$188/100))</f>
        <v>0</v>
      </c>
      <c r="Z81" s="103">
        <f>Y81*(1+(Data!$P$188/100))</f>
        <v>0</v>
      </c>
      <c r="AA81" s="103">
        <f>Z81*(1+(Data!$P$188/100))</f>
        <v>0</v>
      </c>
      <c r="AB81" s="103">
        <f>AA81*(1+(Data!$P$188/100))</f>
        <v>0</v>
      </c>
      <c r="AC81" s="103">
        <f>AB81*(1+(Data!$P$188/100))</f>
        <v>0</v>
      </c>
      <c r="AD81" s="103">
        <f>AC81*(1+(Data!$P$188/100))</f>
        <v>0</v>
      </c>
      <c r="AE81" s="103">
        <f>AD81*(1+(Data!$P$188/100))</f>
        <v>0</v>
      </c>
      <c r="AF81" s="103">
        <f>AE81*(1+(Data!$P$188/100))</f>
        <v>0</v>
      </c>
      <c r="AG81" s="103">
        <f>AF81*(1+(Data!$P$188/100))</f>
        <v>0</v>
      </c>
      <c r="AH81" s="103">
        <f>AG81*(1+(Data!$P$188/100))</f>
        <v>0</v>
      </c>
      <c r="AI81" s="103">
        <f>AH81*(1+(Data!$P$188/100))</f>
        <v>0</v>
      </c>
      <c r="AJ81" s="103">
        <f>AI81*(1+(Data!$P$188/100))</f>
        <v>0</v>
      </c>
    </row>
    <row r="82" spans="2:36" ht="15" hidden="1" customHeight="1" x14ac:dyDescent="0.2">
      <c r="B82" s="47"/>
      <c r="C82" s="47"/>
      <c r="D82" s="47"/>
      <c r="E82" s="47"/>
      <c r="F82" s="8"/>
      <c r="G82" s="14" t="s">
        <v>284</v>
      </c>
      <c r="H82" s="69"/>
      <c r="I82" s="69"/>
      <c r="J82" s="196"/>
      <c r="K82" s="392">
        <f>Data!$P$178</f>
        <v>0.09</v>
      </c>
      <c r="L82" s="103">
        <f>K82*(1+(Data!$P$189/100))</f>
        <v>9.5399999999999999E-2</v>
      </c>
      <c r="M82" s="103">
        <f>L82*(1+(Data!$P$189/100))</f>
        <v>0.10112400000000001</v>
      </c>
      <c r="N82" s="103">
        <f>M82*(1+(Data!$P$189/100))</f>
        <v>0.10719144000000001</v>
      </c>
      <c r="O82" s="103">
        <f>N82*(1+(Data!$P$189/100))</f>
        <v>0.11362292640000002</v>
      </c>
      <c r="P82" s="103">
        <f>O82*(1+(Data!$P$189/100))</f>
        <v>0.12044030198400002</v>
      </c>
      <c r="Q82" s="103">
        <f>P82*(1+(Data!$P$189/100))</f>
        <v>0.12766672010304003</v>
      </c>
      <c r="R82" s="103">
        <f>Q82*(1+(Data!$P$189/100))</f>
        <v>0.13532672330922244</v>
      </c>
      <c r="S82" s="103">
        <f>R82*(1+(Data!$P$189/100))</f>
        <v>0.1434463267077758</v>
      </c>
      <c r="T82" s="103">
        <f>S82*(1+(Data!$P$189/100))</f>
        <v>0.15205310631024235</v>
      </c>
      <c r="U82" s="103">
        <f>T82*(1+(Data!$P$189/100))</f>
        <v>0.16117629268885691</v>
      </c>
      <c r="V82" s="103">
        <f>U82*(1+(Data!$P$189/100))</f>
        <v>0.17084687025018833</v>
      </c>
      <c r="W82" s="103">
        <f>V82*(1+(Data!$P$189/100))</f>
        <v>0.18109768246519964</v>
      </c>
      <c r="X82" s="103">
        <f>W82*(1+(Data!$P$189/100))</f>
        <v>0.19196354341311161</v>
      </c>
      <c r="Y82" s="103">
        <f>X82*(1+(Data!$P$189/100))</f>
        <v>0.20348135601789832</v>
      </c>
      <c r="Z82" s="103">
        <f>Y82*(1+(Data!$P$189/100))</f>
        <v>0.21569023737897222</v>
      </c>
      <c r="AA82" s="103">
        <f>Z82*(1+(Data!$P$189/100))</f>
        <v>0.22863165162171056</v>
      </c>
      <c r="AB82" s="103">
        <f>AA82*(1+(Data!$P$189/100))</f>
        <v>0.24234955071901321</v>
      </c>
      <c r="AC82" s="103">
        <f>AB82*(1+(Data!$P$189/100))</f>
        <v>0.25689052376215399</v>
      </c>
      <c r="AD82" s="103">
        <f>AC82*(1+(Data!$P$189/100))</f>
        <v>0.27230395518788325</v>
      </c>
      <c r="AE82" s="103">
        <f>AD82*(1+(Data!$P$189/100))</f>
        <v>0.28864219249915624</v>
      </c>
      <c r="AF82" s="103">
        <f>AE82*(1+(Data!$P$189/100))</f>
        <v>0.30596072404910563</v>
      </c>
      <c r="AG82" s="103">
        <f>AF82*(1+(Data!$P$189/100))</f>
        <v>0.32431836749205201</v>
      </c>
      <c r="AH82" s="103">
        <f>AG82*(1+(Data!$P$189/100))</f>
        <v>0.34377746954157512</v>
      </c>
      <c r="AI82" s="103">
        <f>AH82*(1+(Data!$P$189/100))</f>
        <v>0.36440411771406966</v>
      </c>
      <c r="AJ82" s="103">
        <f>AI82*(1+(Data!$P$189/100))</f>
        <v>0.38626836477691384</v>
      </c>
    </row>
    <row r="83" spans="2:36" ht="15" hidden="1" customHeight="1" x14ac:dyDescent="0.2">
      <c r="B83" s="47"/>
      <c r="C83" s="47"/>
      <c r="D83" s="47"/>
      <c r="E83" s="47"/>
      <c r="F83" s="8"/>
      <c r="G83" s="14" t="s">
        <v>259</v>
      </c>
      <c r="H83" s="69"/>
      <c r="I83" s="69"/>
      <c r="J83" s="196"/>
      <c r="K83" s="392">
        <f>Data!$P$179</f>
        <v>0.09</v>
      </c>
      <c r="L83" s="103">
        <f>K83*(1+(Data!$P$190/100))</f>
        <v>9.5399999999999999E-2</v>
      </c>
      <c r="M83" s="103">
        <f>L83*(1+(Data!$P$190/100))</f>
        <v>0.10112400000000001</v>
      </c>
      <c r="N83" s="103">
        <f>M83*(1+(Data!$P$190/100))</f>
        <v>0.10719144000000001</v>
      </c>
      <c r="O83" s="103">
        <f>N83*(1+(Data!$P$190/100))</f>
        <v>0.11362292640000002</v>
      </c>
      <c r="P83" s="103">
        <f>O83*(1+(Data!$P$190/100))</f>
        <v>0.12044030198400002</v>
      </c>
      <c r="Q83" s="103">
        <f>P83*(1+(Data!$P$190/100))</f>
        <v>0.12766672010304003</v>
      </c>
      <c r="R83" s="103">
        <f>Q83*(1+(Data!$P$190/100))</f>
        <v>0.13532672330922244</v>
      </c>
      <c r="S83" s="103">
        <f>R83*(1+(Data!$P$190/100))</f>
        <v>0.1434463267077758</v>
      </c>
      <c r="T83" s="103">
        <f>S83*(1+(Data!$P$190/100))</f>
        <v>0.15205310631024235</v>
      </c>
      <c r="U83" s="103">
        <f>T83*(1+(Data!$P$190/100))</f>
        <v>0.16117629268885691</v>
      </c>
      <c r="V83" s="103">
        <f>U83*(1+(Data!$P$190/100))</f>
        <v>0.17084687025018833</v>
      </c>
      <c r="W83" s="103">
        <f>V83*(1+(Data!$P$190/100))</f>
        <v>0.18109768246519964</v>
      </c>
      <c r="X83" s="103">
        <f>W83*(1+(Data!$P$190/100))</f>
        <v>0.19196354341311161</v>
      </c>
      <c r="Y83" s="103">
        <f>X83*(1+(Data!$P$190/100))</f>
        <v>0.20348135601789832</v>
      </c>
      <c r="Z83" s="103">
        <f>Y83*(1+(Data!$P$190/100))</f>
        <v>0.21569023737897222</v>
      </c>
      <c r="AA83" s="103">
        <f>Z83*(1+(Data!$P$190/100))</f>
        <v>0.22863165162171056</v>
      </c>
      <c r="AB83" s="103">
        <f>AA83*(1+(Data!$P$190/100))</f>
        <v>0.24234955071901321</v>
      </c>
      <c r="AC83" s="103">
        <f>AB83*(1+(Data!$P$190/100))</f>
        <v>0.25689052376215399</v>
      </c>
      <c r="AD83" s="103">
        <f>AC83*(1+(Data!$P$190/100))</f>
        <v>0.27230395518788325</v>
      </c>
      <c r="AE83" s="103">
        <f>AD83*(1+(Data!$P$190/100))</f>
        <v>0.28864219249915624</v>
      </c>
      <c r="AF83" s="103">
        <f>AE83*(1+(Data!$P$190/100))</f>
        <v>0.30596072404910563</v>
      </c>
      <c r="AG83" s="103">
        <f>AF83*(1+(Data!$P$190/100))</f>
        <v>0.32431836749205201</v>
      </c>
      <c r="AH83" s="103">
        <f>AG83*(1+(Data!$P$190/100))</f>
        <v>0.34377746954157512</v>
      </c>
      <c r="AI83" s="103">
        <f>AH83*(1+(Data!$P$190/100))</f>
        <v>0.36440411771406966</v>
      </c>
      <c r="AJ83" s="103">
        <f>AI83*(1+(Data!$P$190/100))</f>
        <v>0.38626836477691384</v>
      </c>
    </row>
    <row r="84" spans="2:36" ht="15" hidden="1" customHeight="1" x14ac:dyDescent="0.2">
      <c r="B84" s="47"/>
      <c r="C84" s="47"/>
      <c r="D84" s="47"/>
      <c r="E84" s="47"/>
      <c r="F84" s="8"/>
      <c r="G84" s="14" t="s">
        <v>320</v>
      </c>
      <c r="H84" s="69"/>
      <c r="I84" s="69"/>
      <c r="J84" s="196"/>
      <c r="K84" s="392">
        <f>Data!$P$180</f>
        <v>0.16463429999999998</v>
      </c>
      <c r="L84" s="103">
        <f>K84*(1+(Data!$P$191/100))</f>
        <v>0.17451235799999998</v>
      </c>
      <c r="M84" s="103">
        <f>L84*(1+(Data!$P$191/100))</f>
        <v>0.18498309948</v>
      </c>
      <c r="N84" s="103">
        <f>M84*(1+(Data!$P$191/100))</f>
        <v>0.19608208544880001</v>
      </c>
      <c r="O84" s="103">
        <f>N84*(1+(Data!$P$191/100))</f>
        <v>0.20784701057572802</v>
      </c>
      <c r="P84" s="103">
        <f>O84*(1+(Data!$P$191/100))</f>
        <v>0.22031783121027171</v>
      </c>
      <c r="Q84" s="103">
        <f>P84*(1+(Data!$P$191/100))</f>
        <v>0.23353690108288802</v>
      </c>
      <c r="R84" s="103">
        <f>Q84*(1+(Data!$P$191/100))</f>
        <v>0.24754911514786132</v>
      </c>
      <c r="S84" s="103">
        <f>R84*(1+(Data!$P$191/100))</f>
        <v>0.262402062056733</v>
      </c>
      <c r="T84" s="103">
        <f>S84*(1+(Data!$P$191/100))</f>
        <v>0.278146185780137</v>
      </c>
      <c r="U84" s="103">
        <f>T84*(1+(Data!$P$191/100))</f>
        <v>0.29483495692694522</v>
      </c>
      <c r="V84" s="103">
        <f>U84*(1+(Data!$P$191/100))</f>
        <v>0.31252505434256195</v>
      </c>
      <c r="W84" s="103">
        <f>V84*(1+(Data!$P$191/100))</f>
        <v>0.3312765576031157</v>
      </c>
      <c r="X84" s="103">
        <f>W84*(1+(Data!$P$191/100))</f>
        <v>0.35115315105930267</v>
      </c>
      <c r="Y84" s="103">
        <f>X84*(1+(Data!$P$191/100))</f>
        <v>0.37222234012286087</v>
      </c>
      <c r="Z84" s="103">
        <f>Y84*(1+(Data!$P$191/100))</f>
        <v>0.39455568053023254</v>
      </c>
      <c r="AA84" s="103">
        <f>Z84*(1+(Data!$P$191/100))</f>
        <v>0.41822902136204654</v>
      </c>
      <c r="AB84" s="103">
        <f>AA84*(1+(Data!$P$191/100))</f>
        <v>0.44332276264376935</v>
      </c>
      <c r="AC84" s="103">
        <f>AB84*(1+(Data!$P$191/100))</f>
        <v>0.46992212840239556</v>
      </c>
      <c r="AD84" s="103">
        <f>AC84*(1+(Data!$P$191/100))</f>
        <v>0.49811745610653929</v>
      </c>
      <c r="AE84" s="103">
        <f>AD84*(1+(Data!$P$191/100))</f>
        <v>0.52800450347293171</v>
      </c>
      <c r="AF84" s="103">
        <f>AE84*(1+(Data!$P$191/100))</f>
        <v>0.55968477368130765</v>
      </c>
      <c r="AG84" s="103">
        <f>AF84*(1+(Data!$P$191/100))</f>
        <v>0.59326586010218618</v>
      </c>
      <c r="AH84" s="103">
        <f>AG84*(1+(Data!$P$191/100))</f>
        <v>0.62886181170831734</v>
      </c>
      <c r="AI84" s="103">
        <f>AH84*(1+(Data!$P$191/100))</f>
        <v>0.66659352041081643</v>
      </c>
      <c r="AJ84" s="103">
        <f>AI84*(1+(Data!$P$191/100))</f>
        <v>0.70658913163546544</v>
      </c>
    </row>
    <row r="85" spans="2:36" ht="15" hidden="1" customHeight="1" x14ac:dyDescent="0.2">
      <c r="B85" s="47"/>
      <c r="C85" s="47"/>
      <c r="D85" s="47"/>
      <c r="E85" s="47"/>
      <c r="F85" s="8"/>
      <c r="G85" s="14" t="s">
        <v>252</v>
      </c>
      <c r="H85" s="69"/>
      <c r="I85" s="69"/>
      <c r="J85" s="196"/>
      <c r="K85" s="392">
        <f>Data!$P$181</f>
        <v>0.31</v>
      </c>
      <c r="L85" s="103">
        <f>K85*(1+(Data!$P$192/100))</f>
        <v>0.34100000000000003</v>
      </c>
      <c r="M85" s="103">
        <f>L85*(1+(Data!$P$192/100))</f>
        <v>0.37510000000000004</v>
      </c>
      <c r="N85" s="103">
        <f>M85*(1+(Data!$P$192/100))</f>
        <v>0.41261000000000009</v>
      </c>
      <c r="O85" s="103">
        <f>N85*(1+(Data!$P$192/100))</f>
        <v>0.45387100000000014</v>
      </c>
      <c r="P85" s="103">
        <f>O85*(1+(Data!$P$192/100))</f>
        <v>0.4992581000000002</v>
      </c>
      <c r="Q85" s="103">
        <f>P85*(1+(Data!$P$192/100))</f>
        <v>0.54918391000000022</v>
      </c>
      <c r="R85" s="103">
        <f>Q85*(1+(Data!$P$192/100))</f>
        <v>0.60410230100000029</v>
      </c>
      <c r="S85" s="103">
        <f>R85*(1+(Data!$P$192/100))</f>
        <v>0.66451253110000041</v>
      </c>
      <c r="T85" s="103">
        <f>S85*(1+(Data!$P$192/100))</f>
        <v>0.73096378421000052</v>
      </c>
      <c r="U85" s="103">
        <f>T85*(1+(Data!$P$192/100))</f>
        <v>0.80406016263100066</v>
      </c>
      <c r="V85" s="103">
        <f>U85*(1+(Data!$P$192/100))</f>
        <v>0.88446617889410084</v>
      </c>
      <c r="W85" s="103">
        <f>V85*(1+(Data!$P$192/100))</f>
        <v>0.97291279678351106</v>
      </c>
      <c r="X85" s="103">
        <f>W85*(1+(Data!$P$192/100))</f>
        <v>1.0702040764618623</v>
      </c>
      <c r="Y85" s="103">
        <f>X85*(1+(Data!$P$192/100))</f>
        <v>1.1772244841080486</v>
      </c>
      <c r="Z85" s="103">
        <f>Y85*(1+(Data!$P$192/100))</f>
        <v>1.2949469325188536</v>
      </c>
      <c r="AA85" s="103">
        <f>Z85*(1+(Data!$P$192/100))</f>
        <v>1.4244416257707391</v>
      </c>
      <c r="AB85" s="103">
        <f>AA85*(1+(Data!$P$192/100))</f>
        <v>1.5668857883478131</v>
      </c>
      <c r="AC85" s="103">
        <f>AB85*(1+(Data!$P$192/100))</f>
        <v>1.7235743671825945</v>
      </c>
      <c r="AD85" s="103">
        <f>AC85*(1+(Data!$P$192/100))</f>
        <v>1.8959318039008541</v>
      </c>
      <c r="AE85" s="103">
        <f>AD85*(1+(Data!$P$192/100))</f>
        <v>2.0855249842909398</v>
      </c>
      <c r="AF85" s="103">
        <f>AE85*(1+(Data!$P$192/100))</f>
        <v>2.2940774827200339</v>
      </c>
      <c r="AG85" s="103">
        <f>AF85*(1+(Data!$P$192/100))</f>
        <v>2.5234852309920375</v>
      </c>
      <c r="AH85" s="103">
        <f>AG85*(1+(Data!$P$192/100))</f>
        <v>2.7758337540912414</v>
      </c>
      <c r="AI85" s="103">
        <f>AH85*(1+(Data!$P$192/100))</f>
        <v>3.053417129500366</v>
      </c>
      <c r="AJ85" s="103">
        <f>AI85*(1+(Data!$P$192/100))</f>
        <v>3.3587588424504031</v>
      </c>
    </row>
    <row r="86" spans="2:36" ht="15" hidden="1" customHeight="1" x14ac:dyDescent="0.2">
      <c r="B86" s="47"/>
      <c r="C86" s="47"/>
      <c r="D86" s="47"/>
      <c r="E86" s="47"/>
      <c r="F86" s="8"/>
      <c r="G86" s="14"/>
      <c r="H86" s="69"/>
      <c r="I86" s="69"/>
      <c r="J86" s="196"/>
      <c r="K86" s="392"/>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row>
    <row r="87" spans="2:36" ht="15" hidden="1" customHeight="1" x14ac:dyDescent="0.2">
      <c r="B87" s="47"/>
      <c r="C87" s="47"/>
      <c r="D87" s="47"/>
      <c r="E87" s="47"/>
      <c r="F87" s="8"/>
      <c r="G87" s="14" t="s">
        <v>307</v>
      </c>
      <c r="H87" s="14"/>
      <c r="I87" s="14"/>
      <c r="J87" s="14"/>
      <c r="K87" s="103">
        <v>1</v>
      </c>
      <c r="L87" s="103">
        <f>K87*(1+(Data!$P$194)/100)</f>
        <v>1.02</v>
      </c>
      <c r="M87" s="103">
        <f>L87*(1+(Data!$P$194)/100)</f>
        <v>1.0404</v>
      </c>
      <c r="N87" s="103">
        <f>M87*(1+(Data!$P$194)/100)</f>
        <v>1.0612079999999999</v>
      </c>
      <c r="O87" s="103">
        <f>N87*(1+(Data!$P$194)/100)</f>
        <v>1.08243216</v>
      </c>
      <c r="P87" s="103">
        <f>O87*(1+(Data!$P$194)/100)</f>
        <v>1.1040808032</v>
      </c>
      <c r="Q87" s="103">
        <f>P87*(1+(Data!$P$194)/100)</f>
        <v>1.1261624192640001</v>
      </c>
      <c r="R87" s="103">
        <f>Q87*(1+(Data!$P$194)/100)</f>
        <v>1.14868566764928</v>
      </c>
      <c r="S87" s="103">
        <f>R87*(1+(Data!$P$194)/100)</f>
        <v>1.1716593810022657</v>
      </c>
      <c r="T87" s="103">
        <f>S87*(1+(Data!$P$194)/100)</f>
        <v>1.1950925686223111</v>
      </c>
      <c r="U87" s="103">
        <f>T87*(1+(Data!$P$194)/100)</f>
        <v>1.2189944199947573</v>
      </c>
      <c r="V87" s="103">
        <f>U87*(1+(Data!$P$194)/100)</f>
        <v>1.2433743083946525</v>
      </c>
      <c r="W87" s="103">
        <f>V87*(1+(Data!$P$194)/100)</f>
        <v>1.2682417945625455</v>
      </c>
      <c r="X87" s="103">
        <f>W87*(1+(Data!$P$194)/100)</f>
        <v>1.2936066304537963</v>
      </c>
      <c r="Y87" s="103">
        <f>X87*(1+(Data!$P$194)/100)</f>
        <v>1.3194787630628724</v>
      </c>
      <c r="Z87" s="103">
        <f>Y87*(1+(Data!$P$194)/100)</f>
        <v>1.3458683383241299</v>
      </c>
      <c r="AA87" s="103">
        <f>Z87*(1+(Data!$P$194)/100)</f>
        <v>1.3727857050906125</v>
      </c>
      <c r="AB87" s="103">
        <f>AA87*(1+(Data!$P$194)/100)</f>
        <v>1.4002414191924248</v>
      </c>
      <c r="AC87" s="103">
        <f>AB87*(1+(Data!$P$194)/100)</f>
        <v>1.4282462475762734</v>
      </c>
      <c r="AD87" s="103">
        <f>AC87*(1+(Data!$P$194)/100)</f>
        <v>1.4568111725277988</v>
      </c>
      <c r="AE87" s="103">
        <f>AD87*(1+(Data!$P$194)/100)</f>
        <v>1.4859473959783549</v>
      </c>
      <c r="AF87" s="103">
        <f>AE87*(1+(Data!$P$194)/100)</f>
        <v>1.5156663438979221</v>
      </c>
      <c r="AG87" s="103">
        <f>AF87*(1+(Data!$P$194)/100)</f>
        <v>1.5459796707758806</v>
      </c>
      <c r="AH87" s="103">
        <f>AG87*(1+(Data!$P$194)/100)</f>
        <v>1.5768992641913981</v>
      </c>
      <c r="AI87" s="103">
        <f>AH87*(1+(Data!$P$194)/100)</f>
        <v>1.6084372494752261</v>
      </c>
      <c r="AJ87" s="103">
        <f>AI87*(1+(Data!$P$194)/100)</f>
        <v>1.6406059944647307</v>
      </c>
    </row>
    <row r="88" spans="2:36" ht="15" hidden="1" customHeight="1" x14ac:dyDescent="0.2">
      <c r="B88" s="47"/>
      <c r="C88" s="47"/>
      <c r="D88" s="47"/>
      <c r="E88" s="47"/>
      <c r="F88" s="8"/>
      <c r="G88" s="14" t="s">
        <v>3</v>
      </c>
      <c r="H88" s="14"/>
      <c r="I88" s="14"/>
      <c r="J88" s="14"/>
      <c r="K88" s="103">
        <f>Data!$P$183</f>
        <v>0.1</v>
      </c>
      <c r="L88" s="103">
        <f>K88*((100+Data!$P$202)/100)</f>
        <v>0.10200000000000001</v>
      </c>
      <c r="M88" s="103">
        <f>L88*((100+Data!$P$202)/100)</f>
        <v>0.10404000000000001</v>
      </c>
      <c r="N88" s="103">
        <f>M88*((100+Data!$P$202)/100)</f>
        <v>0.10612080000000002</v>
      </c>
      <c r="O88" s="103">
        <f>N88*((100+Data!$P$202)/100)</f>
        <v>0.10824321600000002</v>
      </c>
      <c r="P88" s="103">
        <f>O88*((100+Data!$P$202)/100)</f>
        <v>0.11040808032000002</v>
      </c>
      <c r="Q88" s="103">
        <f>P88*((100+Data!$P$202)/100)</f>
        <v>0.11261624192640002</v>
      </c>
      <c r="R88" s="103">
        <f>Q88*((100+Data!$P$202)/100)</f>
        <v>0.11486856676492802</v>
      </c>
      <c r="S88" s="103">
        <f>R88*((100+Data!$P$202)/100)</f>
        <v>0.11716593810022657</v>
      </c>
      <c r="T88" s="103">
        <f>S88*((100+Data!$P$202)/100)</f>
        <v>0.11950925686223111</v>
      </c>
      <c r="U88" s="103">
        <f>T88*((100+Data!$P$202)/100)</f>
        <v>0.12189944199947574</v>
      </c>
      <c r="V88" s="103">
        <f>U88*((100+Data!$P$202)/100)</f>
        <v>0.12433743083946525</v>
      </c>
      <c r="W88" s="103">
        <f>V88*((100+Data!$P$202)/100)</f>
        <v>0.12682417945625454</v>
      </c>
      <c r="X88" s="103">
        <f>W88*((100+Data!$P$202)/100)</f>
        <v>0.12936066304537963</v>
      </c>
      <c r="Y88" s="103">
        <f>X88*((100+Data!$P$202)/100)</f>
        <v>0.13194787630628724</v>
      </c>
      <c r="Z88" s="103">
        <f>Y88*((100+Data!$P$202)/100)</f>
        <v>0.13458683383241299</v>
      </c>
      <c r="AA88" s="103">
        <f>Z88*((100+Data!$P$202)/100)</f>
        <v>0.13727857050906125</v>
      </c>
      <c r="AB88" s="103">
        <f>AA88*((100+Data!$P$202)/100)</f>
        <v>0.14002414191924248</v>
      </c>
      <c r="AC88" s="103">
        <f>AB88*((100+Data!$P$202)/100)</f>
        <v>0.14282462475762733</v>
      </c>
      <c r="AD88" s="103">
        <f>AC88*((100+Data!$P$202)/100)</f>
        <v>0.14568111725277988</v>
      </c>
      <c r="AE88" s="103">
        <f>AD88*((100+Data!$P$202)/100)</f>
        <v>0.14859473959783548</v>
      </c>
      <c r="AF88" s="103">
        <f>AE88*((100+Data!$P$202)/100)</f>
        <v>0.1515666343897922</v>
      </c>
      <c r="AG88" s="103">
        <f>AF88*((100+Data!$P$202)/100)</f>
        <v>0.15459796707758805</v>
      </c>
      <c r="AH88" s="103">
        <f>AG88*((100+Data!$P$202)/100)</f>
        <v>0.15768992641913981</v>
      </c>
      <c r="AI88" s="103">
        <f>AH88*((100+Data!$P$202)/100)</f>
        <v>0.16084372494752261</v>
      </c>
      <c r="AJ88" s="103">
        <f>AI88*((100+Data!$P$202)/100)</f>
        <v>0.16406059944647305</v>
      </c>
    </row>
    <row r="89" spans="2:36" ht="15" hidden="1" customHeight="1" x14ac:dyDescent="0.2">
      <c r="B89" s="47"/>
      <c r="C89" s="47"/>
      <c r="D89" s="47"/>
      <c r="E89" s="47"/>
      <c r="F89" s="8"/>
      <c r="G89" s="10"/>
      <c r="H89" s="10"/>
      <c r="I89" s="8"/>
      <c r="J89" s="8"/>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row>
    <row r="90" spans="2:36" ht="15" hidden="1" customHeight="1" x14ac:dyDescent="0.2">
      <c r="B90" s="47"/>
      <c r="C90" s="47"/>
      <c r="D90" s="47"/>
      <c r="E90" s="47"/>
      <c r="F90" s="8"/>
      <c r="G90" s="489" t="s">
        <v>290</v>
      </c>
      <c r="H90" s="14"/>
      <c r="I90" s="13"/>
      <c r="J90" s="13"/>
      <c r="K90" s="14"/>
      <c r="L90" s="14"/>
      <c r="M90" s="14"/>
      <c r="N90" s="14"/>
      <c r="O90" s="14"/>
      <c r="P90" s="14"/>
      <c r="Q90" s="14"/>
      <c r="R90" s="14"/>
      <c r="S90" s="14"/>
      <c r="T90" s="14"/>
      <c r="U90" s="14"/>
      <c r="V90" s="14"/>
      <c r="W90" s="14"/>
      <c r="X90" s="14"/>
      <c r="Y90" s="14"/>
      <c r="Z90" s="14"/>
      <c r="AA90" s="14"/>
      <c r="AB90" s="41"/>
      <c r="AC90" s="14"/>
      <c r="AD90" s="14"/>
      <c r="AE90" s="14"/>
      <c r="AF90" s="14"/>
      <c r="AG90" s="14"/>
      <c r="AH90" s="14"/>
      <c r="AI90" s="14"/>
      <c r="AJ90" s="14"/>
    </row>
    <row r="91" spans="2:36" ht="15" hidden="1" customHeight="1" x14ac:dyDescent="0.2">
      <c r="B91" s="47"/>
      <c r="C91" s="47"/>
      <c r="D91" s="47"/>
      <c r="E91" s="47"/>
      <c r="F91" s="8"/>
      <c r="G91" s="14"/>
      <c r="H91" s="14"/>
      <c r="I91" s="13"/>
      <c r="J91" s="13"/>
      <c r="K91" s="31"/>
      <c r="L91" s="31"/>
      <c r="M91" s="31"/>
      <c r="N91" s="31"/>
      <c r="O91" s="31"/>
      <c r="P91" s="31"/>
      <c r="Q91" s="31"/>
      <c r="R91" s="31"/>
      <c r="S91" s="31"/>
      <c r="T91" s="31"/>
      <c r="U91" s="31"/>
      <c r="V91" s="31"/>
      <c r="W91" s="31"/>
      <c r="X91" s="31"/>
      <c r="Y91" s="31"/>
      <c r="Z91" s="31"/>
      <c r="AA91" s="31"/>
      <c r="AB91" s="75"/>
      <c r="AC91" s="31"/>
      <c r="AD91" s="31"/>
      <c r="AE91" s="31"/>
      <c r="AF91" s="31"/>
      <c r="AG91" s="31"/>
      <c r="AH91" s="31"/>
      <c r="AI91" s="31"/>
      <c r="AJ91" s="31"/>
    </row>
    <row r="92" spans="2:36" ht="15" hidden="1" customHeight="1" x14ac:dyDescent="0.2">
      <c r="B92" s="47"/>
      <c r="C92" s="47"/>
      <c r="D92" s="47"/>
      <c r="E92" s="47"/>
      <c r="F92" s="8"/>
      <c r="G92" s="14" t="s">
        <v>478</v>
      </c>
      <c r="H92" s="14"/>
      <c r="I92" s="13"/>
      <c r="J92" s="13"/>
      <c r="K92" s="103">
        <f>VLOOKUP($I$15,$G$75:$AJ$79,K$70+5,FALSE)</f>
        <v>0.19338</v>
      </c>
      <c r="L92" s="103">
        <f t="shared" ref="L92:AJ92" si="3">VLOOKUP($I$15,$G$75:$AJ$79,L$70+5,FALSE)</f>
        <v>0.18757859999999998</v>
      </c>
      <c r="M92" s="103">
        <f t="shared" si="3"/>
        <v>0.18195124199999999</v>
      </c>
      <c r="N92" s="103">
        <f t="shared" si="3"/>
        <v>0.17649270473999998</v>
      </c>
      <c r="O92" s="103">
        <f t="shared" si="3"/>
        <v>0.17119792359779998</v>
      </c>
      <c r="P92" s="103">
        <f t="shared" si="3"/>
        <v>0.16606198588986598</v>
      </c>
      <c r="Q92" s="103">
        <f t="shared" si="3"/>
        <v>0.16108012631317001</v>
      </c>
      <c r="R92" s="103">
        <f t="shared" si="3"/>
        <v>0.15624772252377489</v>
      </c>
      <c r="S92" s="103">
        <f t="shared" si="3"/>
        <v>0.15156029084806164</v>
      </c>
      <c r="T92" s="103">
        <f t="shared" si="3"/>
        <v>0.14701348212261978</v>
      </c>
      <c r="U92" s="103">
        <f t="shared" si="3"/>
        <v>0.14260307765894117</v>
      </c>
      <c r="V92" s="103">
        <f t="shared" si="3"/>
        <v>0.13832498532917292</v>
      </c>
      <c r="W92" s="103">
        <f t="shared" si="3"/>
        <v>0.13417523576929774</v>
      </c>
      <c r="X92" s="103">
        <f t="shared" si="3"/>
        <v>0.1301499786962188</v>
      </c>
      <c r="Y92" s="103">
        <f t="shared" si="3"/>
        <v>0.12624547933533223</v>
      </c>
      <c r="Z92" s="103">
        <f t="shared" si="3"/>
        <v>0.12245811495527226</v>
      </c>
      <c r="AA92" s="103">
        <f t="shared" si="3"/>
        <v>0.11878437150661408</v>
      </c>
      <c r="AB92" s="103">
        <f t="shared" si="3"/>
        <v>0.11522084036141565</v>
      </c>
      <c r="AC92" s="103">
        <f t="shared" si="3"/>
        <v>0.11176421515057318</v>
      </c>
      <c r="AD92" s="103">
        <f t="shared" si="3"/>
        <v>0.10841128869605599</v>
      </c>
      <c r="AE92" s="103">
        <f t="shared" si="3"/>
        <v>0.10515895003517431</v>
      </c>
      <c r="AF92" s="103">
        <f t="shared" si="3"/>
        <v>0.10200418153411908</v>
      </c>
      <c r="AG92" s="103">
        <f t="shared" si="3"/>
        <v>9.8944056088095506E-2</v>
      </c>
      <c r="AH92" s="103">
        <f t="shared" si="3"/>
        <v>9.5975734405452637E-2</v>
      </c>
      <c r="AI92" s="103">
        <f t="shared" si="3"/>
        <v>9.3096462373289057E-2</v>
      </c>
      <c r="AJ92" s="103">
        <f t="shared" si="3"/>
        <v>9.0303568502090384E-2</v>
      </c>
    </row>
    <row r="93" spans="2:36" ht="15" hidden="1" customHeight="1" x14ac:dyDescent="0.2">
      <c r="B93" s="47"/>
      <c r="C93" s="47"/>
      <c r="D93" s="47"/>
      <c r="E93" s="47"/>
      <c r="F93" s="8"/>
      <c r="G93" s="14" t="s">
        <v>479</v>
      </c>
      <c r="H93" s="14"/>
      <c r="I93" s="13"/>
      <c r="J93" s="13"/>
      <c r="K93" s="103">
        <f>VLOOKUP($I$15,$G$81:$AJ$85,K$70+5,FALSE)</f>
        <v>0.31</v>
      </c>
      <c r="L93" s="103">
        <f t="shared" ref="L93:AJ93" si="4">VLOOKUP($I$15,$G$81:$AJ$85,L$70+5,FALSE)</f>
        <v>0.34100000000000003</v>
      </c>
      <c r="M93" s="103">
        <f t="shared" si="4"/>
        <v>0.37510000000000004</v>
      </c>
      <c r="N93" s="103">
        <f t="shared" si="4"/>
        <v>0.41261000000000009</v>
      </c>
      <c r="O93" s="103">
        <f t="shared" si="4"/>
        <v>0.45387100000000014</v>
      </c>
      <c r="P93" s="103">
        <f t="shared" si="4"/>
        <v>0.4992581000000002</v>
      </c>
      <c r="Q93" s="103">
        <f t="shared" si="4"/>
        <v>0.54918391000000022</v>
      </c>
      <c r="R93" s="103">
        <f t="shared" si="4"/>
        <v>0.60410230100000029</v>
      </c>
      <c r="S93" s="103">
        <f t="shared" si="4"/>
        <v>0.66451253110000041</v>
      </c>
      <c r="T93" s="103">
        <f t="shared" si="4"/>
        <v>0.73096378421000052</v>
      </c>
      <c r="U93" s="103">
        <f t="shared" si="4"/>
        <v>0.80406016263100066</v>
      </c>
      <c r="V93" s="103">
        <f t="shared" si="4"/>
        <v>0.88446617889410084</v>
      </c>
      <c r="W93" s="103">
        <f t="shared" si="4"/>
        <v>0.97291279678351106</v>
      </c>
      <c r="X93" s="103">
        <f t="shared" si="4"/>
        <v>1.0702040764618623</v>
      </c>
      <c r="Y93" s="103">
        <f t="shared" si="4"/>
        <v>1.1772244841080486</v>
      </c>
      <c r="Z93" s="103">
        <f t="shared" si="4"/>
        <v>1.2949469325188536</v>
      </c>
      <c r="AA93" s="103">
        <f t="shared" si="4"/>
        <v>1.4244416257707391</v>
      </c>
      <c r="AB93" s="103">
        <f t="shared" si="4"/>
        <v>1.5668857883478131</v>
      </c>
      <c r="AC93" s="103">
        <f t="shared" si="4"/>
        <v>1.7235743671825945</v>
      </c>
      <c r="AD93" s="103">
        <f t="shared" si="4"/>
        <v>1.8959318039008541</v>
      </c>
      <c r="AE93" s="103">
        <f t="shared" si="4"/>
        <v>2.0855249842909398</v>
      </c>
      <c r="AF93" s="103">
        <f t="shared" si="4"/>
        <v>2.2940774827200339</v>
      </c>
      <c r="AG93" s="103">
        <f t="shared" si="4"/>
        <v>2.5234852309920375</v>
      </c>
      <c r="AH93" s="103">
        <f t="shared" si="4"/>
        <v>2.7758337540912414</v>
      </c>
      <c r="AI93" s="103">
        <f t="shared" si="4"/>
        <v>3.053417129500366</v>
      </c>
      <c r="AJ93" s="103">
        <f t="shared" si="4"/>
        <v>3.3587588424504031</v>
      </c>
    </row>
    <row r="94" spans="2:36" ht="15" hidden="1" customHeight="1" x14ac:dyDescent="0.2">
      <c r="B94" s="47"/>
      <c r="C94" s="47"/>
      <c r="D94" s="47"/>
      <c r="E94" s="47"/>
      <c r="F94" s="8"/>
      <c r="G94" s="14"/>
      <c r="H94" s="14"/>
      <c r="I94" s="13"/>
      <c r="J94" s="13"/>
      <c r="K94" s="31"/>
      <c r="L94" s="31"/>
      <c r="M94" s="31"/>
      <c r="N94" s="31"/>
      <c r="O94" s="31"/>
      <c r="P94" s="31"/>
      <c r="Q94" s="31"/>
      <c r="R94" s="31"/>
      <c r="S94" s="31"/>
      <c r="T94" s="31"/>
      <c r="U94" s="31"/>
      <c r="V94" s="31"/>
      <c r="W94" s="31"/>
      <c r="X94" s="31"/>
      <c r="Y94" s="31"/>
      <c r="Z94" s="31"/>
      <c r="AA94" s="31"/>
      <c r="AB94" s="75"/>
      <c r="AC94" s="31"/>
      <c r="AD94" s="31"/>
      <c r="AE94" s="31"/>
      <c r="AF94" s="31"/>
      <c r="AG94" s="31"/>
      <c r="AH94" s="31"/>
      <c r="AI94" s="31"/>
      <c r="AJ94" s="31"/>
    </row>
    <row r="95" spans="2:36" ht="15" hidden="1" customHeight="1" x14ac:dyDescent="0.2">
      <c r="B95" s="47"/>
      <c r="C95" s="47"/>
      <c r="D95" s="47"/>
      <c r="E95" s="47"/>
      <c r="F95" s="8"/>
      <c r="G95" s="14" t="s">
        <v>4</v>
      </c>
      <c r="H95" s="14"/>
      <c r="I95" s="13"/>
      <c r="J95" s="13"/>
      <c r="K95" s="42"/>
      <c r="L95" s="42"/>
      <c r="M95" s="42"/>
      <c r="N95" s="42"/>
      <c r="O95" s="42"/>
      <c r="P95" s="42"/>
      <c r="Q95" s="42"/>
      <c r="R95" s="42"/>
      <c r="S95" s="42"/>
      <c r="T95" s="42"/>
      <c r="U95" s="42"/>
      <c r="V95" s="42"/>
      <c r="W95" s="42"/>
      <c r="X95" s="42"/>
      <c r="Y95" s="42"/>
      <c r="Z95" s="42"/>
      <c r="AA95" s="42"/>
      <c r="AB95" s="76"/>
      <c r="AC95" s="42"/>
      <c r="AD95" s="42"/>
      <c r="AE95" s="42"/>
      <c r="AF95" s="42"/>
      <c r="AG95" s="42"/>
      <c r="AH95" s="42"/>
      <c r="AI95" s="42"/>
      <c r="AJ95" s="42"/>
    </row>
    <row r="96" spans="2:36" ht="15" hidden="1" customHeight="1" x14ac:dyDescent="0.2">
      <c r="B96" s="47"/>
      <c r="C96" s="47"/>
      <c r="D96" s="47"/>
      <c r="E96" s="47"/>
      <c r="F96" s="8"/>
      <c r="G96" s="14" t="s">
        <v>5</v>
      </c>
      <c r="H96" s="14"/>
      <c r="I96" s="13"/>
      <c r="J96" s="13"/>
      <c r="K96" s="42"/>
      <c r="L96" s="42"/>
      <c r="M96" s="42"/>
      <c r="N96" s="42"/>
      <c r="O96" s="42"/>
      <c r="P96" s="42"/>
      <c r="Q96" s="42"/>
      <c r="R96" s="42"/>
      <c r="S96" s="42"/>
      <c r="T96" s="42"/>
      <c r="U96" s="42"/>
      <c r="V96" s="42"/>
      <c r="W96" s="42"/>
      <c r="X96" s="42"/>
      <c r="Y96" s="42"/>
      <c r="Z96" s="42"/>
      <c r="AA96" s="42"/>
      <c r="AB96" s="76"/>
      <c r="AC96" s="42"/>
      <c r="AD96" s="42"/>
      <c r="AE96" s="42"/>
      <c r="AF96" s="42"/>
      <c r="AG96" s="42"/>
      <c r="AH96" s="42"/>
      <c r="AI96" s="42"/>
      <c r="AJ96" s="42"/>
    </row>
    <row r="97" spans="2:36" ht="15" hidden="1" customHeight="1" x14ac:dyDescent="0.2">
      <c r="B97" s="47"/>
      <c r="C97" s="47"/>
      <c r="D97" s="47"/>
      <c r="E97" s="47"/>
      <c r="F97" s="8"/>
      <c r="G97" s="14" t="s">
        <v>6</v>
      </c>
      <c r="H97" s="14"/>
      <c r="I97" s="13"/>
      <c r="J97" s="13"/>
      <c r="K97" s="31">
        <f>$K$11</f>
        <v>0</v>
      </c>
      <c r="L97" s="31">
        <f t="shared" ref="L97:AJ97" si="5">$K$11</f>
        <v>0</v>
      </c>
      <c r="M97" s="31">
        <f t="shared" si="5"/>
        <v>0</v>
      </c>
      <c r="N97" s="31">
        <f t="shared" si="5"/>
        <v>0</v>
      </c>
      <c r="O97" s="31">
        <f t="shared" si="5"/>
        <v>0</v>
      </c>
      <c r="P97" s="31">
        <f t="shared" si="5"/>
        <v>0</v>
      </c>
      <c r="Q97" s="31">
        <f t="shared" si="5"/>
        <v>0</v>
      </c>
      <c r="R97" s="31">
        <f t="shared" si="5"/>
        <v>0</v>
      </c>
      <c r="S97" s="31">
        <f t="shared" si="5"/>
        <v>0</v>
      </c>
      <c r="T97" s="31">
        <f t="shared" si="5"/>
        <v>0</v>
      </c>
      <c r="U97" s="31">
        <f t="shared" si="5"/>
        <v>0</v>
      </c>
      <c r="V97" s="31">
        <f t="shared" si="5"/>
        <v>0</v>
      </c>
      <c r="W97" s="31">
        <f t="shared" si="5"/>
        <v>0</v>
      </c>
      <c r="X97" s="31">
        <f t="shared" si="5"/>
        <v>0</v>
      </c>
      <c r="Y97" s="31">
        <f t="shared" si="5"/>
        <v>0</v>
      </c>
      <c r="Z97" s="31">
        <f t="shared" si="5"/>
        <v>0</v>
      </c>
      <c r="AA97" s="31">
        <f t="shared" si="5"/>
        <v>0</v>
      </c>
      <c r="AB97" s="31">
        <f t="shared" si="5"/>
        <v>0</v>
      </c>
      <c r="AC97" s="31">
        <f t="shared" si="5"/>
        <v>0</v>
      </c>
      <c r="AD97" s="31">
        <f t="shared" si="5"/>
        <v>0</v>
      </c>
      <c r="AE97" s="31">
        <f t="shared" si="5"/>
        <v>0</v>
      </c>
      <c r="AF97" s="31">
        <f t="shared" si="5"/>
        <v>0</v>
      </c>
      <c r="AG97" s="31">
        <f t="shared" si="5"/>
        <v>0</v>
      </c>
      <c r="AH97" s="31">
        <f t="shared" si="5"/>
        <v>0</v>
      </c>
      <c r="AI97" s="31">
        <f t="shared" si="5"/>
        <v>0</v>
      </c>
      <c r="AJ97" s="31">
        <f t="shared" si="5"/>
        <v>0</v>
      </c>
    </row>
    <row r="98" spans="2:36" ht="15" hidden="1" customHeight="1" x14ac:dyDescent="0.2">
      <c r="B98" s="47"/>
      <c r="C98" s="47"/>
      <c r="D98" s="47"/>
      <c r="E98" s="47"/>
      <c r="F98" s="8"/>
      <c r="G98" s="14"/>
      <c r="H98" s="14"/>
      <c r="I98" s="13"/>
      <c r="J98" s="13"/>
      <c r="K98" s="31"/>
      <c r="L98" s="31"/>
      <c r="M98" s="31"/>
      <c r="N98" s="31"/>
      <c r="O98" s="31"/>
      <c r="P98" s="31"/>
      <c r="Q98" s="31"/>
      <c r="R98" s="31"/>
      <c r="S98" s="31"/>
      <c r="T98" s="31"/>
      <c r="U98" s="31"/>
      <c r="V98" s="31"/>
      <c r="W98" s="31"/>
      <c r="X98" s="31"/>
      <c r="Y98" s="31"/>
      <c r="Z98" s="31"/>
      <c r="AA98" s="31"/>
      <c r="AB98" s="75"/>
      <c r="AC98" s="31"/>
      <c r="AD98" s="31"/>
      <c r="AE98" s="31"/>
      <c r="AF98" s="31"/>
      <c r="AG98" s="31"/>
      <c r="AH98" s="31"/>
      <c r="AI98" s="31"/>
      <c r="AJ98" s="31"/>
    </row>
    <row r="99" spans="2:36" ht="15" hidden="1" customHeight="1" x14ac:dyDescent="0.2">
      <c r="B99" s="47"/>
      <c r="C99" s="47"/>
      <c r="D99" s="47"/>
      <c r="E99" s="47"/>
      <c r="F99" s="8"/>
      <c r="G99" s="14" t="s">
        <v>7</v>
      </c>
      <c r="H99" s="14"/>
      <c r="I99" s="13"/>
      <c r="J99" s="13"/>
      <c r="K99" s="42"/>
      <c r="L99" s="42"/>
      <c r="M99" s="42"/>
      <c r="N99" s="42"/>
      <c r="O99" s="42"/>
      <c r="P99" s="42"/>
      <c r="Q99" s="42"/>
      <c r="R99" s="42"/>
      <c r="S99" s="42"/>
      <c r="T99" s="42"/>
      <c r="U99" s="42"/>
      <c r="V99" s="42"/>
      <c r="W99" s="42"/>
      <c r="X99" s="42"/>
      <c r="Y99" s="42"/>
      <c r="Z99" s="42"/>
      <c r="AA99" s="42"/>
      <c r="AB99" s="76"/>
      <c r="AC99" s="42"/>
      <c r="AD99" s="42"/>
      <c r="AE99" s="42"/>
      <c r="AF99" s="42"/>
      <c r="AG99" s="42"/>
      <c r="AH99" s="42"/>
      <c r="AI99" s="42"/>
      <c r="AJ99" s="42"/>
    </row>
    <row r="100" spans="2:36" ht="15" hidden="1" customHeight="1" x14ac:dyDescent="0.2">
      <c r="B100" s="47"/>
      <c r="C100" s="47"/>
      <c r="D100" s="47"/>
      <c r="E100" s="47"/>
      <c r="F100" s="8"/>
      <c r="G100" s="14" t="s">
        <v>8</v>
      </c>
      <c r="H100" s="14"/>
      <c r="I100" s="13"/>
      <c r="J100" s="13"/>
      <c r="K100" s="42"/>
      <c r="L100" s="42"/>
      <c r="M100" s="42"/>
      <c r="N100" s="42"/>
      <c r="O100" s="42"/>
      <c r="P100" s="42"/>
      <c r="Q100" s="42"/>
      <c r="R100" s="42"/>
      <c r="S100" s="42"/>
      <c r="T100" s="42"/>
      <c r="U100" s="42"/>
      <c r="V100" s="42"/>
      <c r="W100" s="42"/>
      <c r="X100" s="42"/>
      <c r="Y100" s="42"/>
      <c r="Z100" s="42"/>
      <c r="AA100" s="42"/>
      <c r="AB100" s="76"/>
      <c r="AC100" s="42"/>
      <c r="AD100" s="42"/>
      <c r="AE100" s="42"/>
      <c r="AF100" s="42"/>
      <c r="AG100" s="42"/>
      <c r="AH100" s="42"/>
      <c r="AI100" s="42"/>
      <c r="AJ100" s="42"/>
    </row>
    <row r="101" spans="2:36" ht="15" hidden="1" customHeight="1" x14ac:dyDescent="0.2">
      <c r="B101" s="47"/>
      <c r="C101" s="47"/>
      <c r="D101" s="47"/>
      <c r="E101" s="47"/>
      <c r="F101" s="8"/>
      <c r="G101" s="14" t="s">
        <v>9</v>
      </c>
      <c r="H101" s="14"/>
      <c r="I101" s="13"/>
      <c r="J101" s="13"/>
      <c r="K101" s="31">
        <f t="shared" ref="K101:AJ101" si="6">K92*K97</f>
        <v>0</v>
      </c>
      <c r="L101" s="31">
        <f t="shared" si="6"/>
        <v>0</v>
      </c>
      <c r="M101" s="31">
        <f t="shared" si="6"/>
        <v>0</v>
      </c>
      <c r="N101" s="31">
        <f t="shared" si="6"/>
        <v>0</v>
      </c>
      <c r="O101" s="31">
        <f t="shared" si="6"/>
        <v>0</v>
      </c>
      <c r="P101" s="31">
        <f t="shared" si="6"/>
        <v>0</v>
      </c>
      <c r="Q101" s="31">
        <f t="shared" si="6"/>
        <v>0</v>
      </c>
      <c r="R101" s="31">
        <f t="shared" si="6"/>
        <v>0</v>
      </c>
      <c r="S101" s="31">
        <f t="shared" si="6"/>
        <v>0</v>
      </c>
      <c r="T101" s="31">
        <f t="shared" si="6"/>
        <v>0</v>
      </c>
      <c r="U101" s="31">
        <f t="shared" si="6"/>
        <v>0</v>
      </c>
      <c r="V101" s="31">
        <f t="shared" si="6"/>
        <v>0</v>
      </c>
      <c r="W101" s="31">
        <f t="shared" si="6"/>
        <v>0</v>
      </c>
      <c r="X101" s="31">
        <f t="shared" si="6"/>
        <v>0</v>
      </c>
      <c r="Y101" s="31">
        <f t="shared" si="6"/>
        <v>0</v>
      </c>
      <c r="Z101" s="31">
        <f t="shared" si="6"/>
        <v>0</v>
      </c>
      <c r="AA101" s="31">
        <f t="shared" si="6"/>
        <v>0</v>
      </c>
      <c r="AB101" s="31">
        <f t="shared" si="6"/>
        <v>0</v>
      </c>
      <c r="AC101" s="31">
        <f t="shared" si="6"/>
        <v>0</v>
      </c>
      <c r="AD101" s="31">
        <f t="shared" si="6"/>
        <v>0</v>
      </c>
      <c r="AE101" s="31">
        <f t="shared" si="6"/>
        <v>0</v>
      </c>
      <c r="AF101" s="31">
        <f t="shared" si="6"/>
        <v>0</v>
      </c>
      <c r="AG101" s="31">
        <f t="shared" si="6"/>
        <v>0</v>
      </c>
      <c r="AH101" s="31">
        <f t="shared" si="6"/>
        <v>0</v>
      </c>
      <c r="AI101" s="31">
        <f t="shared" si="6"/>
        <v>0</v>
      </c>
      <c r="AJ101" s="31">
        <f t="shared" si="6"/>
        <v>0</v>
      </c>
    </row>
    <row r="102" spans="2:36" ht="15" hidden="1" customHeight="1" x14ac:dyDescent="0.2">
      <c r="B102" s="47"/>
      <c r="C102" s="47"/>
      <c r="D102" s="47"/>
      <c r="E102" s="47"/>
      <c r="F102" s="8"/>
      <c r="G102" s="14"/>
      <c r="H102" s="14"/>
      <c r="I102" s="13"/>
      <c r="J102" s="13"/>
      <c r="K102" s="31"/>
      <c r="L102" s="31"/>
      <c r="M102" s="31"/>
      <c r="N102" s="31"/>
      <c r="O102" s="31"/>
      <c r="P102" s="31"/>
      <c r="Q102" s="31"/>
      <c r="R102" s="31"/>
      <c r="S102" s="31"/>
      <c r="T102" s="31"/>
      <c r="U102" s="31"/>
      <c r="V102" s="31"/>
      <c r="W102" s="31"/>
      <c r="X102" s="31"/>
      <c r="Y102" s="31"/>
      <c r="Z102" s="31"/>
      <c r="AA102" s="31"/>
      <c r="AB102" s="75"/>
      <c r="AC102" s="31"/>
      <c r="AD102" s="31"/>
      <c r="AE102" s="31"/>
      <c r="AF102" s="31"/>
      <c r="AG102" s="31"/>
      <c r="AH102" s="31"/>
      <c r="AI102" s="31"/>
      <c r="AJ102" s="31"/>
    </row>
    <row r="103" spans="2:36" ht="15" hidden="1" customHeight="1" x14ac:dyDescent="0.2">
      <c r="B103" s="47"/>
      <c r="C103" s="47"/>
      <c r="D103" s="47"/>
      <c r="E103" s="47"/>
      <c r="F103" s="8"/>
      <c r="G103" s="14" t="s">
        <v>10</v>
      </c>
      <c r="H103" s="14"/>
      <c r="I103" s="13"/>
      <c r="J103" s="13"/>
      <c r="K103" s="75">
        <f>IF($K$24=0,IF(K70=$K$19,$K$18,0),IF(K$70=$K$19,$K$18*K$87,IF(OR(AND($K$19=0,K$70=$K$19),AND(K$70&gt;=$K$19+$K$24,INT((K$70-$K$19)/($K$24))=(K$70-$K$19)/($K$24))),$K$23*K$87,0)))</f>
        <v>0</v>
      </c>
      <c r="L103" s="75">
        <f t="shared" ref="L103:AJ103" si="7">IF($K$24=0,IF(L70=$K$19,$K$18,0),IF(L$70=$K$19,$K$18*L$87,IF(OR(AND($K$19=0,L$70=$K$19),AND(L$70&gt;=$K$19+$K$24,INT((L$70-$K$19)/($K$24))=(L$70-$K$19)/($K$24))),$K$23*L$87,0)))</f>
        <v>0</v>
      </c>
      <c r="M103" s="75">
        <f t="shared" si="7"/>
        <v>0</v>
      </c>
      <c r="N103" s="75">
        <f t="shared" si="7"/>
        <v>0</v>
      </c>
      <c r="O103" s="75">
        <f t="shared" si="7"/>
        <v>0</v>
      </c>
      <c r="P103" s="75">
        <f t="shared" si="7"/>
        <v>0</v>
      </c>
      <c r="Q103" s="75">
        <f t="shared" si="7"/>
        <v>0</v>
      </c>
      <c r="R103" s="75">
        <f t="shared" si="7"/>
        <v>0</v>
      </c>
      <c r="S103" s="75">
        <f t="shared" si="7"/>
        <v>0</v>
      </c>
      <c r="T103" s="75">
        <f t="shared" si="7"/>
        <v>0</v>
      </c>
      <c r="U103" s="75">
        <f t="shared" si="7"/>
        <v>0</v>
      </c>
      <c r="V103" s="75">
        <f t="shared" si="7"/>
        <v>0</v>
      </c>
      <c r="W103" s="75">
        <f t="shared" si="7"/>
        <v>0</v>
      </c>
      <c r="X103" s="75">
        <f t="shared" si="7"/>
        <v>0</v>
      </c>
      <c r="Y103" s="75">
        <f t="shared" si="7"/>
        <v>0</v>
      </c>
      <c r="Z103" s="75">
        <f t="shared" si="7"/>
        <v>0</v>
      </c>
      <c r="AA103" s="75">
        <f t="shared" si="7"/>
        <v>0</v>
      </c>
      <c r="AB103" s="75">
        <f t="shared" si="7"/>
        <v>0</v>
      </c>
      <c r="AC103" s="75">
        <f t="shared" si="7"/>
        <v>0</v>
      </c>
      <c r="AD103" s="75">
        <f t="shared" si="7"/>
        <v>0</v>
      </c>
      <c r="AE103" s="75">
        <f t="shared" si="7"/>
        <v>0</v>
      </c>
      <c r="AF103" s="75">
        <f t="shared" si="7"/>
        <v>0</v>
      </c>
      <c r="AG103" s="75">
        <f t="shared" si="7"/>
        <v>0</v>
      </c>
      <c r="AH103" s="75">
        <f t="shared" si="7"/>
        <v>0</v>
      </c>
      <c r="AI103" s="75">
        <f t="shared" si="7"/>
        <v>0</v>
      </c>
      <c r="AJ103" s="75">
        <f t="shared" si="7"/>
        <v>0</v>
      </c>
    </row>
    <row r="104" spans="2:36" ht="15" hidden="1" customHeight="1" x14ac:dyDescent="0.2">
      <c r="B104" s="47"/>
      <c r="C104" s="47"/>
      <c r="D104" s="47"/>
      <c r="E104" s="47"/>
      <c r="F104" s="8"/>
      <c r="G104" s="14" t="s">
        <v>458</v>
      </c>
      <c r="H104" s="14"/>
      <c r="I104" s="13"/>
      <c r="J104" s="13"/>
      <c r="K104" s="31">
        <f>($K$21*K$87)-($K$22*K$87)</f>
        <v>0</v>
      </c>
      <c r="L104" s="31">
        <f t="shared" ref="L104:AJ104" si="8">($K$21*L$87)-($K$22*L$87)</f>
        <v>0</v>
      </c>
      <c r="M104" s="31">
        <f t="shared" si="8"/>
        <v>0</v>
      </c>
      <c r="N104" s="31">
        <f t="shared" si="8"/>
        <v>0</v>
      </c>
      <c r="O104" s="31">
        <f t="shared" si="8"/>
        <v>0</v>
      </c>
      <c r="P104" s="31">
        <f t="shared" si="8"/>
        <v>0</v>
      </c>
      <c r="Q104" s="31">
        <f t="shared" si="8"/>
        <v>0</v>
      </c>
      <c r="R104" s="31">
        <f t="shared" si="8"/>
        <v>0</v>
      </c>
      <c r="S104" s="31">
        <f t="shared" si="8"/>
        <v>0</v>
      </c>
      <c r="T104" s="31">
        <f t="shared" si="8"/>
        <v>0</v>
      </c>
      <c r="U104" s="31">
        <f t="shared" si="8"/>
        <v>0</v>
      </c>
      <c r="V104" s="31">
        <f t="shared" si="8"/>
        <v>0</v>
      </c>
      <c r="W104" s="31">
        <f t="shared" si="8"/>
        <v>0</v>
      </c>
      <c r="X104" s="31">
        <f t="shared" si="8"/>
        <v>0</v>
      </c>
      <c r="Y104" s="31">
        <f t="shared" si="8"/>
        <v>0</v>
      </c>
      <c r="Z104" s="31">
        <f t="shared" si="8"/>
        <v>0</v>
      </c>
      <c r="AA104" s="31">
        <f t="shared" si="8"/>
        <v>0</v>
      </c>
      <c r="AB104" s="31">
        <f t="shared" si="8"/>
        <v>0</v>
      </c>
      <c r="AC104" s="31">
        <f t="shared" si="8"/>
        <v>0</v>
      </c>
      <c r="AD104" s="31">
        <f t="shared" si="8"/>
        <v>0</v>
      </c>
      <c r="AE104" s="31">
        <f t="shared" si="8"/>
        <v>0</v>
      </c>
      <c r="AF104" s="31">
        <f t="shared" si="8"/>
        <v>0</v>
      </c>
      <c r="AG104" s="31">
        <f t="shared" si="8"/>
        <v>0</v>
      </c>
      <c r="AH104" s="31">
        <f t="shared" si="8"/>
        <v>0</v>
      </c>
      <c r="AI104" s="31">
        <f t="shared" si="8"/>
        <v>0</v>
      </c>
      <c r="AJ104" s="31">
        <f t="shared" si="8"/>
        <v>0</v>
      </c>
    </row>
    <row r="105" spans="2:36" ht="15" hidden="1" customHeight="1" x14ac:dyDescent="0.2">
      <c r="B105" s="47"/>
      <c r="C105" s="47"/>
      <c r="D105" s="47"/>
      <c r="E105" s="47"/>
      <c r="F105" s="8"/>
      <c r="G105" s="14" t="s">
        <v>12</v>
      </c>
      <c r="H105" s="14"/>
      <c r="I105" s="13"/>
      <c r="J105" s="13"/>
      <c r="K105" s="31">
        <f t="shared" ref="K105:AJ105" si="9">K$93*K97</f>
        <v>0</v>
      </c>
      <c r="L105" s="31">
        <f t="shared" si="9"/>
        <v>0</v>
      </c>
      <c r="M105" s="31">
        <f t="shared" si="9"/>
        <v>0</v>
      </c>
      <c r="N105" s="31">
        <f t="shared" si="9"/>
        <v>0</v>
      </c>
      <c r="O105" s="31">
        <f t="shared" si="9"/>
        <v>0</v>
      </c>
      <c r="P105" s="31">
        <f t="shared" si="9"/>
        <v>0</v>
      </c>
      <c r="Q105" s="31">
        <f t="shared" si="9"/>
        <v>0</v>
      </c>
      <c r="R105" s="31">
        <f t="shared" si="9"/>
        <v>0</v>
      </c>
      <c r="S105" s="31">
        <f t="shared" si="9"/>
        <v>0</v>
      </c>
      <c r="T105" s="31">
        <f t="shared" si="9"/>
        <v>0</v>
      </c>
      <c r="U105" s="31">
        <f t="shared" si="9"/>
        <v>0</v>
      </c>
      <c r="V105" s="31">
        <f t="shared" si="9"/>
        <v>0</v>
      </c>
      <c r="W105" s="31">
        <f t="shared" si="9"/>
        <v>0</v>
      </c>
      <c r="X105" s="31">
        <f t="shared" si="9"/>
        <v>0</v>
      </c>
      <c r="Y105" s="31">
        <f t="shared" si="9"/>
        <v>0</v>
      </c>
      <c r="Z105" s="31">
        <f t="shared" si="9"/>
        <v>0</v>
      </c>
      <c r="AA105" s="31">
        <f t="shared" si="9"/>
        <v>0</v>
      </c>
      <c r="AB105" s="31">
        <f t="shared" si="9"/>
        <v>0</v>
      </c>
      <c r="AC105" s="31">
        <f t="shared" si="9"/>
        <v>0</v>
      </c>
      <c r="AD105" s="31">
        <f t="shared" si="9"/>
        <v>0</v>
      </c>
      <c r="AE105" s="31">
        <f t="shared" si="9"/>
        <v>0</v>
      </c>
      <c r="AF105" s="31">
        <f t="shared" si="9"/>
        <v>0</v>
      </c>
      <c r="AG105" s="31">
        <f t="shared" si="9"/>
        <v>0</v>
      </c>
      <c r="AH105" s="31">
        <f t="shared" si="9"/>
        <v>0</v>
      </c>
      <c r="AI105" s="31">
        <f t="shared" si="9"/>
        <v>0</v>
      </c>
      <c r="AJ105" s="31">
        <f t="shared" si="9"/>
        <v>0</v>
      </c>
    </row>
    <row r="106" spans="2:36" ht="15" hidden="1" customHeight="1" x14ac:dyDescent="0.2">
      <c r="B106" s="47"/>
      <c r="C106" s="47"/>
      <c r="D106" s="47"/>
      <c r="E106" s="47"/>
      <c r="F106" s="8"/>
      <c r="G106" s="14" t="s">
        <v>13</v>
      </c>
      <c r="H106" s="14"/>
      <c r="I106" s="13"/>
      <c r="J106" s="13"/>
      <c r="K106" s="31">
        <f t="shared" ref="K106:AJ106" si="10">K88*K101</f>
        <v>0</v>
      </c>
      <c r="L106" s="31">
        <f t="shared" si="10"/>
        <v>0</v>
      </c>
      <c r="M106" s="31">
        <f t="shared" si="10"/>
        <v>0</v>
      </c>
      <c r="N106" s="31">
        <f t="shared" si="10"/>
        <v>0</v>
      </c>
      <c r="O106" s="31">
        <f t="shared" si="10"/>
        <v>0</v>
      </c>
      <c r="P106" s="31">
        <f t="shared" si="10"/>
        <v>0</v>
      </c>
      <c r="Q106" s="31">
        <f t="shared" si="10"/>
        <v>0</v>
      </c>
      <c r="R106" s="31">
        <f t="shared" si="10"/>
        <v>0</v>
      </c>
      <c r="S106" s="31">
        <f t="shared" si="10"/>
        <v>0</v>
      </c>
      <c r="T106" s="31">
        <f t="shared" si="10"/>
        <v>0</v>
      </c>
      <c r="U106" s="31">
        <f t="shared" si="10"/>
        <v>0</v>
      </c>
      <c r="V106" s="31">
        <f t="shared" si="10"/>
        <v>0</v>
      </c>
      <c r="W106" s="31">
        <f t="shared" si="10"/>
        <v>0</v>
      </c>
      <c r="X106" s="31">
        <f t="shared" si="10"/>
        <v>0</v>
      </c>
      <c r="Y106" s="31">
        <f t="shared" si="10"/>
        <v>0</v>
      </c>
      <c r="Z106" s="31">
        <f t="shared" si="10"/>
        <v>0</v>
      </c>
      <c r="AA106" s="31">
        <f t="shared" si="10"/>
        <v>0</v>
      </c>
      <c r="AB106" s="75">
        <f t="shared" si="10"/>
        <v>0</v>
      </c>
      <c r="AC106" s="31">
        <f t="shared" si="10"/>
        <v>0</v>
      </c>
      <c r="AD106" s="31">
        <f t="shared" si="10"/>
        <v>0</v>
      </c>
      <c r="AE106" s="31">
        <f t="shared" si="10"/>
        <v>0</v>
      </c>
      <c r="AF106" s="31">
        <f t="shared" si="10"/>
        <v>0</v>
      </c>
      <c r="AG106" s="31">
        <f t="shared" si="10"/>
        <v>0</v>
      </c>
      <c r="AH106" s="31">
        <f t="shared" si="10"/>
        <v>0</v>
      </c>
      <c r="AI106" s="31">
        <f t="shared" si="10"/>
        <v>0</v>
      </c>
      <c r="AJ106" s="31">
        <f t="shared" si="10"/>
        <v>0</v>
      </c>
    </row>
    <row r="107" spans="2:36" ht="15" hidden="1" customHeight="1" x14ac:dyDescent="0.2">
      <c r="B107" s="47"/>
      <c r="C107" s="47"/>
      <c r="D107" s="47"/>
      <c r="E107" s="47"/>
      <c r="F107" s="8"/>
      <c r="G107" s="14"/>
      <c r="H107" s="14"/>
      <c r="I107" s="13"/>
      <c r="J107" s="13"/>
      <c r="K107" s="31"/>
      <c r="L107" s="31"/>
      <c r="M107" s="31"/>
      <c r="N107" s="31"/>
      <c r="O107" s="31"/>
      <c r="P107" s="31"/>
      <c r="Q107" s="31"/>
      <c r="R107" s="31"/>
      <c r="S107" s="31"/>
      <c r="T107" s="31"/>
      <c r="U107" s="31"/>
      <c r="V107" s="31"/>
      <c r="W107" s="31"/>
      <c r="X107" s="31"/>
      <c r="Y107" s="31"/>
      <c r="Z107" s="31"/>
      <c r="AA107" s="31"/>
      <c r="AB107" s="75"/>
      <c r="AC107" s="31"/>
      <c r="AD107" s="31"/>
      <c r="AE107" s="31"/>
      <c r="AF107" s="31"/>
      <c r="AG107" s="31"/>
      <c r="AH107" s="31"/>
      <c r="AI107" s="31"/>
      <c r="AJ107" s="31"/>
    </row>
    <row r="108" spans="2:36" ht="15" hidden="1" customHeight="1" x14ac:dyDescent="0.2">
      <c r="B108" s="47"/>
      <c r="C108" s="47"/>
      <c r="D108" s="47"/>
      <c r="E108" s="47"/>
      <c r="F108" s="8"/>
      <c r="G108" s="14" t="s">
        <v>14</v>
      </c>
      <c r="H108" s="14"/>
      <c r="I108" s="13"/>
      <c r="J108" s="13"/>
      <c r="K108" s="31">
        <f>SUM(K103:K106)</f>
        <v>0</v>
      </c>
      <c r="L108" s="31">
        <f t="shared" ref="L108:Z108" si="11">SUM(L103:L106)</f>
        <v>0</v>
      </c>
      <c r="M108" s="31">
        <f t="shared" si="11"/>
        <v>0</v>
      </c>
      <c r="N108" s="31">
        <f t="shared" si="11"/>
        <v>0</v>
      </c>
      <c r="O108" s="31">
        <f t="shared" si="11"/>
        <v>0</v>
      </c>
      <c r="P108" s="31">
        <f t="shared" si="11"/>
        <v>0</v>
      </c>
      <c r="Q108" s="31">
        <f t="shared" si="11"/>
        <v>0</v>
      </c>
      <c r="R108" s="31">
        <f t="shared" si="11"/>
        <v>0</v>
      </c>
      <c r="S108" s="31">
        <f t="shared" si="11"/>
        <v>0</v>
      </c>
      <c r="T108" s="31">
        <f t="shared" si="11"/>
        <v>0</v>
      </c>
      <c r="U108" s="31">
        <f t="shared" si="11"/>
        <v>0</v>
      </c>
      <c r="V108" s="31">
        <f t="shared" si="11"/>
        <v>0</v>
      </c>
      <c r="W108" s="31">
        <f t="shared" si="11"/>
        <v>0</v>
      </c>
      <c r="X108" s="31">
        <f t="shared" si="11"/>
        <v>0</v>
      </c>
      <c r="Y108" s="31">
        <f t="shared" si="11"/>
        <v>0</v>
      </c>
      <c r="Z108" s="31">
        <f t="shared" si="11"/>
        <v>0</v>
      </c>
      <c r="AA108" s="31">
        <f t="shared" ref="AA108:AH108" si="12">SUM(AA103:AA106)</f>
        <v>0</v>
      </c>
      <c r="AB108" s="75">
        <f t="shared" si="12"/>
        <v>0</v>
      </c>
      <c r="AC108" s="31">
        <f t="shared" si="12"/>
        <v>0</v>
      </c>
      <c r="AD108" s="31">
        <f t="shared" si="12"/>
        <v>0</v>
      </c>
      <c r="AE108" s="31">
        <f t="shared" si="12"/>
        <v>0</v>
      </c>
      <c r="AF108" s="31">
        <f t="shared" si="12"/>
        <v>0</v>
      </c>
      <c r="AG108" s="31">
        <f t="shared" si="12"/>
        <v>0</v>
      </c>
      <c r="AH108" s="31">
        <f t="shared" si="12"/>
        <v>0</v>
      </c>
      <c r="AI108" s="31">
        <f>SUM(AI103:AI106)</f>
        <v>0</v>
      </c>
      <c r="AJ108" s="31">
        <f>SUM(AJ103:AJ106)</f>
        <v>0</v>
      </c>
    </row>
    <row r="109" spans="2:36" ht="15" hidden="1" customHeight="1" x14ac:dyDescent="0.2">
      <c r="B109" s="47"/>
      <c r="C109" s="47"/>
      <c r="D109" s="47"/>
      <c r="E109" s="47"/>
      <c r="F109" s="8"/>
      <c r="G109" s="14" t="s">
        <v>256</v>
      </c>
      <c r="H109" s="14"/>
      <c r="I109" s="13"/>
      <c r="J109" s="13"/>
      <c r="K109" s="31">
        <f>K108</f>
        <v>0</v>
      </c>
      <c r="L109" s="31">
        <f t="shared" ref="L109:AJ109" si="13">K109+L108</f>
        <v>0</v>
      </c>
      <c r="M109" s="31">
        <f t="shared" si="13"/>
        <v>0</v>
      </c>
      <c r="N109" s="31">
        <f t="shared" si="13"/>
        <v>0</v>
      </c>
      <c r="O109" s="31">
        <f t="shared" si="13"/>
        <v>0</v>
      </c>
      <c r="P109" s="31">
        <f t="shared" si="13"/>
        <v>0</v>
      </c>
      <c r="Q109" s="31">
        <f t="shared" si="13"/>
        <v>0</v>
      </c>
      <c r="R109" s="31">
        <f t="shared" si="13"/>
        <v>0</v>
      </c>
      <c r="S109" s="31">
        <f t="shared" si="13"/>
        <v>0</v>
      </c>
      <c r="T109" s="31">
        <f t="shared" si="13"/>
        <v>0</v>
      </c>
      <c r="U109" s="31">
        <f t="shared" si="13"/>
        <v>0</v>
      </c>
      <c r="V109" s="31">
        <f t="shared" si="13"/>
        <v>0</v>
      </c>
      <c r="W109" s="31">
        <f t="shared" si="13"/>
        <v>0</v>
      </c>
      <c r="X109" s="31">
        <f t="shared" si="13"/>
        <v>0</v>
      </c>
      <c r="Y109" s="31">
        <f t="shared" si="13"/>
        <v>0</v>
      </c>
      <c r="Z109" s="31">
        <f t="shared" si="13"/>
        <v>0</v>
      </c>
      <c r="AA109" s="31">
        <f t="shared" si="13"/>
        <v>0</v>
      </c>
      <c r="AB109" s="75">
        <f t="shared" si="13"/>
        <v>0</v>
      </c>
      <c r="AC109" s="31">
        <f t="shared" si="13"/>
        <v>0</v>
      </c>
      <c r="AD109" s="31">
        <f t="shared" si="13"/>
        <v>0</v>
      </c>
      <c r="AE109" s="31">
        <f t="shared" si="13"/>
        <v>0</v>
      </c>
      <c r="AF109" s="31">
        <f t="shared" si="13"/>
        <v>0</v>
      </c>
      <c r="AG109" s="31">
        <f t="shared" si="13"/>
        <v>0</v>
      </c>
      <c r="AH109" s="31">
        <f t="shared" si="13"/>
        <v>0</v>
      </c>
      <c r="AI109" s="31">
        <f t="shared" si="13"/>
        <v>0</v>
      </c>
      <c r="AJ109" s="31">
        <f t="shared" si="13"/>
        <v>0</v>
      </c>
    </row>
    <row r="110" spans="2:36" ht="15" hidden="1" customHeight="1" x14ac:dyDescent="0.2">
      <c r="B110" s="47"/>
      <c r="C110" s="47"/>
      <c r="D110" s="47"/>
      <c r="E110" s="47"/>
      <c r="F110" s="8"/>
      <c r="G110" s="13"/>
      <c r="H110" s="13"/>
      <c r="I110" s="13"/>
      <c r="J110" s="13"/>
      <c r="K110" s="32"/>
      <c r="L110" s="32"/>
      <c r="M110" s="32"/>
      <c r="N110" s="32"/>
      <c r="O110" s="32"/>
      <c r="P110" s="32"/>
      <c r="Q110" s="32"/>
      <c r="R110" s="32"/>
      <c r="S110" s="32"/>
      <c r="T110" s="32"/>
      <c r="U110" s="32"/>
      <c r="V110" s="32"/>
      <c r="W110" s="32"/>
      <c r="X110" s="32"/>
      <c r="Y110" s="32"/>
      <c r="Z110" s="32"/>
      <c r="AA110" s="32"/>
      <c r="AB110" s="77"/>
      <c r="AC110" s="32"/>
      <c r="AD110" s="32"/>
      <c r="AE110" s="32"/>
      <c r="AF110" s="32"/>
      <c r="AG110" s="32"/>
      <c r="AH110" s="32"/>
      <c r="AI110" s="32"/>
      <c r="AJ110" s="32"/>
    </row>
    <row r="111" spans="2:36" ht="15" hidden="1" customHeight="1" x14ac:dyDescent="0.2">
      <c r="B111" s="47"/>
      <c r="C111" s="47"/>
      <c r="D111" s="47"/>
      <c r="E111" s="47"/>
      <c r="F111" s="8"/>
      <c r="G111" s="14" t="s">
        <v>258</v>
      </c>
      <c r="H111" s="13"/>
      <c r="I111" s="13"/>
      <c r="J111" s="13"/>
      <c r="K111" s="31">
        <f>K108/(((Data!$P$186/100)+1)^K$70)</f>
        <v>0</v>
      </c>
      <c r="L111" s="31">
        <f>L108/(((Data!$P$186/100)+1)^L$70)</f>
        <v>0</v>
      </c>
      <c r="M111" s="31">
        <f>M108/(((Data!$P$186/100)+1)^M$70)</f>
        <v>0</v>
      </c>
      <c r="N111" s="31">
        <f>N108/(((Data!$P$186/100)+1)^N$70)</f>
        <v>0</v>
      </c>
      <c r="O111" s="31">
        <f>O108/(((Data!$P$186/100)+1)^O$70)</f>
        <v>0</v>
      </c>
      <c r="P111" s="31">
        <f>P108/(((Data!$P$186/100)+1)^P$70)</f>
        <v>0</v>
      </c>
      <c r="Q111" s="31">
        <f>Q108/(((Data!$P$186/100)+1)^Q$70)</f>
        <v>0</v>
      </c>
      <c r="R111" s="31">
        <f>R108/(((Data!$P$186/100)+1)^R$70)</f>
        <v>0</v>
      </c>
      <c r="S111" s="31">
        <f>S108/(((Data!$P$186/100)+1)^S$70)</f>
        <v>0</v>
      </c>
      <c r="T111" s="31">
        <f>T108/(((Data!$P$186/100)+1)^T$70)</f>
        <v>0</v>
      </c>
      <c r="U111" s="31">
        <f>U108/(((Data!$P$186/100)+1)^U$70)</f>
        <v>0</v>
      </c>
      <c r="V111" s="31">
        <f>V108/(((Data!$P$186/100)+1)^V$70)</f>
        <v>0</v>
      </c>
      <c r="W111" s="31">
        <f>W108/(((Data!$P$186/100)+1)^W$70)</f>
        <v>0</v>
      </c>
      <c r="X111" s="31">
        <f>X108/(((Data!$P$186/100)+1)^X$70)</f>
        <v>0</v>
      </c>
      <c r="Y111" s="31">
        <f>Y108/(((Data!$P$186/100)+1)^Y$70)</f>
        <v>0</v>
      </c>
      <c r="Z111" s="31">
        <f>Z108/(((Data!$P$186/100)+1)^Z$70)</f>
        <v>0</v>
      </c>
      <c r="AA111" s="31">
        <f>AA108/(((Data!$P$186/100)+1)^AA$70)</f>
        <v>0</v>
      </c>
      <c r="AB111" s="75">
        <f>AB108/(((Data!$P$186/100)+1)^AB$70)</f>
        <v>0</v>
      </c>
      <c r="AC111" s="31">
        <f>AC108/(((Data!$P$186/100)+1)^AC$70)</f>
        <v>0</v>
      </c>
      <c r="AD111" s="31">
        <f>AD108/(((Data!$P$186/100)+1)^AD$70)</f>
        <v>0</v>
      </c>
      <c r="AE111" s="31">
        <f>AE108/(((Data!$P$186/100)+1)^AE$70)</f>
        <v>0</v>
      </c>
      <c r="AF111" s="31">
        <f>AF108/(((Data!$P$186/100)+1)^AF$70)</f>
        <v>0</v>
      </c>
      <c r="AG111" s="31">
        <f>AG108/(((Data!$P$186/100)+1)^AG$70)</f>
        <v>0</v>
      </c>
      <c r="AH111" s="31">
        <f>AH108/(((Data!$P$186/100)+1)^AH$70)</f>
        <v>0</v>
      </c>
      <c r="AI111" s="31">
        <f>AI108/(((Data!$P$186/100)+1)^AI$70)</f>
        <v>0</v>
      </c>
      <c r="AJ111" s="31">
        <f>AJ108/(((Data!$P$186/100)+1)^AJ$70)</f>
        <v>0</v>
      </c>
    </row>
    <row r="112" spans="2:36" ht="15" hidden="1" customHeight="1" x14ac:dyDescent="0.2">
      <c r="B112" s="47"/>
      <c r="C112" s="47"/>
      <c r="D112" s="47"/>
      <c r="E112" s="47"/>
      <c r="F112" s="8"/>
      <c r="G112" s="30" t="s">
        <v>257</v>
      </c>
      <c r="H112" s="33"/>
      <c r="I112" s="13"/>
      <c r="J112" s="13"/>
      <c r="K112" s="34">
        <f>K111</f>
        <v>0</v>
      </c>
      <c r="L112" s="34">
        <f t="shared" ref="L112:AJ112" si="14">K112+L111</f>
        <v>0</v>
      </c>
      <c r="M112" s="34">
        <f t="shared" si="14"/>
        <v>0</v>
      </c>
      <c r="N112" s="34">
        <f t="shared" si="14"/>
        <v>0</v>
      </c>
      <c r="O112" s="34">
        <f t="shared" si="14"/>
        <v>0</v>
      </c>
      <c r="P112" s="34">
        <f t="shared" si="14"/>
        <v>0</v>
      </c>
      <c r="Q112" s="34">
        <f t="shared" si="14"/>
        <v>0</v>
      </c>
      <c r="R112" s="34">
        <f t="shared" si="14"/>
        <v>0</v>
      </c>
      <c r="S112" s="34">
        <f t="shared" si="14"/>
        <v>0</v>
      </c>
      <c r="T112" s="34">
        <f t="shared" si="14"/>
        <v>0</v>
      </c>
      <c r="U112" s="34">
        <f t="shared" si="14"/>
        <v>0</v>
      </c>
      <c r="V112" s="34">
        <f t="shared" si="14"/>
        <v>0</v>
      </c>
      <c r="W112" s="34">
        <f t="shared" si="14"/>
        <v>0</v>
      </c>
      <c r="X112" s="34">
        <f t="shared" si="14"/>
        <v>0</v>
      </c>
      <c r="Y112" s="34">
        <f t="shared" si="14"/>
        <v>0</v>
      </c>
      <c r="Z112" s="34">
        <f t="shared" si="14"/>
        <v>0</v>
      </c>
      <c r="AA112" s="34">
        <f t="shared" si="14"/>
        <v>0</v>
      </c>
      <c r="AB112" s="78">
        <f t="shared" si="14"/>
        <v>0</v>
      </c>
      <c r="AC112" s="34">
        <f t="shared" si="14"/>
        <v>0</v>
      </c>
      <c r="AD112" s="34">
        <f t="shared" si="14"/>
        <v>0</v>
      </c>
      <c r="AE112" s="34">
        <f t="shared" si="14"/>
        <v>0</v>
      </c>
      <c r="AF112" s="34">
        <f t="shared" si="14"/>
        <v>0</v>
      </c>
      <c r="AG112" s="34">
        <f t="shared" si="14"/>
        <v>0</v>
      </c>
      <c r="AH112" s="34">
        <f t="shared" si="14"/>
        <v>0</v>
      </c>
      <c r="AI112" s="34">
        <f t="shared" si="14"/>
        <v>0</v>
      </c>
      <c r="AJ112" s="34">
        <f t="shared" si="14"/>
        <v>0</v>
      </c>
    </row>
    <row r="113" spans="2:37" ht="15" hidden="1" customHeight="1" x14ac:dyDescent="0.2">
      <c r="B113" s="47"/>
      <c r="C113" s="47"/>
      <c r="D113" s="47"/>
      <c r="E113" s="47"/>
      <c r="F113" s="8"/>
      <c r="G113" s="8"/>
      <c r="H113" s="8"/>
      <c r="I113" s="8"/>
      <c r="J113" s="8"/>
      <c r="K113" s="12"/>
      <c r="L113" s="12"/>
      <c r="M113" s="12"/>
      <c r="N113" s="12"/>
      <c r="O113" s="12"/>
      <c r="P113" s="12"/>
      <c r="Q113" s="12"/>
      <c r="R113" s="12"/>
      <c r="S113" s="12"/>
      <c r="T113" s="12"/>
      <c r="U113" s="12"/>
      <c r="V113" s="12"/>
      <c r="W113" s="12"/>
      <c r="X113" s="12"/>
      <c r="Y113" s="12"/>
      <c r="Z113" s="12"/>
      <c r="AA113" s="12"/>
      <c r="AB113" s="79"/>
      <c r="AC113" s="12"/>
      <c r="AD113" s="12"/>
      <c r="AE113" s="12"/>
      <c r="AF113" s="12"/>
      <c r="AG113" s="12"/>
      <c r="AH113" s="12"/>
      <c r="AI113" s="12"/>
      <c r="AJ113" s="12"/>
    </row>
    <row r="114" spans="2:37" ht="15" hidden="1" customHeight="1" x14ac:dyDescent="0.2">
      <c r="B114" s="47"/>
      <c r="C114" s="47"/>
      <c r="D114" s="47"/>
      <c r="E114" s="47"/>
      <c r="F114" s="8"/>
      <c r="G114" s="532" t="s">
        <v>525</v>
      </c>
      <c r="H114" s="17"/>
      <c r="I114" s="13"/>
      <c r="J114" s="13"/>
      <c r="K114" s="35"/>
      <c r="L114" s="35"/>
      <c r="M114" s="35"/>
      <c r="N114" s="35"/>
      <c r="O114" s="35"/>
      <c r="P114" s="35"/>
      <c r="Q114" s="35"/>
      <c r="R114" s="35"/>
      <c r="S114" s="35"/>
      <c r="T114" s="35"/>
      <c r="U114" s="35"/>
      <c r="V114" s="35"/>
      <c r="W114" s="35"/>
      <c r="X114" s="35"/>
      <c r="Y114" s="35"/>
      <c r="Z114" s="35"/>
      <c r="AA114" s="35"/>
      <c r="AB114" s="80"/>
      <c r="AC114" s="35"/>
      <c r="AD114" s="35"/>
      <c r="AE114" s="35"/>
      <c r="AF114" s="35"/>
      <c r="AG114" s="35"/>
      <c r="AH114" s="35"/>
      <c r="AI114" s="35"/>
      <c r="AJ114" s="35"/>
    </row>
    <row r="115" spans="2:37" ht="15" hidden="1" customHeight="1" x14ac:dyDescent="0.2">
      <c r="B115" s="47"/>
      <c r="C115" s="47"/>
      <c r="D115" s="47"/>
      <c r="E115" s="47"/>
      <c r="F115" s="8"/>
      <c r="G115" s="14"/>
      <c r="H115" s="14"/>
      <c r="I115" s="13"/>
      <c r="J115" s="13"/>
      <c r="K115" s="31"/>
      <c r="L115" s="31"/>
      <c r="M115" s="31"/>
      <c r="N115" s="31"/>
      <c r="O115" s="31"/>
      <c r="P115" s="31"/>
      <c r="Q115" s="31"/>
      <c r="R115" s="31"/>
      <c r="S115" s="31"/>
      <c r="T115" s="31"/>
      <c r="U115" s="31"/>
      <c r="V115" s="31"/>
      <c r="W115" s="31"/>
      <c r="X115" s="31"/>
      <c r="Y115" s="31"/>
      <c r="Z115" s="31"/>
      <c r="AA115" s="31"/>
      <c r="AB115" s="75"/>
      <c r="AC115" s="31"/>
      <c r="AD115" s="31"/>
      <c r="AE115" s="31"/>
      <c r="AF115" s="31"/>
      <c r="AG115" s="31"/>
      <c r="AH115" s="31"/>
      <c r="AI115" s="31"/>
      <c r="AJ115" s="31"/>
    </row>
    <row r="116" spans="2:37" ht="15" hidden="1" customHeight="1" x14ac:dyDescent="0.2">
      <c r="B116" s="47"/>
      <c r="C116" s="47"/>
      <c r="D116" s="47"/>
      <c r="E116" s="47"/>
      <c r="F116" s="8"/>
      <c r="G116" s="17" t="s">
        <v>478</v>
      </c>
      <c r="H116" s="60"/>
      <c r="I116" s="60"/>
      <c r="J116" s="60"/>
      <c r="K116" s="104">
        <f t="shared" ref="K116:AJ116" si="15">IF(K$70&lt;$Q$19,VLOOKUP($I$15,$G$75:$AJ$79,K$70+5,FALSE),VLOOKUP($O$15,$G$75:$AJ$79,K$70+5,FALSE))</f>
        <v>0.19338</v>
      </c>
      <c r="L116" s="104">
        <f t="shared" si="15"/>
        <v>0.18757859999999998</v>
      </c>
      <c r="M116" s="104">
        <f t="shared" si="15"/>
        <v>0.18195124199999999</v>
      </c>
      <c r="N116" s="104">
        <f t="shared" si="15"/>
        <v>0.17649270473999998</v>
      </c>
      <c r="O116" s="104">
        <f t="shared" si="15"/>
        <v>0.17119792359779998</v>
      </c>
      <c r="P116" s="104">
        <f t="shared" si="15"/>
        <v>0.16606198588986598</v>
      </c>
      <c r="Q116" s="104">
        <f t="shared" si="15"/>
        <v>0.16108012631317001</v>
      </c>
      <c r="R116" s="104">
        <f t="shared" si="15"/>
        <v>0.15624772252377489</v>
      </c>
      <c r="S116" s="104">
        <f t="shared" si="15"/>
        <v>0.15156029084806164</v>
      </c>
      <c r="T116" s="104">
        <f t="shared" si="15"/>
        <v>0.14701348212261978</v>
      </c>
      <c r="U116" s="104">
        <f t="shared" si="15"/>
        <v>0.14260307765894117</v>
      </c>
      <c r="V116" s="104">
        <f t="shared" si="15"/>
        <v>0.13832498532917292</v>
      </c>
      <c r="W116" s="104">
        <f t="shared" si="15"/>
        <v>0.13417523576929774</v>
      </c>
      <c r="X116" s="104">
        <f t="shared" si="15"/>
        <v>0.1301499786962188</v>
      </c>
      <c r="Y116" s="104">
        <f t="shared" si="15"/>
        <v>0.12624547933533223</v>
      </c>
      <c r="Z116" s="104">
        <f t="shared" si="15"/>
        <v>0.12245811495527226</v>
      </c>
      <c r="AA116" s="104">
        <f t="shared" si="15"/>
        <v>0.11878437150661408</v>
      </c>
      <c r="AB116" s="104">
        <f t="shared" si="15"/>
        <v>0.11522084036141565</v>
      </c>
      <c r="AC116" s="104">
        <f t="shared" si="15"/>
        <v>0.11176421515057318</v>
      </c>
      <c r="AD116" s="104">
        <f t="shared" si="15"/>
        <v>0.10841128869605599</v>
      </c>
      <c r="AE116" s="104">
        <f t="shared" si="15"/>
        <v>0.10515895003517431</v>
      </c>
      <c r="AF116" s="104">
        <f t="shared" si="15"/>
        <v>0.10200418153411908</v>
      </c>
      <c r="AG116" s="104">
        <f t="shared" si="15"/>
        <v>9.8944056088095506E-2</v>
      </c>
      <c r="AH116" s="104">
        <f t="shared" si="15"/>
        <v>9.5975734405452637E-2</v>
      </c>
      <c r="AI116" s="104">
        <f t="shared" si="15"/>
        <v>9.3096462373289057E-2</v>
      </c>
      <c r="AJ116" s="104">
        <f t="shared" si="15"/>
        <v>9.0303568502090384E-2</v>
      </c>
    </row>
    <row r="117" spans="2:37" ht="15" hidden="1" customHeight="1" x14ac:dyDescent="0.2">
      <c r="B117" s="47"/>
      <c r="C117" s="47"/>
      <c r="D117" s="47"/>
      <c r="E117" s="47"/>
      <c r="F117" s="8"/>
      <c r="G117" s="17" t="s">
        <v>479</v>
      </c>
      <c r="H117" s="60"/>
      <c r="I117" s="60"/>
      <c r="J117" s="60"/>
      <c r="K117" s="104">
        <f t="shared" ref="K117:AJ117" si="16">IF(K$70&lt;$Q$19,VLOOKUP($I$15,$G$81:$AJ$85,K$70+5,FALSE),VLOOKUP($O$15,$G$81:$AJ$85,K$70+5,FALSE))</f>
        <v>0.31</v>
      </c>
      <c r="L117" s="104">
        <f t="shared" si="16"/>
        <v>0.34100000000000003</v>
      </c>
      <c r="M117" s="104">
        <f t="shared" si="16"/>
        <v>0.37510000000000004</v>
      </c>
      <c r="N117" s="104">
        <f t="shared" si="16"/>
        <v>0.41261000000000009</v>
      </c>
      <c r="O117" s="104">
        <f t="shared" si="16"/>
        <v>0.45387100000000014</v>
      </c>
      <c r="P117" s="104">
        <f t="shared" si="16"/>
        <v>0.4992581000000002</v>
      </c>
      <c r="Q117" s="104">
        <f t="shared" si="16"/>
        <v>0.54918391000000022</v>
      </c>
      <c r="R117" s="104">
        <f t="shared" si="16"/>
        <v>0.60410230100000029</v>
      </c>
      <c r="S117" s="104">
        <f t="shared" si="16"/>
        <v>0.66451253110000041</v>
      </c>
      <c r="T117" s="104">
        <f t="shared" si="16"/>
        <v>0.73096378421000052</v>
      </c>
      <c r="U117" s="104">
        <f t="shared" si="16"/>
        <v>0.80406016263100066</v>
      </c>
      <c r="V117" s="104">
        <f t="shared" si="16"/>
        <v>0.88446617889410084</v>
      </c>
      <c r="W117" s="104">
        <f t="shared" si="16"/>
        <v>0.97291279678351106</v>
      </c>
      <c r="X117" s="104">
        <f t="shared" si="16"/>
        <v>1.0702040764618623</v>
      </c>
      <c r="Y117" s="104">
        <f t="shared" si="16"/>
        <v>1.1772244841080486</v>
      </c>
      <c r="Z117" s="104">
        <f t="shared" si="16"/>
        <v>1.2949469325188536</v>
      </c>
      <c r="AA117" s="104">
        <f t="shared" si="16"/>
        <v>1.4244416257707391</v>
      </c>
      <c r="AB117" s="104">
        <f t="shared" si="16"/>
        <v>1.5668857883478131</v>
      </c>
      <c r="AC117" s="104">
        <f t="shared" si="16"/>
        <v>1.7235743671825945</v>
      </c>
      <c r="AD117" s="104">
        <f t="shared" si="16"/>
        <v>1.8959318039008541</v>
      </c>
      <c r="AE117" s="104">
        <f t="shared" si="16"/>
        <v>2.0855249842909398</v>
      </c>
      <c r="AF117" s="104">
        <f t="shared" si="16"/>
        <v>2.2940774827200339</v>
      </c>
      <c r="AG117" s="104">
        <f t="shared" si="16"/>
        <v>2.5234852309920375</v>
      </c>
      <c r="AH117" s="104">
        <f t="shared" si="16"/>
        <v>2.7758337540912414</v>
      </c>
      <c r="AI117" s="104">
        <f t="shared" si="16"/>
        <v>3.053417129500366</v>
      </c>
      <c r="AJ117" s="104">
        <f t="shared" si="16"/>
        <v>3.3587588424504031</v>
      </c>
    </row>
    <row r="118" spans="2:37" ht="15" hidden="1" customHeight="1" x14ac:dyDescent="0.2">
      <c r="B118" s="47"/>
      <c r="C118" s="47"/>
      <c r="D118" s="47"/>
      <c r="E118" s="47"/>
      <c r="F118" s="8"/>
      <c r="G118" s="17"/>
      <c r="H118" s="17"/>
      <c r="I118" s="13"/>
      <c r="J118" s="13"/>
      <c r="K118" s="35"/>
      <c r="L118" s="35"/>
      <c r="M118" s="35"/>
      <c r="N118" s="35"/>
      <c r="O118" s="35"/>
      <c r="P118" s="35"/>
      <c r="Q118" s="35"/>
      <c r="R118" s="35"/>
      <c r="S118" s="35"/>
      <c r="T118" s="35"/>
      <c r="U118" s="35"/>
      <c r="V118" s="35"/>
      <c r="W118" s="35"/>
      <c r="X118" s="35"/>
      <c r="Y118" s="35"/>
      <c r="Z118" s="35"/>
      <c r="AA118" s="35"/>
      <c r="AB118" s="80"/>
      <c r="AC118" s="35"/>
      <c r="AD118" s="35"/>
      <c r="AE118" s="35"/>
      <c r="AF118" s="35"/>
      <c r="AG118" s="35"/>
      <c r="AH118" s="35"/>
      <c r="AI118" s="35"/>
      <c r="AJ118" s="35"/>
    </row>
    <row r="119" spans="2:37" ht="15" hidden="1" customHeight="1" x14ac:dyDescent="0.2">
      <c r="B119" s="47"/>
      <c r="C119" s="47"/>
      <c r="D119" s="47"/>
      <c r="E119" s="47"/>
      <c r="F119" s="8"/>
      <c r="G119" s="17" t="s">
        <v>4</v>
      </c>
      <c r="H119" s="17"/>
      <c r="I119" s="13"/>
      <c r="J119" s="13"/>
      <c r="K119" s="43"/>
      <c r="L119" s="43"/>
      <c r="M119" s="43"/>
      <c r="N119" s="43"/>
      <c r="O119" s="43"/>
      <c r="P119" s="43"/>
      <c r="Q119" s="43"/>
      <c r="R119" s="43"/>
      <c r="S119" s="43"/>
      <c r="T119" s="43"/>
      <c r="U119" s="43"/>
      <c r="V119" s="43"/>
      <c r="W119" s="43"/>
      <c r="X119" s="43"/>
      <c r="Y119" s="43"/>
      <c r="Z119" s="43"/>
      <c r="AA119" s="43"/>
      <c r="AB119" s="81"/>
      <c r="AC119" s="43"/>
      <c r="AD119" s="43"/>
      <c r="AE119" s="43"/>
      <c r="AF119" s="43"/>
      <c r="AG119" s="43"/>
      <c r="AH119" s="43"/>
      <c r="AI119" s="43"/>
      <c r="AJ119" s="43"/>
    </row>
    <row r="120" spans="2:37" ht="15" hidden="1" customHeight="1" x14ac:dyDescent="0.2">
      <c r="B120" s="47"/>
      <c r="C120" s="47"/>
      <c r="D120" s="47"/>
      <c r="E120" s="47"/>
      <c r="F120" s="8"/>
      <c r="G120" s="17" t="s">
        <v>5</v>
      </c>
      <c r="H120" s="17"/>
      <c r="I120" s="13"/>
      <c r="J120" s="13"/>
      <c r="K120" s="43"/>
      <c r="L120" s="43"/>
      <c r="M120" s="43"/>
      <c r="N120" s="43"/>
      <c r="O120" s="43"/>
      <c r="P120" s="43"/>
      <c r="Q120" s="43"/>
      <c r="R120" s="43"/>
      <c r="S120" s="43"/>
      <c r="T120" s="43"/>
      <c r="U120" s="43"/>
      <c r="V120" s="43"/>
      <c r="W120" s="43"/>
      <c r="X120" s="43"/>
      <c r="Y120" s="43"/>
      <c r="Z120" s="43"/>
      <c r="AA120" s="43"/>
      <c r="AB120" s="81"/>
      <c r="AC120" s="43"/>
      <c r="AD120" s="43"/>
      <c r="AE120" s="43"/>
      <c r="AF120" s="43"/>
      <c r="AG120" s="43"/>
      <c r="AH120" s="43"/>
      <c r="AI120" s="43"/>
      <c r="AJ120" s="43"/>
    </row>
    <row r="121" spans="2:37" ht="15" hidden="1" customHeight="1" x14ac:dyDescent="0.2">
      <c r="B121" s="47"/>
      <c r="C121" s="47"/>
      <c r="D121" s="47"/>
      <c r="E121" s="47"/>
      <c r="F121" s="8"/>
      <c r="G121" s="17" t="s">
        <v>6</v>
      </c>
      <c r="H121" s="17"/>
      <c r="I121" s="13"/>
      <c r="J121" s="13"/>
      <c r="K121" s="35">
        <f>IF(K$70&lt;$Q$19,$K$11,$Q$11)</f>
        <v>0</v>
      </c>
      <c r="L121" s="35">
        <f t="shared" ref="L121:AJ121" si="17">IF(L$70&lt;$Q$19,$K$11,$Q$11)</f>
        <v>0</v>
      </c>
      <c r="M121" s="35">
        <f t="shared" si="17"/>
        <v>0</v>
      </c>
      <c r="N121" s="35">
        <f t="shared" si="17"/>
        <v>0</v>
      </c>
      <c r="O121" s="35">
        <f t="shared" si="17"/>
        <v>0</v>
      </c>
      <c r="P121" s="35">
        <f t="shared" si="17"/>
        <v>0</v>
      </c>
      <c r="Q121" s="35">
        <f t="shared" si="17"/>
        <v>0</v>
      </c>
      <c r="R121" s="35">
        <f t="shared" si="17"/>
        <v>0</v>
      </c>
      <c r="S121" s="35">
        <f t="shared" si="17"/>
        <v>0</v>
      </c>
      <c r="T121" s="35">
        <f t="shared" si="17"/>
        <v>0</v>
      </c>
      <c r="U121" s="35">
        <f t="shared" si="17"/>
        <v>0</v>
      </c>
      <c r="V121" s="35">
        <f t="shared" si="17"/>
        <v>0</v>
      </c>
      <c r="W121" s="35">
        <f t="shared" si="17"/>
        <v>0</v>
      </c>
      <c r="X121" s="35">
        <f t="shared" si="17"/>
        <v>0</v>
      </c>
      <c r="Y121" s="35">
        <f t="shared" si="17"/>
        <v>0</v>
      </c>
      <c r="Z121" s="35">
        <f t="shared" si="17"/>
        <v>0</v>
      </c>
      <c r="AA121" s="35">
        <f t="shared" si="17"/>
        <v>0</v>
      </c>
      <c r="AB121" s="35">
        <f t="shared" si="17"/>
        <v>0</v>
      </c>
      <c r="AC121" s="35">
        <f t="shared" si="17"/>
        <v>0</v>
      </c>
      <c r="AD121" s="35">
        <f t="shared" si="17"/>
        <v>0</v>
      </c>
      <c r="AE121" s="35">
        <f t="shared" si="17"/>
        <v>0</v>
      </c>
      <c r="AF121" s="35">
        <f t="shared" si="17"/>
        <v>0</v>
      </c>
      <c r="AG121" s="35">
        <f t="shared" si="17"/>
        <v>0</v>
      </c>
      <c r="AH121" s="35">
        <f t="shared" si="17"/>
        <v>0</v>
      </c>
      <c r="AI121" s="35">
        <f t="shared" si="17"/>
        <v>0</v>
      </c>
      <c r="AJ121" s="35">
        <f t="shared" si="17"/>
        <v>0</v>
      </c>
      <c r="AK121" s="112"/>
    </row>
    <row r="122" spans="2:37" ht="15" hidden="1" customHeight="1" x14ac:dyDescent="0.2">
      <c r="B122" s="47"/>
      <c r="C122" s="47"/>
      <c r="D122" s="47"/>
      <c r="E122" s="47"/>
      <c r="F122" s="8"/>
      <c r="G122" s="17"/>
      <c r="H122" s="17"/>
      <c r="I122" s="13"/>
      <c r="J122" s="13"/>
      <c r="K122" s="35"/>
      <c r="L122" s="35"/>
      <c r="M122" s="35"/>
      <c r="N122" s="35"/>
      <c r="O122" s="35"/>
      <c r="P122" s="35"/>
      <c r="Q122" s="35"/>
      <c r="R122" s="35"/>
      <c r="S122" s="35"/>
      <c r="T122" s="35"/>
      <c r="U122" s="35"/>
      <c r="V122" s="35"/>
      <c r="W122" s="35"/>
      <c r="X122" s="35"/>
      <c r="Y122" s="35"/>
      <c r="Z122" s="35"/>
      <c r="AA122" s="35"/>
      <c r="AB122" s="80"/>
      <c r="AC122" s="35"/>
      <c r="AD122" s="35"/>
      <c r="AE122" s="35"/>
      <c r="AF122" s="35"/>
      <c r="AG122" s="35"/>
      <c r="AH122" s="35"/>
      <c r="AI122" s="35"/>
      <c r="AJ122" s="35"/>
    </row>
    <row r="123" spans="2:37" ht="15" hidden="1" customHeight="1" x14ac:dyDescent="0.2">
      <c r="B123" s="47"/>
      <c r="C123" s="47"/>
      <c r="D123" s="47"/>
      <c r="E123" s="47"/>
      <c r="F123" s="8"/>
      <c r="G123" s="17" t="s">
        <v>7</v>
      </c>
      <c r="H123" s="17"/>
      <c r="I123" s="13"/>
      <c r="J123" s="13"/>
      <c r="K123" s="43"/>
      <c r="L123" s="43"/>
      <c r="M123" s="43"/>
      <c r="N123" s="43"/>
      <c r="O123" s="43"/>
      <c r="P123" s="43"/>
      <c r="Q123" s="43"/>
      <c r="R123" s="43"/>
      <c r="S123" s="43"/>
      <c r="T123" s="43"/>
      <c r="U123" s="43"/>
      <c r="V123" s="43"/>
      <c r="W123" s="43"/>
      <c r="X123" s="43"/>
      <c r="Y123" s="43"/>
      <c r="Z123" s="43"/>
      <c r="AA123" s="43"/>
      <c r="AB123" s="81"/>
      <c r="AC123" s="43"/>
      <c r="AD123" s="43"/>
      <c r="AE123" s="43"/>
      <c r="AF123" s="43"/>
      <c r="AG123" s="43"/>
      <c r="AH123" s="43"/>
      <c r="AI123" s="43"/>
      <c r="AJ123" s="43"/>
    </row>
    <row r="124" spans="2:37" ht="15" hidden="1" customHeight="1" x14ac:dyDescent="0.2">
      <c r="B124" s="47"/>
      <c r="C124" s="47"/>
      <c r="D124" s="47"/>
      <c r="E124" s="47"/>
      <c r="F124" s="8"/>
      <c r="G124" s="17" t="s">
        <v>8</v>
      </c>
      <c r="H124" s="17"/>
      <c r="I124" s="13"/>
      <c r="J124" s="13"/>
      <c r="K124" s="43"/>
      <c r="L124" s="43"/>
      <c r="M124" s="43"/>
      <c r="N124" s="43"/>
      <c r="O124" s="43"/>
      <c r="P124" s="43"/>
      <c r="Q124" s="43"/>
      <c r="R124" s="43"/>
      <c r="S124" s="43"/>
      <c r="T124" s="43"/>
      <c r="U124" s="43"/>
      <c r="V124" s="43"/>
      <c r="W124" s="43"/>
      <c r="X124" s="43"/>
      <c r="Y124" s="43"/>
      <c r="Z124" s="43"/>
      <c r="AA124" s="43"/>
      <c r="AB124" s="81"/>
      <c r="AC124" s="43"/>
      <c r="AD124" s="43"/>
      <c r="AE124" s="43"/>
      <c r="AF124" s="43"/>
      <c r="AG124" s="43"/>
      <c r="AH124" s="43"/>
      <c r="AI124" s="43"/>
      <c r="AJ124" s="43"/>
    </row>
    <row r="125" spans="2:37" ht="15" hidden="1" customHeight="1" x14ac:dyDescent="0.2">
      <c r="B125" s="47"/>
      <c r="C125" s="47"/>
      <c r="D125" s="47"/>
      <c r="E125" s="47"/>
      <c r="F125" s="8"/>
      <c r="G125" s="17" t="s">
        <v>9</v>
      </c>
      <c r="H125" s="17"/>
      <c r="I125" s="13"/>
      <c r="J125" s="13"/>
      <c r="K125" s="35">
        <f t="shared" ref="K125:AJ125" si="18">K$116*K121</f>
        <v>0</v>
      </c>
      <c r="L125" s="35">
        <f t="shared" si="18"/>
        <v>0</v>
      </c>
      <c r="M125" s="35">
        <f t="shared" si="18"/>
        <v>0</v>
      </c>
      <c r="N125" s="35">
        <f t="shared" si="18"/>
        <v>0</v>
      </c>
      <c r="O125" s="35">
        <f t="shared" si="18"/>
        <v>0</v>
      </c>
      <c r="P125" s="35">
        <f t="shared" si="18"/>
        <v>0</v>
      </c>
      <c r="Q125" s="35">
        <f t="shared" si="18"/>
        <v>0</v>
      </c>
      <c r="R125" s="35">
        <f t="shared" si="18"/>
        <v>0</v>
      </c>
      <c r="S125" s="35">
        <f t="shared" si="18"/>
        <v>0</v>
      </c>
      <c r="T125" s="35">
        <f t="shared" si="18"/>
        <v>0</v>
      </c>
      <c r="U125" s="35">
        <f t="shared" si="18"/>
        <v>0</v>
      </c>
      <c r="V125" s="35">
        <f t="shared" si="18"/>
        <v>0</v>
      </c>
      <c r="W125" s="35">
        <f t="shared" si="18"/>
        <v>0</v>
      </c>
      <c r="X125" s="35">
        <f t="shared" si="18"/>
        <v>0</v>
      </c>
      <c r="Y125" s="35">
        <f t="shared" si="18"/>
        <v>0</v>
      </c>
      <c r="Z125" s="35">
        <f t="shared" si="18"/>
        <v>0</v>
      </c>
      <c r="AA125" s="35">
        <f t="shared" si="18"/>
        <v>0</v>
      </c>
      <c r="AB125" s="80">
        <f t="shared" si="18"/>
        <v>0</v>
      </c>
      <c r="AC125" s="35">
        <f t="shared" si="18"/>
        <v>0</v>
      </c>
      <c r="AD125" s="35">
        <f t="shared" si="18"/>
        <v>0</v>
      </c>
      <c r="AE125" s="35">
        <f t="shared" si="18"/>
        <v>0</v>
      </c>
      <c r="AF125" s="35">
        <f t="shared" si="18"/>
        <v>0</v>
      </c>
      <c r="AG125" s="35">
        <f t="shared" si="18"/>
        <v>0</v>
      </c>
      <c r="AH125" s="35">
        <f t="shared" si="18"/>
        <v>0</v>
      </c>
      <c r="AI125" s="35">
        <f t="shared" si="18"/>
        <v>0</v>
      </c>
      <c r="AJ125" s="35">
        <f t="shared" si="18"/>
        <v>0</v>
      </c>
    </row>
    <row r="126" spans="2:37" ht="15" hidden="1" customHeight="1" x14ac:dyDescent="0.2">
      <c r="B126" s="47"/>
      <c r="C126" s="47"/>
      <c r="D126" s="47"/>
      <c r="E126" s="47"/>
      <c r="F126" s="8"/>
      <c r="G126" s="17"/>
      <c r="H126" s="17"/>
      <c r="I126" s="13"/>
      <c r="J126" s="13"/>
      <c r="K126" s="35"/>
      <c r="L126" s="35"/>
      <c r="M126" s="35"/>
      <c r="N126" s="35"/>
      <c r="O126" s="35"/>
      <c r="P126" s="35"/>
      <c r="Q126" s="35"/>
      <c r="R126" s="35"/>
      <c r="S126" s="35"/>
      <c r="T126" s="35"/>
      <c r="U126" s="35"/>
      <c r="V126" s="35"/>
      <c r="W126" s="35"/>
      <c r="X126" s="35"/>
      <c r="Y126" s="35"/>
      <c r="Z126" s="35"/>
      <c r="AA126" s="35"/>
      <c r="AB126" s="80"/>
      <c r="AC126" s="35"/>
      <c r="AD126" s="35"/>
      <c r="AE126" s="35"/>
      <c r="AF126" s="35"/>
      <c r="AG126" s="35"/>
      <c r="AH126" s="35"/>
      <c r="AI126" s="35"/>
      <c r="AJ126" s="35"/>
    </row>
    <row r="127" spans="2:37" ht="15" hidden="1" customHeight="1" x14ac:dyDescent="0.2">
      <c r="B127" s="47"/>
      <c r="C127" s="47"/>
      <c r="D127" s="47"/>
      <c r="E127" s="47"/>
      <c r="F127" s="8"/>
      <c r="G127" s="17" t="s">
        <v>10</v>
      </c>
      <c r="H127" s="17"/>
      <c r="I127" s="13"/>
      <c r="J127" s="13"/>
      <c r="K127" s="80">
        <f>IF($Q$24=0,IF(K70=$Q$19,$Q$18,0),IF(K$70=$Q$19,$Q$18*K$87,IF(OR(AND($Q$19=0,K$70=$Q$19),AND(K$70&gt;=$Q$19+$Q$24,INT((K$70-$Q$19)/($Q$24))=(K$70-$Q$19)/($Q$24))),$Q$23*K$87,0)))</f>
        <v>0</v>
      </c>
      <c r="L127" s="80">
        <f t="shared" ref="L127:AJ127" si="19">IF($Q$24=0,IF(L70=$Q$19,$Q$18,0),IF(L$70=$Q$19,$Q$18*L$87,IF(OR(AND($Q$19=0,L$70=$Q$19),AND(L$70&gt;=$Q$19+$Q$24,INT((L$70-$Q$19)/($Q$24))=(L$70-$Q$19)/($Q$24))),$Q$23*L$87,0)))</f>
        <v>0</v>
      </c>
      <c r="M127" s="80">
        <f t="shared" si="19"/>
        <v>0</v>
      </c>
      <c r="N127" s="80">
        <f t="shared" si="19"/>
        <v>0</v>
      </c>
      <c r="O127" s="80">
        <f t="shared" si="19"/>
        <v>0</v>
      </c>
      <c r="P127" s="80">
        <f t="shared" si="19"/>
        <v>0</v>
      </c>
      <c r="Q127" s="80">
        <f t="shared" si="19"/>
        <v>0</v>
      </c>
      <c r="R127" s="80">
        <f t="shared" si="19"/>
        <v>0</v>
      </c>
      <c r="S127" s="80">
        <f t="shared" si="19"/>
        <v>0</v>
      </c>
      <c r="T127" s="80">
        <f t="shared" si="19"/>
        <v>0</v>
      </c>
      <c r="U127" s="80">
        <f t="shared" si="19"/>
        <v>0</v>
      </c>
      <c r="V127" s="80">
        <f t="shared" si="19"/>
        <v>0</v>
      </c>
      <c r="W127" s="80">
        <f t="shared" si="19"/>
        <v>0</v>
      </c>
      <c r="X127" s="80">
        <f t="shared" si="19"/>
        <v>0</v>
      </c>
      <c r="Y127" s="80">
        <f t="shared" si="19"/>
        <v>0</v>
      </c>
      <c r="Z127" s="80">
        <f t="shared" si="19"/>
        <v>0</v>
      </c>
      <c r="AA127" s="80">
        <f t="shared" si="19"/>
        <v>0</v>
      </c>
      <c r="AB127" s="80">
        <f t="shared" si="19"/>
        <v>0</v>
      </c>
      <c r="AC127" s="80">
        <f t="shared" si="19"/>
        <v>0</v>
      </c>
      <c r="AD127" s="80">
        <f t="shared" si="19"/>
        <v>0</v>
      </c>
      <c r="AE127" s="80">
        <f t="shared" si="19"/>
        <v>0</v>
      </c>
      <c r="AF127" s="80">
        <f t="shared" si="19"/>
        <v>0</v>
      </c>
      <c r="AG127" s="80">
        <f t="shared" si="19"/>
        <v>0</v>
      </c>
      <c r="AH127" s="80">
        <f t="shared" si="19"/>
        <v>0</v>
      </c>
      <c r="AI127" s="80">
        <f t="shared" si="19"/>
        <v>0</v>
      </c>
      <c r="AJ127" s="80">
        <f t="shared" si="19"/>
        <v>0</v>
      </c>
    </row>
    <row r="128" spans="2:37" ht="15" hidden="1" customHeight="1" x14ac:dyDescent="0.2">
      <c r="B128" s="47"/>
      <c r="C128" s="47"/>
      <c r="D128" s="47"/>
      <c r="E128" s="47"/>
      <c r="F128" s="8"/>
      <c r="G128" s="17" t="s">
        <v>458</v>
      </c>
      <c r="H128" s="17"/>
      <c r="I128" s="13"/>
      <c r="J128" s="13"/>
      <c r="K128" s="35">
        <f>IF(K$70&lt;$Q$19,($K$21*K$87)-($K$22*K$87),($Q$21*K$87)-($Q$22*K$87))</f>
        <v>0</v>
      </c>
      <c r="L128" s="35">
        <f t="shared" ref="L128:AJ128" si="20">IF(L$70&lt;$Q$19,($K$21*L$87)-($K$22*L$87),($Q$21*L$87)-($Q$22*L$87))</f>
        <v>0</v>
      </c>
      <c r="M128" s="35">
        <f t="shared" si="20"/>
        <v>0</v>
      </c>
      <c r="N128" s="35">
        <f t="shared" si="20"/>
        <v>0</v>
      </c>
      <c r="O128" s="35">
        <f t="shared" si="20"/>
        <v>0</v>
      </c>
      <c r="P128" s="35">
        <f t="shared" si="20"/>
        <v>0</v>
      </c>
      <c r="Q128" s="35">
        <f t="shared" si="20"/>
        <v>0</v>
      </c>
      <c r="R128" s="35">
        <f t="shared" si="20"/>
        <v>0</v>
      </c>
      <c r="S128" s="35">
        <f t="shared" si="20"/>
        <v>0</v>
      </c>
      <c r="T128" s="35">
        <f t="shared" si="20"/>
        <v>0</v>
      </c>
      <c r="U128" s="35">
        <f t="shared" si="20"/>
        <v>0</v>
      </c>
      <c r="V128" s="35">
        <f t="shared" si="20"/>
        <v>0</v>
      </c>
      <c r="W128" s="35">
        <f t="shared" si="20"/>
        <v>0</v>
      </c>
      <c r="X128" s="35">
        <f t="shared" si="20"/>
        <v>0</v>
      </c>
      <c r="Y128" s="35">
        <f t="shared" si="20"/>
        <v>0</v>
      </c>
      <c r="Z128" s="35">
        <f t="shared" si="20"/>
        <v>0</v>
      </c>
      <c r="AA128" s="35">
        <f t="shared" si="20"/>
        <v>0</v>
      </c>
      <c r="AB128" s="35">
        <f t="shared" si="20"/>
        <v>0</v>
      </c>
      <c r="AC128" s="35">
        <f t="shared" si="20"/>
        <v>0</v>
      </c>
      <c r="AD128" s="35">
        <f t="shared" si="20"/>
        <v>0</v>
      </c>
      <c r="AE128" s="35">
        <f t="shared" si="20"/>
        <v>0</v>
      </c>
      <c r="AF128" s="35">
        <f t="shared" si="20"/>
        <v>0</v>
      </c>
      <c r="AG128" s="35">
        <f t="shared" si="20"/>
        <v>0</v>
      </c>
      <c r="AH128" s="35">
        <f t="shared" si="20"/>
        <v>0</v>
      </c>
      <c r="AI128" s="35">
        <f t="shared" si="20"/>
        <v>0</v>
      </c>
      <c r="AJ128" s="35">
        <f t="shared" si="20"/>
        <v>0</v>
      </c>
    </row>
    <row r="129" spans="2:36" ht="15" hidden="1" customHeight="1" x14ac:dyDescent="0.2">
      <c r="B129" s="47"/>
      <c r="C129" s="47"/>
      <c r="D129" s="47"/>
      <c r="E129" s="47"/>
      <c r="F129" s="8"/>
      <c r="G129" s="17" t="s">
        <v>12</v>
      </c>
      <c r="H129" s="17"/>
      <c r="I129" s="13"/>
      <c r="J129" s="13"/>
      <c r="K129" s="35">
        <f t="shared" ref="K129:AJ129" si="21">K$117*K121</f>
        <v>0</v>
      </c>
      <c r="L129" s="35">
        <f t="shared" si="21"/>
        <v>0</v>
      </c>
      <c r="M129" s="35">
        <f t="shared" si="21"/>
        <v>0</v>
      </c>
      <c r="N129" s="35">
        <f t="shared" si="21"/>
        <v>0</v>
      </c>
      <c r="O129" s="35">
        <f t="shared" si="21"/>
        <v>0</v>
      </c>
      <c r="P129" s="35">
        <f t="shared" si="21"/>
        <v>0</v>
      </c>
      <c r="Q129" s="35">
        <f t="shared" si="21"/>
        <v>0</v>
      </c>
      <c r="R129" s="35">
        <f t="shared" si="21"/>
        <v>0</v>
      </c>
      <c r="S129" s="35">
        <f t="shared" si="21"/>
        <v>0</v>
      </c>
      <c r="T129" s="35">
        <f t="shared" si="21"/>
        <v>0</v>
      </c>
      <c r="U129" s="35">
        <f t="shared" si="21"/>
        <v>0</v>
      </c>
      <c r="V129" s="35">
        <f t="shared" si="21"/>
        <v>0</v>
      </c>
      <c r="W129" s="35">
        <f t="shared" si="21"/>
        <v>0</v>
      </c>
      <c r="X129" s="35">
        <f t="shared" si="21"/>
        <v>0</v>
      </c>
      <c r="Y129" s="35">
        <f t="shared" si="21"/>
        <v>0</v>
      </c>
      <c r="Z129" s="35">
        <f t="shared" si="21"/>
        <v>0</v>
      </c>
      <c r="AA129" s="35">
        <f t="shared" si="21"/>
        <v>0</v>
      </c>
      <c r="AB129" s="80">
        <f t="shared" si="21"/>
        <v>0</v>
      </c>
      <c r="AC129" s="35">
        <f t="shared" si="21"/>
        <v>0</v>
      </c>
      <c r="AD129" s="35">
        <f t="shared" si="21"/>
        <v>0</v>
      </c>
      <c r="AE129" s="35">
        <f t="shared" si="21"/>
        <v>0</v>
      </c>
      <c r="AF129" s="35">
        <f t="shared" si="21"/>
        <v>0</v>
      </c>
      <c r="AG129" s="35">
        <f t="shared" si="21"/>
        <v>0</v>
      </c>
      <c r="AH129" s="35">
        <f t="shared" si="21"/>
        <v>0</v>
      </c>
      <c r="AI129" s="35">
        <f t="shared" si="21"/>
        <v>0</v>
      </c>
      <c r="AJ129" s="35">
        <f t="shared" si="21"/>
        <v>0</v>
      </c>
    </row>
    <row r="130" spans="2:36" ht="15" hidden="1" customHeight="1" x14ac:dyDescent="0.2">
      <c r="B130" s="47"/>
      <c r="C130" s="47"/>
      <c r="D130" s="47"/>
      <c r="E130" s="47"/>
      <c r="F130" s="8"/>
      <c r="G130" s="17" t="s">
        <v>13</v>
      </c>
      <c r="H130" s="17"/>
      <c r="I130" s="13"/>
      <c r="J130" s="13"/>
      <c r="K130" s="35">
        <f t="shared" ref="K130:AJ130" si="22">K88*K125</f>
        <v>0</v>
      </c>
      <c r="L130" s="35">
        <f t="shared" si="22"/>
        <v>0</v>
      </c>
      <c r="M130" s="35">
        <f t="shared" si="22"/>
        <v>0</v>
      </c>
      <c r="N130" s="35">
        <f t="shared" si="22"/>
        <v>0</v>
      </c>
      <c r="O130" s="35">
        <f t="shared" si="22"/>
        <v>0</v>
      </c>
      <c r="P130" s="35">
        <f t="shared" si="22"/>
        <v>0</v>
      </c>
      <c r="Q130" s="35">
        <f t="shared" si="22"/>
        <v>0</v>
      </c>
      <c r="R130" s="35">
        <f t="shared" si="22"/>
        <v>0</v>
      </c>
      <c r="S130" s="35">
        <f t="shared" si="22"/>
        <v>0</v>
      </c>
      <c r="T130" s="35">
        <f t="shared" si="22"/>
        <v>0</v>
      </c>
      <c r="U130" s="35">
        <f t="shared" si="22"/>
        <v>0</v>
      </c>
      <c r="V130" s="35">
        <f t="shared" si="22"/>
        <v>0</v>
      </c>
      <c r="W130" s="35">
        <f t="shared" si="22"/>
        <v>0</v>
      </c>
      <c r="X130" s="35">
        <f t="shared" si="22"/>
        <v>0</v>
      </c>
      <c r="Y130" s="35">
        <f t="shared" si="22"/>
        <v>0</v>
      </c>
      <c r="Z130" s="35">
        <f t="shared" si="22"/>
        <v>0</v>
      </c>
      <c r="AA130" s="35">
        <f t="shared" si="22"/>
        <v>0</v>
      </c>
      <c r="AB130" s="80">
        <f t="shared" si="22"/>
        <v>0</v>
      </c>
      <c r="AC130" s="35">
        <f t="shared" si="22"/>
        <v>0</v>
      </c>
      <c r="AD130" s="35">
        <f t="shared" si="22"/>
        <v>0</v>
      </c>
      <c r="AE130" s="35">
        <f t="shared" si="22"/>
        <v>0</v>
      </c>
      <c r="AF130" s="35">
        <f t="shared" si="22"/>
        <v>0</v>
      </c>
      <c r="AG130" s="35">
        <f t="shared" si="22"/>
        <v>0</v>
      </c>
      <c r="AH130" s="35">
        <f t="shared" si="22"/>
        <v>0</v>
      </c>
      <c r="AI130" s="35">
        <f t="shared" si="22"/>
        <v>0</v>
      </c>
      <c r="AJ130" s="35">
        <f t="shared" si="22"/>
        <v>0</v>
      </c>
    </row>
    <row r="131" spans="2:36" ht="15" hidden="1" customHeight="1" x14ac:dyDescent="0.2">
      <c r="B131" s="47"/>
      <c r="C131" s="47"/>
      <c r="D131" s="47"/>
      <c r="E131" s="47"/>
      <c r="F131" s="8"/>
      <c r="G131" s="17"/>
      <c r="H131" s="17"/>
      <c r="I131" s="13"/>
      <c r="J131" s="13"/>
      <c r="K131" s="35"/>
      <c r="L131" s="35"/>
      <c r="M131" s="35"/>
      <c r="N131" s="35"/>
      <c r="O131" s="35"/>
      <c r="P131" s="35"/>
      <c r="Q131" s="35"/>
      <c r="R131" s="35"/>
      <c r="S131" s="35"/>
      <c r="T131" s="35"/>
      <c r="U131" s="35"/>
      <c r="V131" s="35"/>
      <c r="W131" s="35"/>
      <c r="X131" s="35"/>
      <c r="Y131" s="35"/>
      <c r="Z131" s="35"/>
      <c r="AA131" s="35"/>
      <c r="AB131" s="80"/>
      <c r="AC131" s="35"/>
      <c r="AD131" s="35"/>
      <c r="AE131" s="35"/>
      <c r="AF131" s="35"/>
      <c r="AG131" s="35"/>
      <c r="AH131" s="35"/>
      <c r="AI131" s="35"/>
      <c r="AJ131" s="35"/>
    </row>
    <row r="132" spans="2:36" ht="15" hidden="1" customHeight="1" x14ac:dyDescent="0.2">
      <c r="B132" s="47"/>
      <c r="C132" s="47"/>
      <c r="D132" s="47"/>
      <c r="E132" s="47"/>
      <c r="F132" s="8"/>
      <c r="G132" s="17" t="s">
        <v>14</v>
      </c>
      <c r="H132" s="17"/>
      <c r="I132" s="13"/>
      <c r="J132" s="13"/>
      <c r="K132" s="35">
        <f>SUM(K127:K130)</f>
        <v>0</v>
      </c>
      <c r="L132" s="35">
        <f t="shared" ref="L132:AH132" si="23">SUM(L127:L130)</f>
        <v>0</v>
      </c>
      <c r="M132" s="35">
        <f t="shared" si="23"/>
        <v>0</v>
      </c>
      <c r="N132" s="35">
        <f t="shared" si="23"/>
        <v>0</v>
      </c>
      <c r="O132" s="35">
        <f t="shared" si="23"/>
        <v>0</v>
      </c>
      <c r="P132" s="35">
        <f t="shared" si="23"/>
        <v>0</v>
      </c>
      <c r="Q132" s="35">
        <f t="shared" si="23"/>
        <v>0</v>
      </c>
      <c r="R132" s="35">
        <f t="shared" si="23"/>
        <v>0</v>
      </c>
      <c r="S132" s="35">
        <f t="shared" si="23"/>
        <v>0</v>
      </c>
      <c r="T132" s="35">
        <f t="shared" si="23"/>
        <v>0</v>
      </c>
      <c r="U132" s="35">
        <f t="shared" si="23"/>
        <v>0</v>
      </c>
      <c r="V132" s="35">
        <f t="shared" si="23"/>
        <v>0</v>
      </c>
      <c r="W132" s="35">
        <f t="shared" si="23"/>
        <v>0</v>
      </c>
      <c r="X132" s="35">
        <f t="shared" si="23"/>
        <v>0</v>
      </c>
      <c r="Y132" s="35">
        <f t="shared" si="23"/>
        <v>0</v>
      </c>
      <c r="Z132" s="35">
        <f t="shared" si="23"/>
        <v>0</v>
      </c>
      <c r="AA132" s="35">
        <f t="shared" si="23"/>
        <v>0</v>
      </c>
      <c r="AB132" s="80">
        <f t="shared" si="23"/>
        <v>0</v>
      </c>
      <c r="AC132" s="35">
        <f t="shared" si="23"/>
        <v>0</v>
      </c>
      <c r="AD132" s="35">
        <f t="shared" si="23"/>
        <v>0</v>
      </c>
      <c r="AE132" s="35">
        <f t="shared" si="23"/>
        <v>0</v>
      </c>
      <c r="AF132" s="35">
        <f t="shared" si="23"/>
        <v>0</v>
      </c>
      <c r="AG132" s="35">
        <f t="shared" si="23"/>
        <v>0</v>
      </c>
      <c r="AH132" s="35">
        <f t="shared" si="23"/>
        <v>0</v>
      </c>
      <c r="AI132" s="35">
        <f>SUM(AI127:AI130)</f>
        <v>0</v>
      </c>
      <c r="AJ132" s="35">
        <f>SUM(AJ127:AJ130)</f>
        <v>0</v>
      </c>
    </row>
    <row r="133" spans="2:36" ht="15" hidden="1" customHeight="1" x14ac:dyDescent="0.2">
      <c r="B133" s="47"/>
      <c r="C133" s="47"/>
      <c r="D133" s="47"/>
      <c r="E133" s="47"/>
      <c r="F133" s="8"/>
      <c r="G133" s="17" t="s">
        <v>435</v>
      </c>
      <c r="H133" s="17"/>
      <c r="I133" s="13"/>
      <c r="J133" s="13"/>
      <c r="K133" s="35">
        <f>K132</f>
        <v>0</v>
      </c>
      <c r="L133" s="35">
        <f t="shared" ref="L133:AJ133" si="24">K133+L132</f>
        <v>0</v>
      </c>
      <c r="M133" s="35">
        <f t="shared" si="24"/>
        <v>0</v>
      </c>
      <c r="N133" s="35">
        <f t="shared" si="24"/>
        <v>0</v>
      </c>
      <c r="O133" s="35">
        <f t="shared" si="24"/>
        <v>0</v>
      </c>
      <c r="P133" s="35">
        <f t="shared" si="24"/>
        <v>0</v>
      </c>
      <c r="Q133" s="35">
        <f t="shared" si="24"/>
        <v>0</v>
      </c>
      <c r="R133" s="35">
        <f t="shared" si="24"/>
        <v>0</v>
      </c>
      <c r="S133" s="35">
        <f t="shared" si="24"/>
        <v>0</v>
      </c>
      <c r="T133" s="35">
        <f t="shared" si="24"/>
        <v>0</v>
      </c>
      <c r="U133" s="35">
        <f t="shared" si="24"/>
        <v>0</v>
      </c>
      <c r="V133" s="35">
        <f t="shared" si="24"/>
        <v>0</v>
      </c>
      <c r="W133" s="35">
        <f t="shared" si="24"/>
        <v>0</v>
      </c>
      <c r="X133" s="35">
        <f t="shared" si="24"/>
        <v>0</v>
      </c>
      <c r="Y133" s="35">
        <f t="shared" si="24"/>
        <v>0</v>
      </c>
      <c r="Z133" s="35">
        <f t="shared" si="24"/>
        <v>0</v>
      </c>
      <c r="AA133" s="35">
        <f t="shared" si="24"/>
        <v>0</v>
      </c>
      <c r="AB133" s="80">
        <f t="shared" si="24"/>
        <v>0</v>
      </c>
      <c r="AC133" s="35">
        <f t="shared" si="24"/>
        <v>0</v>
      </c>
      <c r="AD133" s="35">
        <f t="shared" si="24"/>
        <v>0</v>
      </c>
      <c r="AE133" s="35">
        <f t="shared" si="24"/>
        <v>0</v>
      </c>
      <c r="AF133" s="35">
        <f t="shared" si="24"/>
        <v>0</v>
      </c>
      <c r="AG133" s="35">
        <f t="shared" si="24"/>
        <v>0</v>
      </c>
      <c r="AH133" s="35">
        <f t="shared" si="24"/>
        <v>0</v>
      </c>
      <c r="AI133" s="35">
        <f t="shared" si="24"/>
        <v>0</v>
      </c>
      <c r="AJ133" s="35">
        <f t="shared" si="24"/>
        <v>0</v>
      </c>
    </row>
    <row r="134" spans="2:36" ht="15" hidden="1" customHeight="1" x14ac:dyDescent="0.2">
      <c r="B134" s="47"/>
      <c r="C134" s="47"/>
      <c r="D134" s="47"/>
      <c r="E134" s="47"/>
      <c r="F134" s="8"/>
      <c r="G134" s="17"/>
      <c r="H134" s="17"/>
      <c r="I134" s="13"/>
      <c r="J134" s="13"/>
      <c r="K134" s="17"/>
      <c r="L134" s="17"/>
      <c r="M134" s="17"/>
      <c r="N134" s="17"/>
      <c r="O134" s="17"/>
      <c r="P134" s="17"/>
      <c r="Q134" s="17"/>
      <c r="R134" s="17"/>
      <c r="S134" s="17"/>
      <c r="T134" s="17"/>
      <c r="U134" s="17"/>
      <c r="V134" s="17"/>
      <c r="W134" s="17"/>
      <c r="X134" s="17"/>
      <c r="Y134" s="17"/>
      <c r="Z134" s="17"/>
      <c r="AA134" s="17"/>
      <c r="AB134" s="82"/>
      <c r="AC134" s="17"/>
      <c r="AD134" s="17"/>
      <c r="AE134" s="17"/>
      <c r="AF134" s="17"/>
      <c r="AG134" s="17"/>
      <c r="AH134" s="17"/>
      <c r="AI134" s="17"/>
      <c r="AJ134" s="17"/>
    </row>
    <row r="135" spans="2:36" ht="15" hidden="1" customHeight="1" x14ac:dyDescent="0.2">
      <c r="B135" s="47"/>
      <c r="C135" s="47"/>
      <c r="D135" s="47"/>
      <c r="E135" s="47"/>
      <c r="F135" s="8"/>
      <c r="G135" s="17" t="s">
        <v>17</v>
      </c>
      <c r="H135" s="17"/>
      <c r="I135" s="13"/>
      <c r="J135" s="13"/>
      <c r="K135" s="35">
        <f>K132/(((Data!$P$186/100)+1)^K$70)</f>
        <v>0</v>
      </c>
      <c r="L135" s="35">
        <f>L132/(((Data!$P$186/100)+1)^L$70)</f>
        <v>0</v>
      </c>
      <c r="M135" s="35">
        <f>M132/(((Data!$P$186/100)+1)^M$70)</f>
        <v>0</v>
      </c>
      <c r="N135" s="35">
        <f>N132/(((Data!$P$186/100)+1)^N$70)</f>
        <v>0</v>
      </c>
      <c r="O135" s="35">
        <f>O132/(((Data!$P$186/100)+1)^O$70)</f>
        <v>0</v>
      </c>
      <c r="P135" s="35">
        <f>P132/(((Data!$P$186/100)+1)^P$70)</f>
        <v>0</v>
      </c>
      <c r="Q135" s="35">
        <f>Q132/(((Data!$P$186/100)+1)^Q$70)</f>
        <v>0</v>
      </c>
      <c r="R135" s="35">
        <f>R132/(((Data!$P$186/100)+1)^R$70)</f>
        <v>0</v>
      </c>
      <c r="S135" s="35">
        <f>S132/(((Data!$P$186/100)+1)^S$70)</f>
        <v>0</v>
      </c>
      <c r="T135" s="35">
        <f>T132/(((Data!$P$186/100)+1)^T$70)</f>
        <v>0</v>
      </c>
      <c r="U135" s="35">
        <f>U132/(((Data!$P$186/100)+1)^U$70)</f>
        <v>0</v>
      </c>
      <c r="V135" s="35">
        <f>V132/(((Data!$P$186/100)+1)^V$70)</f>
        <v>0</v>
      </c>
      <c r="W135" s="35">
        <f>W132/(((Data!$P$186/100)+1)^W$70)</f>
        <v>0</v>
      </c>
      <c r="X135" s="35">
        <f>X132/(((Data!$P$186/100)+1)^X$70)</f>
        <v>0</v>
      </c>
      <c r="Y135" s="35">
        <f>Y132/(((Data!$P$186/100)+1)^Y$70)</f>
        <v>0</v>
      </c>
      <c r="Z135" s="35">
        <f>Z132/(((Data!$P$186/100)+1)^Z$70)</f>
        <v>0</v>
      </c>
      <c r="AA135" s="35">
        <f>AA132/(((Data!$P$186/100)+1)^AA$70)</f>
        <v>0</v>
      </c>
      <c r="AB135" s="80">
        <f>AB132/(((Data!$P$186/100)+1)^AB$70)</f>
        <v>0</v>
      </c>
      <c r="AC135" s="35">
        <f>AC132/(((Data!$P$186/100)+1)^AC$70)</f>
        <v>0</v>
      </c>
      <c r="AD135" s="35">
        <f>AD132/(((Data!$P$186/100)+1)^AD$70)</f>
        <v>0</v>
      </c>
      <c r="AE135" s="35">
        <f>AE132/(((Data!$P$186/100)+1)^AE$70)</f>
        <v>0</v>
      </c>
      <c r="AF135" s="35">
        <f>AF132/(((Data!$P$186/100)+1)^AF$70)</f>
        <v>0</v>
      </c>
      <c r="AG135" s="35">
        <f>AG132/(((Data!$P$186/100)+1)^AG$70)</f>
        <v>0</v>
      </c>
      <c r="AH135" s="35">
        <f>AH132/(((Data!$P$186/100)+1)^AH$70)</f>
        <v>0</v>
      </c>
      <c r="AI135" s="35">
        <f>AI132/(((Data!$P$186/100)+1)^AI$70)</f>
        <v>0</v>
      </c>
      <c r="AJ135" s="35">
        <f>AJ132/(((Data!$P$186/100)+1)^AJ$70)</f>
        <v>0</v>
      </c>
    </row>
    <row r="136" spans="2:36" ht="15" hidden="1" customHeight="1" x14ac:dyDescent="0.2">
      <c r="B136" s="47"/>
      <c r="C136" s="47"/>
      <c r="D136" s="47"/>
      <c r="E136" s="47"/>
      <c r="F136" s="8"/>
      <c r="G136" s="15" t="s">
        <v>184</v>
      </c>
      <c r="H136" s="15"/>
      <c r="I136" s="13"/>
      <c r="J136" s="13"/>
      <c r="K136" s="36">
        <f>K135</f>
        <v>0</v>
      </c>
      <c r="L136" s="36">
        <f t="shared" ref="L136:AJ136" si="25">K136+L135</f>
        <v>0</v>
      </c>
      <c r="M136" s="36">
        <f t="shared" si="25"/>
        <v>0</v>
      </c>
      <c r="N136" s="36">
        <f t="shared" si="25"/>
        <v>0</v>
      </c>
      <c r="O136" s="36">
        <f t="shared" si="25"/>
        <v>0</v>
      </c>
      <c r="P136" s="36">
        <f t="shared" si="25"/>
        <v>0</v>
      </c>
      <c r="Q136" s="36">
        <f t="shared" si="25"/>
        <v>0</v>
      </c>
      <c r="R136" s="36">
        <f t="shared" si="25"/>
        <v>0</v>
      </c>
      <c r="S136" s="36">
        <f t="shared" si="25"/>
        <v>0</v>
      </c>
      <c r="T136" s="36">
        <f t="shared" si="25"/>
        <v>0</v>
      </c>
      <c r="U136" s="36">
        <f t="shared" si="25"/>
        <v>0</v>
      </c>
      <c r="V136" s="36">
        <f t="shared" si="25"/>
        <v>0</v>
      </c>
      <c r="W136" s="36">
        <f t="shared" si="25"/>
        <v>0</v>
      </c>
      <c r="X136" s="36">
        <f t="shared" si="25"/>
        <v>0</v>
      </c>
      <c r="Y136" s="36">
        <f t="shared" si="25"/>
        <v>0</v>
      </c>
      <c r="Z136" s="36">
        <f t="shared" si="25"/>
        <v>0</v>
      </c>
      <c r="AA136" s="36">
        <f t="shared" si="25"/>
        <v>0</v>
      </c>
      <c r="AB136" s="83">
        <f t="shared" si="25"/>
        <v>0</v>
      </c>
      <c r="AC136" s="36">
        <f t="shared" si="25"/>
        <v>0</v>
      </c>
      <c r="AD136" s="36">
        <f t="shared" si="25"/>
        <v>0</v>
      </c>
      <c r="AE136" s="36">
        <f t="shared" si="25"/>
        <v>0</v>
      </c>
      <c r="AF136" s="36">
        <f t="shared" si="25"/>
        <v>0</v>
      </c>
      <c r="AG136" s="36">
        <f t="shared" si="25"/>
        <v>0</v>
      </c>
      <c r="AH136" s="36">
        <f t="shared" si="25"/>
        <v>0</v>
      </c>
      <c r="AI136" s="36">
        <f t="shared" si="25"/>
        <v>0</v>
      </c>
      <c r="AJ136" s="36">
        <f t="shared" si="25"/>
        <v>0</v>
      </c>
    </row>
    <row r="137" spans="2:36" ht="15" hidden="1" customHeight="1" x14ac:dyDescent="0.2">
      <c r="B137" s="47"/>
      <c r="C137" s="47"/>
      <c r="D137" s="47"/>
      <c r="E137" s="47"/>
      <c r="F137" s="8"/>
      <c r="G137" s="64"/>
      <c r="H137" s="64"/>
      <c r="I137" s="8"/>
      <c r="J137" s="8"/>
      <c r="K137" s="99"/>
      <c r="L137" s="99"/>
      <c r="M137" s="99"/>
      <c r="N137" s="99"/>
      <c r="O137" s="99"/>
      <c r="P137" s="99"/>
      <c r="Q137" s="99"/>
      <c r="R137" s="99"/>
      <c r="S137" s="99"/>
      <c r="T137" s="99"/>
      <c r="U137" s="99"/>
      <c r="V137" s="99"/>
      <c r="W137" s="99"/>
      <c r="X137" s="99"/>
      <c r="Y137" s="99"/>
      <c r="Z137" s="99"/>
      <c r="AA137" s="99"/>
      <c r="AB137" s="100"/>
      <c r="AC137" s="99"/>
      <c r="AD137" s="99"/>
      <c r="AE137" s="99"/>
      <c r="AF137" s="99"/>
      <c r="AG137" s="99"/>
      <c r="AH137" s="99"/>
      <c r="AI137" s="99"/>
      <c r="AJ137" s="99"/>
    </row>
    <row r="138" spans="2:36" ht="15" hidden="1" customHeight="1" x14ac:dyDescent="0.2">
      <c r="B138" s="47"/>
      <c r="C138" s="47"/>
      <c r="D138" s="47"/>
      <c r="E138" s="47"/>
      <c r="F138" s="8"/>
      <c r="G138" s="906" t="s">
        <v>530</v>
      </c>
      <c r="H138" s="839"/>
      <c r="I138" s="839"/>
      <c r="J138" s="839"/>
      <c r="K138" s="917"/>
      <c r="L138" s="917"/>
      <c r="M138" s="917"/>
      <c r="N138" s="917"/>
      <c r="O138" s="917"/>
      <c r="P138" s="917"/>
      <c r="Q138" s="917"/>
      <c r="R138" s="917"/>
      <c r="S138" s="917"/>
      <c r="T138" s="917"/>
      <c r="U138" s="917"/>
      <c r="V138" s="917"/>
      <c r="W138" s="917"/>
      <c r="X138" s="917"/>
      <c r="Y138" s="917"/>
      <c r="Z138" s="917"/>
      <c r="AA138" s="917"/>
      <c r="AB138" s="918"/>
      <c r="AC138" s="917"/>
      <c r="AD138" s="917"/>
      <c r="AE138" s="917"/>
      <c r="AF138" s="917"/>
      <c r="AG138" s="917"/>
      <c r="AH138" s="917"/>
      <c r="AI138" s="917"/>
      <c r="AJ138" s="917"/>
    </row>
    <row r="139" spans="2:36" ht="15" hidden="1" customHeight="1" x14ac:dyDescent="0.2">
      <c r="B139" s="47"/>
      <c r="C139" s="47"/>
      <c r="D139" s="47"/>
      <c r="E139" s="47"/>
      <c r="F139" s="8"/>
      <c r="G139" s="839"/>
      <c r="H139" s="839"/>
      <c r="I139" s="839"/>
      <c r="J139" s="839"/>
      <c r="K139" s="917"/>
      <c r="L139" s="917"/>
      <c r="M139" s="917"/>
      <c r="N139" s="917"/>
      <c r="O139" s="917"/>
      <c r="P139" s="917"/>
      <c r="Q139" s="917"/>
      <c r="R139" s="917"/>
      <c r="S139" s="917"/>
      <c r="T139" s="917"/>
      <c r="U139" s="917"/>
      <c r="V139" s="917"/>
      <c r="W139" s="917"/>
      <c r="X139" s="917"/>
      <c r="Y139" s="917"/>
      <c r="Z139" s="917"/>
      <c r="AA139" s="917"/>
      <c r="AB139" s="918"/>
      <c r="AC139" s="917"/>
      <c r="AD139" s="917"/>
      <c r="AE139" s="917"/>
      <c r="AF139" s="917"/>
      <c r="AG139" s="917"/>
      <c r="AH139" s="917"/>
      <c r="AI139" s="917"/>
      <c r="AJ139" s="917"/>
    </row>
    <row r="140" spans="2:36" ht="15" hidden="1" customHeight="1" x14ac:dyDescent="0.2">
      <c r="B140" s="47"/>
      <c r="C140" s="47"/>
      <c r="D140" s="47"/>
      <c r="E140" s="47"/>
      <c r="F140" s="8"/>
      <c r="G140" s="839" t="s">
        <v>478</v>
      </c>
      <c r="H140" s="864"/>
      <c r="I140" s="864"/>
      <c r="J140" s="864"/>
      <c r="K140" s="919">
        <f>IF(K$70&lt;$Q$37,VLOOKUP($I$15,$G$75:$AJ$79,K$70+5,FALSE),VLOOKUP($O$33,$G$75:$AJ$79,K$70+5,FALSE))</f>
        <v>0.19338</v>
      </c>
      <c r="L140" s="919">
        <f t="shared" ref="L140:AJ140" si="26">IF(L$70&lt;$Q$37,VLOOKUP($I$15,$G$75:$AJ$79,L$70+5,FALSE),VLOOKUP($O$33,$G$75:$AJ$79,L$70+5,FALSE))</f>
        <v>0.18757859999999998</v>
      </c>
      <c r="M140" s="919">
        <f t="shared" si="26"/>
        <v>0.18195124199999999</v>
      </c>
      <c r="N140" s="919">
        <f t="shared" si="26"/>
        <v>0.17649270473999998</v>
      </c>
      <c r="O140" s="919">
        <f t="shared" si="26"/>
        <v>0.17119792359779998</v>
      </c>
      <c r="P140" s="919">
        <f t="shared" si="26"/>
        <v>0.16606198588986598</v>
      </c>
      <c r="Q140" s="919">
        <f t="shared" si="26"/>
        <v>0.16108012631317001</v>
      </c>
      <c r="R140" s="919">
        <f t="shared" si="26"/>
        <v>0.15624772252377489</v>
      </c>
      <c r="S140" s="919">
        <f t="shared" si="26"/>
        <v>0.15156029084806164</v>
      </c>
      <c r="T140" s="919">
        <f t="shared" si="26"/>
        <v>0.14701348212261978</v>
      </c>
      <c r="U140" s="919">
        <f t="shared" si="26"/>
        <v>0.14260307765894117</v>
      </c>
      <c r="V140" s="919">
        <f t="shared" si="26"/>
        <v>0.13832498532917292</v>
      </c>
      <c r="W140" s="919">
        <f t="shared" si="26"/>
        <v>0.13417523576929774</v>
      </c>
      <c r="X140" s="919">
        <f t="shared" si="26"/>
        <v>0.1301499786962188</v>
      </c>
      <c r="Y140" s="919">
        <f t="shared" si="26"/>
        <v>0.12624547933533223</v>
      </c>
      <c r="Z140" s="919">
        <f t="shared" si="26"/>
        <v>0.12245811495527226</v>
      </c>
      <c r="AA140" s="919">
        <f t="shared" si="26"/>
        <v>0.11878437150661408</v>
      </c>
      <c r="AB140" s="919">
        <f t="shared" si="26"/>
        <v>0.11522084036141565</v>
      </c>
      <c r="AC140" s="919">
        <f t="shared" si="26"/>
        <v>0.11176421515057318</v>
      </c>
      <c r="AD140" s="919">
        <f t="shared" si="26"/>
        <v>0.10841128869605599</v>
      </c>
      <c r="AE140" s="919">
        <f t="shared" si="26"/>
        <v>0.10515895003517431</v>
      </c>
      <c r="AF140" s="919">
        <f t="shared" si="26"/>
        <v>0.10200418153411908</v>
      </c>
      <c r="AG140" s="919">
        <f t="shared" si="26"/>
        <v>9.8944056088095506E-2</v>
      </c>
      <c r="AH140" s="919">
        <f t="shared" si="26"/>
        <v>9.5975734405452637E-2</v>
      </c>
      <c r="AI140" s="919">
        <f t="shared" si="26"/>
        <v>9.3096462373289057E-2</v>
      </c>
      <c r="AJ140" s="919">
        <f t="shared" si="26"/>
        <v>9.0303568502090384E-2</v>
      </c>
    </row>
    <row r="141" spans="2:36" ht="15" hidden="1" customHeight="1" x14ac:dyDescent="0.2">
      <c r="B141" s="47"/>
      <c r="C141" s="47"/>
      <c r="D141" s="47"/>
      <c r="E141" s="47"/>
      <c r="F141" s="8"/>
      <c r="G141" s="839" t="s">
        <v>479</v>
      </c>
      <c r="H141" s="864"/>
      <c r="I141" s="864"/>
      <c r="J141" s="864"/>
      <c r="K141" s="919">
        <f>IF(K$70&lt;$Q$37,VLOOKUP($I$15,$G$81:$AJ$85,K$70+5,FALSE),VLOOKUP($O$33,$G$81:$AJ$85,K$70+5,FALSE))</f>
        <v>0.31</v>
      </c>
      <c r="L141" s="919">
        <f t="shared" ref="L141:AJ141" si="27">IF(L$70&lt;$Q$37,VLOOKUP($I$15,$G$81:$AJ$85,L$70+5,FALSE),VLOOKUP($O$33,$G$81:$AJ$85,L$70+5,FALSE))</f>
        <v>0.34100000000000003</v>
      </c>
      <c r="M141" s="919">
        <f t="shared" si="27"/>
        <v>0.37510000000000004</v>
      </c>
      <c r="N141" s="919">
        <f t="shared" si="27"/>
        <v>0.41261000000000009</v>
      </c>
      <c r="O141" s="919">
        <f t="shared" si="27"/>
        <v>0.45387100000000014</v>
      </c>
      <c r="P141" s="919">
        <f t="shared" si="27"/>
        <v>0.4992581000000002</v>
      </c>
      <c r="Q141" s="919">
        <f t="shared" si="27"/>
        <v>0.54918391000000022</v>
      </c>
      <c r="R141" s="919">
        <f t="shared" si="27"/>
        <v>0.60410230100000029</v>
      </c>
      <c r="S141" s="919">
        <f t="shared" si="27"/>
        <v>0.66451253110000041</v>
      </c>
      <c r="T141" s="919">
        <f t="shared" si="27"/>
        <v>0.73096378421000052</v>
      </c>
      <c r="U141" s="919">
        <f t="shared" si="27"/>
        <v>0.80406016263100066</v>
      </c>
      <c r="V141" s="919">
        <f t="shared" si="27"/>
        <v>0.88446617889410084</v>
      </c>
      <c r="W141" s="919">
        <f t="shared" si="27"/>
        <v>0.97291279678351106</v>
      </c>
      <c r="X141" s="919">
        <f t="shared" si="27"/>
        <v>1.0702040764618623</v>
      </c>
      <c r="Y141" s="919">
        <f t="shared" si="27"/>
        <v>1.1772244841080486</v>
      </c>
      <c r="Z141" s="919">
        <f t="shared" si="27"/>
        <v>1.2949469325188536</v>
      </c>
      <c r="AA141" s="919">
        <f t="shared" si="27"/>
        <v>1.4244416257707391</v>
      </c>
      <c r="AB141" s="919">
        <f t="shared" si="27"/>
        <v>1.5668857883478131</v>
      </c>
      <c r="AC141" s="919">
        <f t="shared" si="27"/>
        <v>1.7235743671825945</v>
      </c>
      <c r="AD141" s="919">
        <f t="shared" si="27"/>
        <v>1.8959318039008541</v>
      </c>
      <c r="AE141" s="919">
        <f t="shared" si="27"/>
        <v>2.0855249842909398</v>
      </c>
      <c r="AF141" s="919">
        <f t="shared" si="27"/>
        <v>2.2940774827200339</v>
      </c>
      <c r="AG141" s="919">
        <f t="shared" si="27"/>
        <v>2.5234852309920375</v>
      </c>
      <c r="AH141" s="919">
        <f t="shared" si="27"/>
        <v>2.7758337540912414</v>
      </c>
      <c r="AI141" s="919">
        <f t="shared" si="27"/>
        <v>3.053417129500366</v>
      </c>
      <c r="AJ141" s="919">
        <f t="shared" si="27"/>
        <v>3.3587588424504031</v>
      </c>
    </row>
    <row r="142" spans="2:36" ht="15" hidden="1" customHeight="1" x14ac:dyDescent="0.2">
      <c r="B142" s="47"/>
      <c r="C142" s="47"/>
      <c r="D142" s="47"/>
      <c r="E142" s="47"/>
      <c r="F142" s="8"/>
      <c r="G142" s="839"/>
      <c r="H142" s="839"/>
      <c r="I142" s="839"/>
      <c r="J142" s="839"/>
      <c r="K142" s="917"/>
      <c r="L142" s="917"/>
      <c r="M142" s="917"/>
      <c r="N142" s="917"/>
      <c r="O142" s="917"/>
      <c r="P142" s="917"/>
      <c r="Q142" s="917"/>
      <c r="R142" s="917"/>
      <c r="S142" s="917"/>
      <c r="T142" s="917"/>
      <c r="U142" s="917"/>
      <c r="V142" s="917"/>
      <c r="W142" s="917"/>
      <c r="X142" s="917"/>
      <c r="Y142" s="917"/>
      <c r="Z142" s="917"/>
      <c r="AA142" s="917"/>
      <c r="AB142" s="918"/>
      <c r="AC142" s="917"/>
      <c r="AD142" s="917"/>
      <c r="AE142" s="917"/>
      <c r="AF142" s="917"/>
      <c r="AG142" s="917"/>
      <c r="AH142" s="917"/>
      <c r="AI142" s="917"/>
      <c r="AJ142" s="917"/>
    </row>
    <row r="143" spans="2:36" ht="15" hidden="1" customHeight="1" x14ac:dyDescent="0.2">
      <c r="B143" s="47"/>
      <c r="C143" s="47"/>
      <c r="D143" s="47"/>
      <c r="E143" s="47"/>
      <c r="F143" s="8"/>
      <c r="G143" s="839" t="s">
        <v>4</v>
      </c>
      <c r="H143" s="839"/>
      <c r="I143" s="839"/>
      <c r="J143" s="839"/>
      <c r="K143" s="920"/>
      <c r="L143" s="920"/>
      <c r="M143" s="920"/>
      <c r="N143" s="920"/>
      <c r="O143" s="920"/>
      <c r="P143" s="920"/>
      <c r="Q143" s="920"/>
      <c r="R143" s="920"/>
      <c r="S143" s="920"/>
      <c r="T143" s="920"/>
      <c r="U143" s="920"/>
      <c r="V143" s="920"/>
      <c r="W143" s="920"/>
      <c r="X143" s="920"/>
      <c r="Y143" s="920"/>
      <c r="Z143" s="920"/>
      <c r="AA143" s="920"/>
      <c r="AB143" s="921"/>
      <c r="AC143" s="920"/>
      <c r="AD143" s="920"/>
      <c r="AE143" s="920"/>
      <c r="AF143" s="920"/>
      <c r="AG143" s="920"/>
      <c r="AH143" s="920"/>
      <c r="AI143" s="920"/>
      <c r="AJ143" s="920"/>
    </row>
    <row r="144" spans="2:36" ht="15" hidden="1" customHeight="1" x14ac:dyDescent="0.2">
      <c r="B144" s="47"/>
      <c r="C144" s="47"/>
      <c r="D144" s="47"/>
      <c r="E144" s="47"/>
      <c r="F144" s="8"/>
      <c r="G144" s="839" t="s">
        <v>5</v>
      </c>
      <c r="H144" s="839"/>
      <c r="I144" s="839"/>
      <c r="J144" s="839"/>
      <c r="K144" s="920"/>
      <c r="L144" s="920"/>
      <c r="M144" s="920"/>
      <c r="N144" s="920"/>
      <c r="O144" s="920"/>
      <c r="P144" s="920"/>
      <c r="Q144" s="920"/>
      <c r="R144" s="920"/>
      <c r="S144" s="920"/>
      <c r="T144" s="920"/>
      <c r="U144" s="920"/>
      <c r="V144" s="920"/>
      <c r="W144" s="920"/>
      <c r="X144" s="920"/>
      <c r="Y144" s="920"/>
      <c r="Z144" s="920"/>
      <c r="AA144" s="920"/>
      <c r="AB144" s="921"/>
      <c r="AC144" s="920"/>
      <c r="AD144" s="920"/>
      <c r="AE144" s="920"/>
      <c r="AF144" s="920"/>
      <c r="AG144" s="920"/>
      <c r="AH144" s="920"/>
      <c r="AI144" s="920"/>
      <c r="AJ144" s="920"/>
    </row>
    <row r="145" spans="2:36" ht="15" hidden="1" customHeight="1" x14ac:dyDescent="0.2">
      <c r="B145" s="47"/>
      <c r="C145" s="47"/>
      <c r="D145" s="47"/>
      <c r="E145" s="47"/>
      <c r="F145" s="8"/>
      <c r="G145" s="839" t="s">
        <v>6</v>
      </c>
      <c r="H145" s="839"/>
      <c r="I145" s="839"/>
      <c r="J145" s="839"/>
      <c r="K145" s="917">
        <f>IF(K$70&lt;$Q$37,$J$11,$Q$30)</f>
        <v>0</v>
      </c>
      <c r="L145" s="917">
        <f t="shared" ref="L145:AJ145" si="28">IF(L$70&lt;$Q$37,$J$11,$Q$30)</f>
        <v>0</v>
      </c>
      <c r="M145" s="917">
        <f t="shared" si="28"/>
        <v>0</v>
      </c>
      <c r="N145" s="917">
        <f t="shared" si="28"/>
        <v>0</v>
      </c>
      <c r="O145" s="917">
        <f t="shared" si="28"/>
        <v>0</v>
      </c>
      <c r="P145" s="917">
        <f t="shared" si="28"/>
        <v>0</v>
      </c>
      <c r="Q145" s="917">
        <f t="shared" si="28"/>
        <v>0</v>
      </c>
      <c r="R145" s="917">
        <f t="shared" si="28"/>
        <v>0</v>
      </c>
      <c r="S145" s="917">
        <f t="shared" si="28"/>
        <v>0</v>
      </c>
      <c r="T145" s="917">
        <f t="shared" si="28"/>
        <v>0</v>
      </c>
      <c r="U145" s="917">
        <f t="shared" si="28"/>
        <v>0</v>
      </c>
      <c r="V145" s="917">
        <f t="shared" si="28"/>
        <v>0</v>
      </c>
      <c r="W145" s="917">
        <f t="shared" si="28"/>
        <v>0</v>
      </c>
      <c r="X145" s="917">
        <f t="shared" si="28"/>
        <v>0</v>
      </c>
      <c r="Y145" s="917">
        <f t="shared" si="28"/>
        <v>0</v>
      </c>
      <c r="Z145" s="917">
        <f t="shared" si="28"/>
        <v>0</v>
      </c>
      <c r="AA145" s="917">
        <f t="shared" si="28"/>
        <v>0</v>
      </c>
      <c r="AB145" s="917">
        <f t="shared" si="28"/>
        <v>0</v>
      </c>
      <c r="AC145" s="917">
        <f t="shared" si="28"/>
        <v>0</v>
      </c>
      <c r="AD145" s="917">
        <f t="shared" si="28"/>
        <v>0</v>
      </c>
      <c r="AE145" s="917">
        <f t="shared" si="28"/>
        <v>0</v>
      </c>
      <c r="AF145" s="917">
        <f t="shared" si="28"/>
        <v>0</v>
      </c>
      <c r="AG145" s="917">
        <f t="shared" si="28"/>
        <v>0</v>
      </c>
      <c r="AH145" s="917">
        <f t="shared" si="28"/>
        <v>0</v>
      </c>
      <c r="AI145" s="917">
        <f t="shared" si="28"/>
        <v>0</v>
      </c>
      <c r="AJ145" s="917">
        <f t="shared" si="28"/>
        <v>0</v>
      </c>
    </row>
    <row r="146" spans="2:36" ht="15" hidden="1" customHeight="1" x14ac:dyDescent="0.2">
      <c r="B146" s="47"/>
      <c r="C146" s="47"/>
      <c r="D146" s="47"/>
      <c r="E146" s="47"/>
      <c r="F146" s="8"/>
      <c r="G146" s="839"/>
      <c r="H146" s="839"/>
      <c r="I146" s="839"/>
      <c r="J146" s="839"/>
      <c r="K146" s="917"/>
      <c r="L146" s="917"/>
      <c r="M146" s="917"/>
      <c r="N146" s="917"/>
      <c r="O146" s="917"/>
      <c r="P146" s="917"/>
      <c r="Q146" s="917"/>
      <c r="R146" s="917"/>
      <c r="S146" s="917"/>
      <c r="T146" s="917"/>
      <c r="U146" s="917"/>
      <c r="V146" s="917"/>
      <c r="W146" s="917"/>
      <c r="X146" s="917"/>
      <c r="Y146" s="917"/>
      <c r="Z146" s="917"/>
      <c r="AA146" s="917"/>
      <c r="AB146" s="918"/>
      <c r="AC146" s="917"/>
      <c r="AD146" s="917"/>
      <c r="AE146" s="917"/>
      <c r="AF146" s="917"/>
      <c r="AG146" s="917"/>
      <c r="AH146" s="917"/>
      <c r="AI146" s="917"/>
      <c r="AJ146" s="917"/>
    </row>
    <row r="147" spans="2:36" ht="15" hidden="1" customHeight="1" x14ac:dyDescent="0.2">
      <c r="B147" s="47"/>
      <c r="C147" s="47"/>
      <c r="D147" s="47"/>
      <c r="E147" s="47"/>
      <c r="F147" s="8"/>
      <c r="G147" s="839" t="s">
        <v>7</v>
      </c>
      <c r="H147" s="839"/>
      <c r="I147" s="839"/>
      <c r="J147" s="839"/>
      <c r="K147" s="920"/>
      <c r="L147" s="920"/>
      <c r="M147" s="920"/>
      <c r="N147" s="920"/>
      <c r="O147" s="920"/>
      <c r="P147" s="920"/>
      <c r="Q147" s="920"/>
      <c r="R147" s="920"/>
      <c r="S147" s="920"/>
      <c r="T147" s="920"/>
      <c r="U147" s="920"/>
      <c r="V147" s="920"/>
      <c r="W147" s="920"/>
      <c r="X147" s="920"/>
      <c r="Y147" s="920"/>
      <c r="Z147" s="920"/>
      <c r="AA147" s="920"/>
      <c r="AB147" s="921"/>
      <c r="AC147" s="920"/>
      <c r="AD147" s="920"/>
      <c r="AE147" s="920"/>
      <c r="AF147" s="920"/>
      <c r="AG147" s="920"/>
      <c r="AH147" s="920"/>
      <c r="AI147" s="920"/>
      <c r="AJ147" s="920"/>
    </row>
    <row r="148" spans="2:36" ht="15" hidden="1" customHeight="1" x14ac:dyDescent="0.2">
      <c r="B148" s="47"/>
      <c r="C148" s="47"/>
      <c r="D148" s="47"/>
      <c r="E148" s="47"/>
      <c r="F148" s="8"/>
      <c r="G148" s="839" t="s">
        <v>8</v>
      </c>
      <c r="H148" s="839"/>
      <c r="I148" s="839"/>
      <c r="J148" s="839"/>
      <c r="K148" s="920"/>
      <c r="L148" s="920"/>
      <c r="M148" s="920"/>
      <c r="N148" s="920"/>
      <c r="O148" s="920"/>
      <c r="P148" s="920"/>
      <c r="Q148" s="920"/>
      <c r="R148" s="920"/>
      <c r="S148" s="920"/>
      <c r="T148" s="920"/>
      <c r="U148" s="920"/>
      <c r="V148" s="920"/>
      <c r="W148" s="920"/>
      <c r="X148" s="920"/>
      <c r="Y148" s="920"/>
      <c r="Z148" s="920"/>
      <c r="AA148" s="920"/>
      <c r="AB148" s="921"/>
      <c r="AC148" s="920"/>
      <c r="AD148" s="920"/>
      <c r="AE148" s="920"/>
      <c r="AF148" s="920"/>
      <c r="AG148" s="920"/>
      <c r="AH148" s="920"/>
      <c r="AI148" s="920"/>
      <c r="AJ148" s="920"/>
    </row>
    <row r="149" spans="2:36" ht="15" hidden="1" customHeight="1" x14ac:dyDescent="0.2">
      <c r="B149" s="47"/>
      <c r="C149" s="47"/>
      <c r="D149" s="47"/>
      <c r="E149" s="47"/>
      <c r="F149" s="8"/>
      <c r="G149" s="839" t="s">
        <v>9</v>
      </c>
      <c r="H149" s="839"/>
      <c r="I149" s="839"/>
      <c r="J149" s="839"/>
      <c r="K149" s="917">
        <f>K$140*K145</f>
        <v>0</v>
      </c>
      <c r="L149" s="917">
        <f t="shared" ref="L149:AJ149" si="29">L$140*L145</f>
        <v>0</v>
      </c>
      <c r="M149" s="917">
        <f t="shared" si="29"/>
        <v>0</v>
      </c>
      <c r="N149" s="917">
        <f t="shared" si="29"/>
        <v>0</v>
      </c>
      <c r="O149" s="917">
        <f t="shared" si="29"/>
        <v>0</v>
      </c>
      <c r="P149" s="917">
        <f t="shared" si="29"/>
        <v>0</v>
      </c>
      <c r="Q149" s="917">
        <f t="shared" si="29"/>
        <v>0</v>
      </c>
      <c r="R149" s="917">
        <f t="shared" si="29"/>
        <v>0</v>
      </c>
      <c r="S149" s="917">
        <f t="shared" si="29"/>
        <v>0</v>
      </c>
      <c r="T149" s="917">
        <f t="shared" si="29"/>
        <v>0</v>
      </c>
      <c r="U149" s="917">
        <f t="shared" si="29"/>
        <v>0</v>
      </c>
      <c r="V149" s="917">
        <f t="shared" si="29"/>
        <v>0</v>
      </c>
      <c r="W149" s="917">
        <f t="shared" si="29"/>
        <v>0</v>
      </c>
      <c r="X149" s="917">
        <f t="shared" si="29"/>
        <v>0</v>
      </c>
      <c r="Y149" s="917">
        <f t="shared" si="29"/>
        <v>0</v>
      </c>
      <c r="Z149" s="917">
        <f t="shared" si="29"/>
        <v>0</v>
      </c>
      <c r="AA149" s="917">
        <f t="shared" si="29"/>
        <v>0</v>
      </c>
      <c r="AB149" s="917">
        <f t="shared" si="29"/>
        <v>0</v>
      </c>
      <c r="AC149" s="917">
        <f t="shared" si="29"/>
        <v>0</v>
      </c>
      <c r="AD149" s="917">
        <f t="shared" si="29"/>
        <v>0</v>
      </c>
      <c r="AE149" s="917">
        <f t="shared" si="29"/>
        <v>0</v>
      </c>
      <c r="AF149" s="917">
        <f t="shared" si="29"/>
        <v>0</v>
      </c>
      <c r="AG149" s="917">
        <f t="shared" si="29"/>
        <v>0</v>
      </c>
      <c r="AH149" s="917">
        <f t="shared" si="29"/>
        <v>0</v>
      </c>
      <c r="AI149" s="917">
        <f t="shared" si="29"/>
        <v>0</v>
      </c>
      <c r="AJ149" s="917">
        <f t="shared" si="29"/>
        <v>0</v>
      </c>
    </row>
    <row r="150" spans="2:36" ht="15" hidden="1" customHeight="1" x14ac:dyDescent="0.2">
      <c r="B150" s="47"/>
      <c r="C150" s="47"/>
      <c r="D150" s="47"/>
      <c r="E150" s="47"/>
      <c r="F150" s="8"/>
      <c r="G150" s="839"/>
      <c r="H150" s="839"/>
      <c r="I150" s="839"/>
      <c r="J150" s="839"/>
      <c r="K150" s="917"/>
      <c r="L150" s="917"/>
      <c r="M150" s="917"/>
      <c r="N150" s="917"/>
      <c r="O150" s="917"/>
      <c r="P150" s="917"/>
      <c r="Q150" s="917"/>
      <c r="R150" s="917"/>
      <c r="S150" s="917"/>
      <c r="T150" s="917"/>
      <c r="U150" s="917"/>
      <c r="V150" s="917"/>
      <c r="W150" s="917"/>
      <c r="X150" s="917"/>
      <c r="Y150" s="917"/>
      <c r="Z150" s="917"/>
      <c r="AA150" s="917"/>
      <c r="AB150" s="918"/>
      <c r="AC150" s="917"/>
      <c r="AD150" s="917"/>
      <c r="AE150" s="917"/>
      <c r="AF150" s="917"/>
      <c r="AG150" s="917"/>
      <c r="AH150" s="917"/>
      <c r="AI150" s="917"/>
      <c r="AJ150" s="917"/>
    </row>
    <row r="151" spans="2:36" ht="15" hidden="1" customHeight="1" x14ac:dyDescent="0.2">
      <c r="B151" s="47"/>
      <c r="C151" s="47"/>
      <c r="D151" s="47"/>
      <c r="E151" s="47"/>
      <c r="F151" s="8"/>
      <c r="G151" s="839" t="s">
        <v>10</v>
      </c>
      <c r="H151" s="839"/>
      <c r="I151" s="839"/>
      <c r="J151" s="839"/>
      <c r="K151" s="918">
        <f>IF($Q$42=0,IF(K70=$Q$37,$Q$36,0),IF(K$70=$Q$37,$Q$36*K$87,IF(OR(AND($Q$37=0,K$70=$Q$37),AND(K$70&gt;=$Q$37+$Q$42,INT((K$70-$Q$37)/($Q$42))=(K$70-$Q$37)/($Q$42))),$Q$41*K$87,0)))</f>
        <v>0</v>
      </c>
      <c r="L151" s="918">
        <f t="shared" ref="L151:AJ151" si="30">IF($Q$42=0,IF(L70=$Q$37,$Q$36,0),IF(L$70=$Q$37,$Q$36*L$87,IF(OR(AND($Q$37=0,L$70=$Q$37),AND(L$70&gt;=$Q$37+$Q$42,INT((L$70-$Q$37)/($Q$42))=(L$70-$Q$37)/($Q$42))),$Q$41*L$87,0)))</f>
        <v>0</v>
      </c>
      <c r="M151" s="918">
        <f t="shared" si="30"/>
        <v>0</v>
      </c>
      <c r="N151" s="918">
        <f t="shared" si="30"/>
        <v>0</v>
      </c>
      <c r="O151" s="918">
        <f t="shared" si="30"/>
        <v>0</v>
      </c>
      <c r="P151" s="918">
        <f t="shared" si="30"/>
        <v>0</v>
      </c>
      <c r="Q151" s="918">
        <f t="shared" si="30"/>
        <v>0</v>
      </c>
      <c r="R151" s="918">
        <f t="shared" si="30"/>
        <v>0</v>
      </c>
      <c r="S151" s="918">
        <f t="shared" si="30"/>
        <v>0</v>
      </c>
      <c r="T151" s="918">
        <f t="shared" si="30"/>
        <v>0</v>
      </c>
      <c r="U151" s="918">
        <f t="shared" si="30"/>
        <v>0</v>
      </c>
      <c r="V151" s="918">
        <f t="shared" si="30"/>
        <v>0</v>
      </c>
      <c r="W151" s="918">
        <f t="shared" si="30"/>
        <v>0</v>
      </c>
      <c r="X151" s="918">
        <f t="shared" si="30"/>
        <v>0</v>
      </c>
      <c r="Y151" s="918">
        <f t="shared" si="30"/>
        <v>0</v>
      </c>
      <c r="Z151" s="918">
        <f t="shared" si="30"/>
        <v>0</v>
      </c>
      <c r="AA151" s="918">
        <f t="shared" si="30"/>
        <v>0</v>
      </c>
      <c r="AB151" s="918">
        <f t="shared" si="30"/>
        <v>0</v>
      </c>
      <c r="AC151" s="918">
        <f t="shared" si="30"/>
        <v>0</v>
      </c>
      <c r="AD151" s="918">
        <f t="shared" si="30"/>
        <v>0</v>
      </c>
      <c r="AE151" s="918">
        <f t="shared" si="30"/>
        <v>0</v>
      </c>
      <c r="AF151" s="918">
        <f t="shared" si="30"/>
        <v>0</v>
      </c>
      <c r="AG151" s="918">
        <f t="shared" si="30"/>
        <v>0</v>
      </c>
      <c r="AH151" s="918">
        <f t="shared" si="30"/>
        <v>0</v>
      </c>
      <c r="AI151" s="918">
        <f t="shared" si="30"/>
        <v>0</v>
      </c>
      <c r="AJ151" s="918">
        <f t="shared" si="30"/>
        <v>0</v>
      </c>
    </row>
    <row r="152" spans="2:36" ht="15" hidden="1" customHeight="1" x14ac:dyDescent="0.2">
      <c r="B152" s="47"/>
      <c r="C152" s="47"/>
      <c r="D152" s="47"/>
      <c r="E152" s="47"/>
      <c r="F152" s="8"/>
      <c r="G152" s="839" t="s">
        <v>458</v>
      </c>
      <c r="H152" s="839"/>
      <c r="I152" s="839"/>
      <c r="J152" s="839"/>
      <c r="K152" s="917">
        <f>IF(K$70&lt;$Q$37,($K$21*K$87)-($K$22*K$87),($Q$39*K$87)-($Q$40*K$87))</f>
        <v>0</v>
      </c>
      <c r="L152" s="917">
        <f t="shared" ref="L152:AJ152" si="31">IF(L$70&lt;$Q$37,($K$21*L$87)-($K$22*L$87),($Q$39*L$87)-($Q$40*L$87))</f>
        <v>0</v>
      </c>
      <c r="M152" s="917">
        <f t="shared" si="31"/>
        <v>0</v>
      </c>
      <c r="N152" s="917">
        <f t="shared" si="31"/>
        <v>0</v>
      </c>
      <c r="O152" s="917">
        <f t="shared" si="31"/>
        <v>0</v>
      </c>
      <c r="P152" s="917">
        <f t="shared" si="31"/>
        <v>0</v>
      </c>
      <c r="Q152" s="917">
        <f t="shared" si="31"/>
        <v>0</v>
      </c>
      <c r="R152" s="917">
        <f t="shared" si="31"/>
        <v>0</v>
      </c>
      <c r="S152" s="917">
        <f t="shared" si="31"/>
        <v>0</v>
      </c>
      <c r="T152" s="917">
        <f t="shared" si="31"/>
        <v>0</v>
      </c>
      <c r="U152" s="917">
        <f t="shared" si="31"/>
        <v>0</v>
      </c>
      <c r="V152" s="917">
        <f t="shared" si="31"/>
        <v>0</v>
      </c>
      <c r="W152" s="917">
        <f t="shared" si="31"/>
        <v>0</v>
      </c>
      <c r="X152" s="917">
        <f t="shared" si="31"/>
        <v>0</v>
      </c>
      <c r="Y152" s="917">
        <f t="shared" si="31"/>
        <v>0</v>
      </c>
      <c r="Z152" s="917">
        <f t="shared" si="31"/>
        <v>0</v>
      </c>
      <c r="AA152" s="917">
        <f t="shared" si="31"/>
        <v>0</v>
      </c>
      <c r="AB152" s="917">
        <f t="shared" si="31"/>
        <v>0</v>
      </c>
      <c r="AC152" s="917">
        <f t="shared" si="31"/>
        <v>0</v>
      </c>
      <c r="AD152" s="917">
        <f t="shared" si="31"/>
        <v>0</v>
      </c>
      <c r="AE152" s="917">
        <f t="shared" si="31"/>
        <v>0</v>
      </c>
      <c r="AF152" s="917">
        <f t="shared" si="31"/>
        <v>0</v>
      </c>
      <c r="AG152" s="917">
        <f t="shared" si="31"/>
        <v>0</v>
      </c>
      <c r="AH152" s="917">
        <f t="shared" si="31"/>
        <v>0</v>
      </c>
      <c r="AI152" s="917">
        <f t="shared" si="31"/>
        <v>0</v>
      </c>
      <c r="AJ152" s="917">
        <f t="shared" si="31"/>
        <v>0</v>
      </c>
    </row>
    <row r="153" spans="2:36" ht="15" hidden="1" customHeight="1" x14ac:dyDescent="0.2">
      <c r="B153" s="47"/>
      <c r="C153" s="47"/>
      <c r="D153" s="47"/>
      <c r="E153" s="47"/>
      <c r="F153" s="8"/>
      <c r="G153" s="839" t="s">
        <v>12</v>
      </c>
      <c r="H153" s="839"/>
      <c r="I153" s="839"/>
      <c r="J153" s="839"/>
      <c r="K153" s="917">
        <f>K$141*K145</f>
        <v>0</v>
      </c>
      <c r="L153" s="917">
        <f t="shared" ref="L153:AJ153" si="32">L$141*L145</f>
        <v>0</v>
      </c>
      <c r="M153" s="917">
        <f t="shared" si="32"/>
        <v>0</v>
      </c>
      <c r="N153" s="917">
        <f t="shared" si="32"/>
        <v>0</v>
      </c>
      <c r="O153" s="917">
        <f t="shared" si="32"/>
        <v>0</v>
      </c>
      <c r="P153" s="917">
        <f t="shared" si="32"/>
        <v>0</v>
      </c>
      <c r="Q153" s="917">
        <f t="shared" si="32"/>
        <v>0</v>
      </c>
      <c r="R153" s="917">
        <f t="shared" si="32"/>
        <v>0</v>
      </c>
      <c r="S153" s="917">
        <f t="shared" si="32"/>
        <v>0</v>
      </c>
      <c r="T153" s="917">
        <f t="shared" si="32"/>
        <v>0</v>
      </c>
      <c r="U153" s="917">
        <f t="shared" si="32"/>
        <v>0</v>
      </c>
      <c r="V153" s="917">
        <f t="shared" si="32"/>
        <v>0</v>
      </c>
      <c r="W153" s="917">
        <f t="shared" si="32"/>
        <v>0</v>
      </c>
      <c r="X153" s="917">
        <f t="shared" si="32"/>
        <v>0</v>
      </c>
      <c r="Y153" s="917">
        <f t="shared" si="32"/>
        <v>0</v>
      </c>
      <c r="Z153" s="917">
        <f t="shared" si="32"/>
        <v>0</v>
      </c>
      <c r="AA153" s="917">
        <f t="shared" si="32"/>
        <v>0</v>
      </c>
      <c r="AB153" s="917">
        <f t="shared" si="32"/>
        <v>0</v>
      </c>
      <c r="AC153" s="917">
        <f t="shared" si="32"/>
        <v>0</v>
      </c>
      <c r="AD153" s="917">
        <f t="shared" si="32"/>
        <v>0</v>
      </c>
      <c r="AE153" s="917">
        <f t="shared" si="32"/>
        <v>0</v>
      </c>
      <c r="AF153" s="917">
        <f t="shared" si="32"/>
        <v>0</v>
      </c>
      <c r="AG153" s="917">
        <f t="shared" si="32"/>
        <v>0</v>
      </c>
      <c r="AH153" s="917">
        <f t="shared" si="32"/>
        <v>0</v>
      </c>
      <c r="AI153" s="917">
        <f t="shared" si="32"/>
        <v>0</v>
      </c>
      <c r="AJ153" s="917">
        <f t="shared" si="32"/>
        <v>0</v>
      </c>
    </row>
    <row r="154" spans="2:36" ht="15" hidden="1" customHeight="1" x14ac:dyDescent="0.2">
      <c r="B154" s="47"/>
      <c r="C154" s="47"/>
      <c r="D154" s="47"/>
      <c r="E154" s="47"/>
      <c r="F154" s="8"/>
      <c r="G154" s="839" t="s">
        <v>13</v>
      </c>
      <c r="H154" s="839"/>
      <c r="I154" s="839"/>
      <c r="J154" s="839"/>
      <c r="K154" s="917">
        <f t="shared" ref="K154:AJ154" si="33">K88*K149</f>
        <v>0</v>
      </c>
      <c r="L154" s="917">
        <f t="shared" si="33"/>
        <v>0</v>
      </c>
      <c r="M154" s="917">
        <f t="shared" si="33"/>
        <v>0</v>
      </c>
      <c r="N154" s="917">
        <f t="shared" si="33"/>
        <v>0</v>
      </c>
      <c r="O154" s="917">
        <f t="shared" si="33"/>
        <v>0</v>
      </c>
      <c r="P154" s="917">
        <f t="shared" si="33"/>
        <v>0</v>
      </c>
      <c r="Q154" s="917">
        <f t="shared" si="33"/>
        <v>0</v>
      </c>
      <c r="R154" s="917">
        <f t="shared" si="33"/>
        <v>0</v>
      </c>
      <c r="S154" s="917">
        <f t="shared" si="33"/>
        <v>0</v>
      </c>
      <c r="T154" s="917">
        <f t="shared" si="33"/>
        <v>0</v>
      </c>
      <c r="U154" s="917">
        <f t="shared" si="33"/>
        <v>0</v>
      </c>
      <c r="V154" s="917">
        <f t="shared" si="33"/>
        <v>0</v>
      </c>
      <c r="W154" s="917">
        <f t="shared" si="33"/>
        <v>0</v>
      </c>
      <c r="X154" s="917">
        <f t="shared" si="33"/>
        <v>0</v>
      </c>
      <c r="Y154" s="917">
        <f t="shared" si="33"/>
        <v>0</v>
      </c>
      <c r="Z154" s="917">
        <f t="shared" si="33"/>
        <v>0</v>
      </c>
      <c r="AA154" s="917">
        <f t="shared" si="33"/>
        <v>0</v>
      </c>
      <c r="AB154" s="917">
        <f t="shared" si="33"/>
        <v>0</v>
      </c>
      <c r="AC154" s="917">
        <f t="shared" si="33"/>
        <v>0</v>
      </c>
      <c r="AD154" s="917">
        <f t="shared" si="33"/>
        <v>0</v>
      </c>
      <c r="AE154" s="917">
        <f t="shared" si="33"/>
        <v>0</v>
      </c>
      <c r="AF154" s="917">
        <f t="shared" si="33"/>
        <v>0</v>
      </c>
      <c r="AG154" s="917">
        <f t="shared" si="33"/>
        <v>0</v>
      </c>
      <c r="AH154" s="917">
        <f t="shared" si="33"/>
        <v>0</v>
      </c>
      <c r="AI154" s="917">
        <f t="shared" si="33"/>
        <v>0</v>
      </c>
      <c r="AJ154" s="917">
        <f t="shared" si="33"/>
        <v>0</v>
      </c>
    </row>
    <row r="155" spans="2:36" ht="15" hidden="1" customHeight="1" x14ac:dyDescent="0.2">
      <c r="B155" s="47"/>
      <c r="C155" s="47"/>
      <c r="D155" s="47"/>
      <c r="E155" s="47"/>
      <c r="F155" s="8"/>
      <c r="G155" s="839"/>
      <c r="H155" s="839"/>
      <c r="I155" s="839"/>
      <c r="J155" s="839"/>
      <c r="K155" s="917"/>
      <c r="L155" s="917"/>
      <c r="M155" s="917"/>
      <c r="N155" s="917"/>
      <c r="O155" s="917"/>
      <c r="P155" s="917"/>
      <c r="Q155" s="917"/>
      <c r="R155" s="917"/>
      <c r="S155" s="917"/>
      <c r="T155" s="917"/>
      <c r="U155" s="917"/>
      <c r="V155" s="917"/>
      <c r="W155" s="917"/>
      <c r="X155" s="917"/>
      <c r="Y155" s="917"/>
      <c r="Z155" s="917"/>
      <c r="AA155" s="917"/>
      <c r="AB155" s="918"/>
      <c r="AC155" s="917"/>
      <c r="AD155" s="917"/>
      <c r="AE155" s="917"/>
      <c r="AF155" s="917"/>
      <c r="AG155" s="917"/>
      <c r="AH155" s="917"/>
      <c r="AI155" s="917"/>
      <c r="AJ155" s="917"/>
    </row>
    <row r="156" spans="2:36" ht="15" hidden="1" customHeight="1" x14ac:dyDescent="0.2">
      <c r="B156" s="47"/>
      <c r="C156" s="47"/>
      <c r="D156" s="47"/>
      <c r="E156" s="47"/>
      <c r="F156" s="8"/>
      <c r="G156" s="839" t="s">
        <v>14</v>
      </c>
      <c r="H156" s="839"/>
      <c r="I156" s="839"/>
      <c r="J156" s="839"/>
      <c r="K156" s="917">
        <f>SUM(K151:K154)</f>
        <v>0</v>
      </c>
      <c r="L156" s="917">
        <f t="shared" ref="L156:AH156" si="34">SUM(L151:L154)</f>
        <v>0</v>
      </c>
      <c r="M156" s="917">
        <f t="shared" si="34"/>
        <v>0</v>
      </c>
      <c r="N156" s="917">
        <f t="shared" si="34"/>
        <v>0</v>
      </c>
      <c r="O156" s="917">
        <f t="shared" si="34"/>
        <v>0</v>
      </c>
      <c r="P156" s="917">
        <f t="shared" si="34"/>
        <v>0</v>
      </c>
      <c r="Q156" s="917">
        <f t="shared" si="34"/>
        <v>0</v>
      </c>
      <c r="R156" s="917">
        <f t="shared" si="34"/>
        <v>0</v>
      </c>
      <c r="S156" s="917">
        <f t="shared" si="34"/>
        <v>0</v>
      </c>
      <c r="T156" s="917">
        <f t="shared" si="34"/>
        <v>0</v>
      </c>
      <c r="U156" s="917">
        <f t="shared" si="34"/>
        <v>0</v>
      </c>
      <c r="V156" s="917">
        <f t="shared" si="34"/>
        <v>0</v>
      </c>
      <c r="W156" s="917">
        <f t="shared" si="34"/>
        <v>0</v>
      </c>
      <c r="X156" s="917">
        <f t="shared" si="34"/>
        <v>0</v>
      </c>
      <c r="Y156" s="917">
        <f t="shared" si="34"/>
        <v>0</v>
      </c>
      <c r="Z156" s="917">
        <f t="shared" si="34"/>
        <v>0</v>
      </c>
      <c r="AA156" s="917">
        <f t="shared" si="34"/>
        <v>0</v>
      </c>
      <c r="AB156" s="918">
        <f t="shared" si="34"/>
        <v>0</v>
      </c>
      <c r="AC156" s="917">
        <f t="shared" si="34"/>
        <v>0</v>
      </c>
      <c r="AD156" s="917">
        <f t="shared" si="34"/>
        <v>0</v>
      </c>
      <c r="AE156" s="917">
        <f t="shared" si="34"/>
        <v>0</v>
      </c>
      <c r="AF156" s="917">
        <f t="shared" si="34"/>
        <v>0</v>
      </c>
      <c r="AG156" s="917">
        <f t="shared" si="34"/>
        <v>0</v>
      </c>
      <c r="AH156" s="917">
        <f t="shared" si="34"/>
        <v>0</v>
      </c>
      <c r="AI156" s="917">
        <f>SUM(AI151:AI154)</f>
        <v>0</v>
      </c>
      <c r="AJ156" s="917">
        <f>SUM(AJ151:AJ154)</f>
        <v>0</v>
      </c>
    </row>
    <row r="157" spans="2:36" ht="15" hidden="1" customHeight="1" x14ac:dyDescent="0.2">
      <c r="B157" s="47"/>
      <c r="C157" s="47"/>
      <c r="D157" s="47"/>
      <c r="E157" s="47"/>
      <c r="F157" s="8"/>
      <c r="G157" s="839" t="s">
        <v>435</v>
      </c>
      <c r="H157" s="839"/>
      <c r="I157" s="839"/>
      <c r="J157" s="839"/>
      <c r="K157" s="917">
        <f>K156</f>
        <v>0</v>
      </c>
      <c r="L157" s="917">
        <f t="shared" ref="L157" si="35">K157+L156</f>
        <v>0</v>
      </c>
      <c r="M157" s="917">
        <f t="shared" ref="M157" si="36">L157+M156</f>
        <v>0</v>
      </c>
      <c r="N157" s="917">
        <f t="shared" ref="N157" si="37">M157+N156</f>
        <v>0</v>
      </c>
      <c r="O157" s="917">
        <f t="shared" ref="O157" si="38">N157+O156</f>
        <v>0</v>
      </c>
      <c r="P157" s="917">
        <f t="shared" ref="P157" si="39">O157+P156</f>
        <v>0</v>
      </c>
      <c r="Q157" s="917">
        <f t="shared" ref="Q157" si="40">P157+Q156</f>
        <v>0</v>
      </c>
      <c r="R157" s="917">
        <f t="shared" ref="R157" si="41">Q157+R156</f>
        <v>0</v>
      </c>
      <c r="S157" s="917">
        <f t="shared" ref="S157" si="42">R157+S156</f>
        <v>0</v>
      </c>
      <c r="T157" s="917">
        <f t="shared" ref="T157" si="43">S157+T156</f>
        <v>0</v>
      </c>
      <c r="U157" s="917">
        <f t="shared" ref="U157" si="44">T157+U156</f>
        <v>0</v>
      </c>
      <c r="V157" s="917">
        <f t="shared" ref="V157" si="45">U157+V156</f>
        <v>0</v>
      </c>
      <c r="W157" s="917">
        <f t="shared" ref="W157" si="46">V157+W156</f>
        <v>0</v>
      </c>
      <c r="X157" s="917">
        <f t="shared" ref="X157" si="47">W157+X156</f>
        <v>0</v>
      </c>
      <c r="Y157" s="917">
        <f t="shared" ref="Y157" si="48">X157+Y156</f>
        <v>0</v>
      </c>
      <c r="Z157" s="917">
        <f t="shared" ref="Z157" si="49">Y157+Z156</f>
        <v>0</v>
      </c>
      <c r="AA157" s="917">
        <f t="shared" ref="AA157" si="50">Z157+AA156</f>
        <v>0</v>
      </c>
      <c r="AB157" s="918">
        <f t="shared" ref="AB157" si="51">AA157+AB156</f>
        <v>0</v>
      </c>
      <c r="AC157" s="917">
        <f t="shared" ref="AC157" si="52">AB157+AC156</f>
        <v>0</v>
      </c>
      <c r="AD157" s="917">
        <f t="shared" ref="AD157" si="53">AC157+AD156</f>
        <v>0</v>
      </c>
      <c r="AE157" s="917">
        <f t="shared" ref="AE157" si="54">AD157+AE156</f>
        <v>0</v>
      </c>
      <c r="AF157" s="917">
        <f t="shared" ref="AF157" si="55">AE157+AF156</f>
        <v>0</v>
      </c>
      <c r="AG157" s="917">
        <f t="shared" ref="AG157" si="56">AF157+AG156</f>
        <v>0</v>
      </c>
      <c r="AH157" s="917">
        <f t="shared" ref="AH157" si="57">AG157+AH156</f>
        <v>0</v>
      </c>
      <c r="AI157" s="917">
        <f t="shared" ref="AI157" si="58">AH157+AI156</f>
        <v>0</v>
      </c>
      <c r="AJ157" s="917">
        <f t="shared" ref="AJ157" si="59">AI157+AJ156</f>
        <v>0</v>
      </c>
    </row>
    <row r="158" spans="2:36" ht="15" hidden="1" customHeight="1" x14ac:dyDescent="0.2">
      <c r="B158" s="47"/>
      <c r="C158" s="47"/>
      <c r="D158" s="47"/>
      <c r="E158" s="47"/>
      <c r="F158" s="8"/>
      <c r="G158" s="839"/>
      <c r="H158" s="839"/>
      <c r="I158" s="839"/>
      <c r="J158" s="839"/>
      <c r="K158" s="839"/>
      <c r="L158" s="839"/>
      <c r="M158" s="839"/>
      <c r="N158" s="839"/>
      <c r="O158" s="839"/>
      <c r="P158" s="839"/>
      <c r="Q158" s="839"/>
      <c r="R158" s="839"/>
      <c r="S158" s="839"/>
      <c r="T158" s="839"/>
      <c r="U158" s="839"/>
      <c r="V158" s="839"/>
      <c r="W158" s="839"/>
      <c r="X158" s="839"/>
      <c r="Y158" s="839"/>
      <c r="Z158" s="839"/>
      <c r="AA158" s="839"/>
      <c r="AB158" s="922"/>
      <c r="AC158" s="839"/>
      <c r="AD158" s="839"/>
      <c r="AE158" s="839"/>
      <c r="AF158" s="839"/>
      <c r="AG158" s="839"/>
      <c r="AH158" s="839"/>
      <c r="AI158" s="839"/>
      <c r="AJ158" s="839"/>
    </row>
    <row r="159" spans="2:36" ht="15" hidden="1" customHeight="1" x14ac:dyDescent="0.2">
      <c r="B159" s="47"/>
      <c r="C159" s="47"/>
      <c r="D159" s="47"/>
      <c r="E159" s="47"/>
      <c r="F159" s="8"/>
      <c r="G159" s="839" t="s">
        <v>17</v>
      </c>
      <c r="H159" s="839"/>
      <c r="I159" s="839"/>
      <c r="J159" s="839"/>
      <c r="K159" s="917">
        <f>K156/(((Data!$P$186/100)+1)^K$70)</f>
        <v>0</v>
      </c>
      <c r="L159" s="917">
        <f>L156/(((Data!$P$186/100)+1)^L$70)</f>
        <v>0</v>
      </c>
      <c r="M159" s="917">
        <f>M156/(((Data!$P$186/100)+1)^M$70)</f>
        <v>0</v>
      </c>
      <c r="N159" s="917">
        <f>N156/(((Data!$P$186/100)+1)^N$70)</f>
        <v>0</v>
      </c>
      <c r="O159" s="917">
        <f>O156/(((Data!$P$186/100)+1)^O$70)</f>
        <v>0</v>
      </c>
      <c r="P159" s="917">
        <f>P156/(((Data!$P$186/100)+1)^P$70)</f>
        <v>0</v>
      </c>
      <c r="Q159" s="917">
        <f>Q156/(((Data!$P$186/100)+1)^Q$70)</f>
        <v>0</v>
      </c>
      <c r="R159" s="917">
        <f>R156/(((Data!$P$186/100)+1)^R$70)</f>
        <v>0</v>
      </c>
      <c r="S159" s="917">
        <f>S156/(((Data!$P$186/100)+1)^S$70)</f>
        <v>0</v>
      </c>
      <c r="T159" s="917">
        <f>T156/(((Data!$P$186/100)+1)^T$70)</f>
        <v>0</v>
      </c>
      <c r="U159" s="917">
        <f>U156/(((Data!$P$186/100)+1)^U$70)</f>
        <v>0</v>
      </c>
      <c r="V159" s="917">
        <f>V156/(((Data!$P$186/100)+1)^V$70)</f>
        <v>0</v>
      </c>
      <c r="W159" s="917">
        <f>W156/(((Data!$P$186/100)+1)^W$70)</f>
        <v>0</v>
      </c>
      <c r="X159" s="917">
        <f>X156/(((Data!$P$186/100)+1)^X$70)</f>
        <v>0</v>
      </c>
      <c r="Y159" s="917">
        <f>Y156/(((Data!$P$186/100)+1)^Y$70)</f>
        <v>0</v>
      </c>
      <c r="Z159" s="917">
        <f>Z156/(((Data!$P$186/100)+1)^Z$70)</f>
        <v>0</v>
      </c>
      <c r="AA159" s="917">
        <f>AA156/(((Data!$P$186/100)+1)^AA$70)</f>
        <v>0</v>
      </c>
      <c r="AB159" s="918">
        <f>AB156/(((Data!$P$186/100)+1)^AB$70)</f>
        <v>0</v>
      </c>
      <c r="AC159" s="917">
        <f>AC156/(((Data!$P$186/100)+1)^AC$70)</f>
        <v>0</v>
      </c>
      <c r="AD159" s="917">
        <f>AD156/(((Data!$P$186/100)+1)^AD$70)</f>
        <v>0</v>
      </c>
      <c r="AE159" s="917">
        <f>AE156/(((Data!$P$186/100)+1)^AE$70)</f>
        <v>0</v>
      </c>
      <c r="AF159" s="917">
        <f>AF156/(((Data!$P$186/100)+1)^AF$70)</f>
        <v>0</v>
      </c>
      <c r="AG159" s="917">
        <f>AG156/(((Data!$P$186/100)+1)^AG$70)</f>
        <v>0</v>
      </c>
      <c r="AH159" s="917">
        <f>AH156/(((Data!$P$186/100)+1)^AH$70)</f>
        <v>0</v>
      </c>
      <c r="AI159" s="917">
        <f>AI156/(((Data!$P$186/100)+1)^AI$70)</f>
        <v>0</v>
      </c>
      <c r="AJ159" s="917">
        <f>AJ156/(((Data!$P$186/100)+1)^AJ$70)</f>
        <v>0</v>
      </c>
    </row>
    <row r="160" spans="2:36" ht="15" hidden="1" customHeight="1" x14ac:dyDescent="0.2">
      <c r="B160" s="47"/>
      <c r="C160" s="47"/>
      <c r="D160" s="47"/>
      <c r="E160" s="47"/>
      <c r="F160" s="8"/>
      <c r="G160" s="859" t="s">
        <v>184</v>
      </c>
      <c r="H160" s="859"/>
      <c r="I160" s="839"/>
      <c r="J160" s="839"/>
      <c r="K160" s="923">
        <f>K159</f>
        <v>0</v>
      </c>
      <c r="L160" s="923">
        <f t="shared" ref="L160" si="60">K160+L159</f>
        <v>0</v>
      </c>
      <c r="M160" s="923">
        <f t="shared" ref="M160" si="61">L160+M159</f>
        <v>0</v>
      </c>
      <c r="N160" s="923">
        <f t="shared" ref="N160" si="62">M160+N159</f>
        <v>0</v>
      </c>
      <c r="O160" s="923">
        <f t="shared" ref="O160" si="63">N160+O159</f>
        <v>0</v>
      </c>
      <c r="P160" s="923">
        <f t="shared" ref="P160" si="64">O160+P159</f>
        <v>0</v>
      </c>
      <c r="Q160" s="923">
        <f t="shared" ref="Q160" si="65">P160+Q159</f>
        <v>0</v>
      </c>
      <c r="R160" s="923">
        <f t="shared" ref="R160" si="66">Q160+R159</f>
        <v>0</v>
      </c>
      <c r="S160" s="923">
        <f t="shared" ref="S160" si="67">R160+S159</f>
        <v>0</v>
      </c>
      <c r="T160" s="923">
        <f t="shared" ref="T160" si="68">S160+T159</f>
        <v>0</v>
      </c>
      <c r="U160" s="923">
        <f t="shared" ref="U160" si="69">T160+U159</f>
        <v>0</v>
      </c>
      <c r="V160" s="923">
        <f t="shared" ref="V160" si="70">U160+V159</f>
        <v>0</v>
      </c>
      <c r="W160" s="923">
        <f t="shared" ref="W160" si="71">V160+W159</f>
        <v>0</v>
      </c>
      <c r="X160" s="923">
        <f t="shared" ref="X160" si="72">W160+X159</f>
        <v>0</v>
      </c>
      <c r="Y160" s="923">
        <f t="shared" ref="Y160" si="73">X160+Y159</f>
        <v>0</v>
      </c>
      <c r="Z160" s="923">
        <f t="shared" ref="Z160" si="74">Y160+Z159</f>
        <v>0</v>
      </c>
      <c r="AA160" s="923">
        <f t="shared" ref="AA160" si="75">Z160+AA159</f>
        <v>0</v>
      </c>
      <c r="AB160" s="924">
        <f t="shared" ref="AB160" si="76">AA160+AB159</f>
        <v>0</v>
      </c>
      <c r="AC160" s="923">
        <f t="shared" ref="AC160" si="77">AB160+AC159</f>
        <v>0</v>
      </c>
      <c r="AD160" s="923">
        <f t="shared" ref="AD160" si="78">AC160+AD159</f>
        <v>0</v>
      </c>
      <c r="AE160" s="923">
        <f t="shared" ref="AE160" si="79">AD160+AE159</f>
        <v>0</v>
      </c>
      <c r="AF160" s="923">
        <f t="shared" ref="AF160" si="80">AE160+AF159</f>
        <v>0</v>
      </c>
      <c r="AG160" s="923">
        <f t="shared" ref="AG160" si="81">AF160+AG159</f>
        <v>0</v>
      </c>
      <c r="AH160" s="923">
        <f t="shared" ref="AH160" si="82">AG160+AH159</f>
        <v>0</v>
      </c>
      <c r="AI160" s="923">
        <f t="shared" ref="AI160" si="83">AH160+AI159</f>
        <v>0</v>
      </c>
      <c r="AJ160" s="923">
        <f t="shared" ref="AJ160" si="84">AI160+AJ159</f>
        <v>0</v>
      </c>
    </row>
    <row r="161" spans="2:36" ht="15" customHeight="1" x14ac:dyDescent="0.2">
      <c r="B161" s="47"/>
      <c r="C161" s="47"/>
      <c r="D161" s="47"/>
      <c r="E161" s="47"/>
      <c r="F161" s="8"/>
      <c r="G161" s="8"/>
      <c r="H161" s="8"/>
      <c r="I161" s="8"/>
      <c r="J161" s="8"/>
      <c r="K161" s="99"/>
      <c r="L161" s="67"/>
      <c r="M161" s="99"/>
      <c r="N161" s="99"/>
      <c r="O161" s="99"/>
      <c r="P161" s="99"/>
      <c r="Q161" s="99"/>
      <c r="R161" s="99"/>
      <c r="S161" s="67"/>
      <c r="T161" s="99"/>
      <c r="U161" s="99"/>
      <c r="V161" s="99"/>
      <c r="W161" s="99"/>
      <c r="X161" s="99"/>
      <c r="Y161" s="99"/>
      <c r="Z161" s="67"/>
      <c r="AA161" s="99"/>
      <c r="AB161" s="99"/>
      <c r="AC161" s="99"/>
      <c r="AD161" s="99"/>
      <c r="AE161" s="99"/>
      <c r="AF161" s="99"/>
      <c r="AG161" s="99"/>
      <c r="AH161" s="99"/>
      <c r="AI161" s="99"/>
      <c r="AJ161" s="99"/>
    </row>
    <row r="162" spans="2:36" ht="15" customHeight="1" x14ac:dyDescent="0.2">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row>
  </sheetData>
  <mergeCells count="6">
    <mergeCell ref="S10:W10"/>
    <mergeCell ref="G33:K43"/>
    <mergeCell ref="H31:K31"/>
    <mergeCell ref="A1:E3"/>
    <mergeCell ref="B7:D7"/>
    <mergeCell ref="G5:H7"/>
  </mergeCells>
  <conditionalFormatting sqref="G10">
    <cfRule type="expression" dxfId="447" priority="16">
      <formula>#REF!="No"</formula>
    </cfRule>
  </conditionalFormatting>
  <conditionalFormatting sqref="G18">
    <cfRule type="expression" dxfId="446" priority="86">
      <formula>#REF!="No"</formula>
    </cfRule>
  </conditionalFormatting>
  <conditionalFormatting sqref="G21">
    <cfRule type="expression" dxfId="445" priority="87">
      <formula>#REF!="No"</formula>
    </cfRule>
  </conditionalFormatting>
  <conditionalFormatting sqref="G22">
    <cfRule type="expression" dxfId="444" priority="53">
      <formula>#REF!="No"</formula>
    </cfRule>
  </conditionalFormatting>
  <conditionalFormatting sqref="G24">
    <cfRule type="expression" dxfId="443" priority="8">
      <formula>#REF!="No"</formula>
    </cfRule>
  </conditionalFormatting>
  <conditionalFormatting sqref="G29">
    <cfRule type="expression" dxfId="442" priority="12">
      <formula>#REF!="No"</formula>
    </cfRule>
  </conditionalFormatting>
  <conditionalFormatting sqref="G90">
    <cfRule type="expression" dxfId="441" priority="47">
      <formula>#REF!="No"</formula>
    </cfRule>
  </conditionalFormatting>
  <conditionalFormatting sqref="G114">
    <cfRule type="expression" dxfId="440" priority="46">
      <formula>#REF!="No"</formula>
    </cfRule>
  </conditionalFormatting>
  <conditionalFormatting sqref="G138">
    <cfRule type="expression" dxfId="439" priority="24">
      <formula>#REF!="No"</formula>
    </cfRule>
  </conditionalFormatting>
  <conditionalFormatting sqref="M10">
    <cfRule type="expression" dxfId="438" priority="15">
      <formula>#REF!="No"</formula>
    </cfRule>
  </conditionalFormatting>
  <conditionalFormatting sqref="M13">
    <cfRule type="expression" dxfId="437" priority="58">
      <formula>#REF!="No"</formula>
    </cfRule>
  </conditionalFormatting>
  <conditionalFormatting sqref="M18">
    <cfRule type="expression" dxfId="436" priority="73">
      <formula>#REF!="No"</formula>
    </cfRule>
  </conditionalFormatting>
  <conditionalFormatting sqref="M21:M22">
    <cfRule type="expression" dxfId="435" priority="18">
      <formula>#REF!="No"</formula>
    </cfRule>
  </conditionalFormatting>
  <conditionalFormatting sqref="M24">
    <cfRule type="expression" dxfId="434" priority="66">
      <formula>#REF!="No"</formula>
    </cfRule>
  </conditionalFormatting>
  <conditionalFormatting sqref="M29">
    <cfRule type="expression" dxfId="433" priority="9">
      <formula>#REF!="No"</formula>
    </cfRule>
  </conditionalFormatting>
  <conditionalFormatting sqref="M31">
    <cfRule type="expression" dxfId="432" priority="33">
      <formula>#REF!="No"</formula>
    </cfRule>
  </conditionalFormatting>
  <conditionalFormatting sqref="M36">
    <cfRule type="expression" dxfId="431" priority="6">
      <formula>#REF!="No"</formula>
    </cfRule>
  </conditionalFormatting>
  <conditionalFormatting sqref="M39:M40">
    <cfRule type="expression" dxfId="430" priority="10">
      <formula>#REF!="No"</formula>
    </cfRule>
  </conditionalFormatting>
  <conditionalFormatting sqref="M42">
    <cfRule type="expression" dxfId="429" priority="7">
      <formula>#REF!="No"</formula>
    </cfRule>
  </conditionalFormatting>
  <conditionalFormatting sqref="S10">
    <cfRule type="expression" dxfId="428" priority="1">
      <formula>#REF!="No"</formula>
    </cfRule>
  </conditionalFormatting>
  <conditionalFormatting sqref="S11:S13 S15">
    <cfRule type="expression" dxfId="427" priority="75">
      <formula>#REF!="No"</formula>
    </cfRule>
  </conditionalFormatting>
  <conditionalFormatting sqref="S41:S43">
    <cfRule type="expression" dxfId="426" priority="4">
      <formula>#REF!="No"</formula>
    </cfRule>
  </conditionalFormatting>
  <conditionalFormatting sqref="V42:W43">
    <cfRule type="expression" dxfId="425" priority="2">
      <formula>#REF!="No"</formula>
    </cfRule>
  </conditionalFormatting>
  <conditionalFormatting sqref="W40">
    <cfRule type="expression" dxfId="424" priority="22">
      <formula>#REF!="No"</formula>
    </cfRule>
  </conditionalFormatting>
  <conditionalFormatting sqref="AF10">
    <cfRule type="expression" dxfId="423" priority="14">
      <formula>#REF!="No"</formula>
    </cfRule>
  </conditionalFormatting>
  <conditionalFormatting sqref="AF36:AF39">
    <cfRule type="expression" dxfId="422" priority="25">
      <formula>#REF!="No"</formula>
    </cfRule>
  </conditionalFormatting>
  <conditionalFormatting sqref="AF46:AF47 AF49 AF52:AF65">
    <cfRule type="expression" dxfId="421" priority="57">
      <formula>#REF!="No"</formula>
    </cfRule>
  </conditionalFormatting>
  <conditionalFormatting sqref="AF67">
    <cfRule type="expression" dxfId="420" priority="59">
      <formula>#REF!="No"</formula>
    </cfRule>
  </conditionalFormatting>
  <dataValidations count="1">
    <dataValidation type="list" allowBlank="1" showInputMessage="1" showErrorMessage="1" sqref="AH15" xr:uid="{00000000-0002-0000-0300-000000000000}">
      <formula1>$G$181:$G$184</formula1>
    </dataValidation>
  </dataValidations>
  <hyperlinks>
    <hyperlink ref="G5:H7" location="SimpleStep2!A1" display="Done" xr:uid="{00000000-0004-0000-0300-000000000000}"/>
  </hyperlinks>
  <pageMargins left="0.25" right="0.25" top="0.75" bottom="0.75" header="0.3" footer="0.3"/>
  <pageSetup paperSize="9" scale="23" orientation="landscape" r:id="rId1"/>
  <rowBreaks count="1" manualBreakCount="1">
    <brk id="161" max="1638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Data!$G$171:$G$174</xm:f>
          </x14:formula1>
          <xm:sqref>I15 O15 O33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L162"/>
  <sheetViews>
    <sheetView showGridLines="0" zoomScale="70" zoomScaleNormal="70" zoomScaleSheetLayoutView="55" workbookViewId="0">
      <selection sqref="A1:E3"/>
    </sheetView>
  </sheetViews>
  <sheetFormatPr defaultColWidth="8.7109375" defaultRowHeight="15" customHeight="1" x14ac:dyDescent="0.2"/>
  <cols>
    <col min="1" max="1" width="3.7109375" style="47" customWidth="1"/>
    <col min="2" max="2" width="8.85546875" style="62" bestFit="1" customWidth="1"/>
    <col min="3" max="3" width="8.7109375" style="481" customWidth="1"/>
    <col min="4" max="4" width="8.7109375" style="49" customWidth="1"/>
    <col min="5" max="5" width="3.7109375" style="48" customWidth="1"/>
    <col min="6" max="8" width="8.7109375" style="1"/>
    <col min="9" max="9" width="25.7109375" style="1" customWidth="1"/>
    <col min="10" max="11" width="12.7109375" style="1" customWidth="1"/>
    <col min="12" max="14" width="8.7109375" style="1"/>
    <col min="15" max="15" width="25.7109375" style="1" customWidth="1"/>
    <col min="16" max="17" width="12.7109375" style="1" customWidth="1"/>
    <col min="18" max="18" width="8.7109375" style="5"/>
    <col min="19" max="26" width="8.7109375" style="1"/>
    <col min="27" max="27" width="25.7109375" style="1" customWidth="1"/>
    <col min="28" max="33" width="8.7109375" style="1"/>
    <col min="34" max="34" width="8.7109375" style="1" customWidth="1"/>
    <col min="35" max="37" width="8.7109375" style="1"/>
    <col min="38" max="38" width="8.7109375" style="986"/>
    <col min="39" max="16384" width="8.7109375" style="1"/>
  </cols>
  <sheetData>
    <row r="1" spans="1:36" ht="15" customHeight="1" x14ac:dyDescent="0.2">
      <c r="A1" s="1022"/>
      <c r="B1" s="1022"/>
      <c r="C1" s="1022"/>
      <c r="D1" s="1022"/>
      <c r="E1" s="1022"/>
    </row>
    <row r="2" spans="1:36" ht="15" customHeight="1" x14ac:dyDescent="0.2">
      <c r="A2" s="1022"/>
      <c r="B2" s="1022"/>
      <c r="C2" s="1022"/>
      <c r="D2" s="1022"/>
      <c r="E2" s="1022"/>
      <c r="H2" s="2"/>
      <c r="I2" s="2"/>
      <c r="J2" s="2"/>
      <c r="K2" s="3"/>
      <c r="L2" s="70"/>
      <c r="M2" s="3"/>
      <c r="N2" s="2"/>
      <c r="O2" s="2"/>
      <c r="P2" s="2"/>
      <c r="Q2" s="4"/>
    </row>
    <row r="3" spans="1:36" ht="15" customHeight="1" x14ac:dyDescent="0.2">
      <c r="A3" s="1022"/>
      <c r="B3" s="1022"/>
      <c r="C3" s="1022"/>
      <c r="D3" s="1022"/>
      <c r="E3" s="1022"/>
    </row>
    <row r="4" spans="1:36" ht="15" customHeight="1" x14ac:dyDescent="0.2">
      <c r="A4" s="618"/>
      <c r="B4" s="618"/>
      <c r="C4" s="618"/>
      <c r="D4" s="618"/>
      <c r="E4" s="618"/>
    </row>
    <row r="5" spans="1:36" ht="15" customHeight="1" x14ac:dyDescent="0.2">
      <c r="A5" s="669"/>
      <c r="B5" s="62" t="s">
        <v>251</v>
      </c>
      <c r="C5" s="669"/>
      <c r="D5" s="669"/>
      <c r="E5" s="669"/>
      <c r="G5" s="1020" t="s">
        <v>201</v>
      </c>
      <c r="H5" s="1020"/>
    </row>
    <row r="6" spans="1:36" ht="15" customHeight="1" x14ac:dyDescent="0.2">
      <c r="A6" s="669"/>
      <c r="C6" s="48"/>
      <c r="E6" s="669"/>
      <c r="F6" s="8"/>
      <c r="G6" s="1020"/>
      <c r="H6" s="1020"/>
      <c r="I6" s="8"/>
      <c r="J6" s="8"/>
      <c r="K6" s="8"/>
      <c r="L6" s="10"/>
      <c r="M6" s="8"/>
      <c r="N6" s="8"/>
      <c r="O6" s="8"/>
      <c r="P6" s="8"/>
      <c r="U6" s="8"/>
      <c r="V6" s="8"/>
      <c r="Y6" s="8"/>
      <c r="Z6" s="10"/>
      <c r="AA6" s="8"/>
      <c r="AB6" s="8"/>
      <c r="AC6" s="8"/>
      <c r="AD6" s="8"/>
      <c r="AE6" s="8"/>
      <c r="AF6" s="8"/>
      <c r="AG6" s="8"/>
      <c r="AH6" s="8"/>
      <c r="AI6" s="8"/>
      <c r="AJ6" s="8"/>
    </row>
    <row r="7" spans="1:36" ht="15" customHeight="1" x14ac:dyDescent="0.2">
      <c r="A7" s="669"/>
      <c r="B7" s="1023" t="str">
        <f>IF(Step1!K12="New building",Step1!Q12,Step1!K15)</f>
        <v>1-19 Torrington Place</v>
      </c>
      <c r="C7" s="1023"/>
      <c r="D7" s="1023"/>
      <c r="E7" s="669"/>
      <c r="F7" s="8"/>
      <c r="G7" s="1020"/>
      <c r="H7" s="1020"/>
      <c r="I7" s="22"/>
      <c r="J7" s="22"/>
      <c r="K7" s="8"/>
      <c r="L7" s="10"/>
      <c r="M7" s="8"/>
      <c r="N7" s="8"/>
      <c r="O7" s="8"/>
      <c r="P7" s="8"/>
      <c r="U7" s="8"/>
      <c r="V7" s="8"/>
      <c r="Y7" s="8"/>
      <c r="Z7" s="10"/>
      <c r="AA7" s="8"/>
      <c r="AB7" s="8"/>
      <c r="AC7" s="8"/>
      <c r="AD7" s="8"/>
      <c r="AE7" s="8"/>
      <c r="AF7" s="8"/>
      <c r="AG7" s="8"/>
      <c r="AH7" s="8"/>
      <c r="AI7" s="8"/>
      <c r="AJ7" s="8"/>
    </row>
    <row r="8" spans="1:36" ht="15" customHeight="1" x14ac:dyDescent="0.2">
      <c r="B8" s="89"/>
      <c r="C8" s="48"/>
      <c r="F8" s="8"/>
      <c r="G8" s="20"/>
      <c r="H8" s="8"/>
      <c r="I8" s="8"/>
      <c r="J8" s="8"/>
      <c r="K8" s="8"/>
      <c r="L8" s="10"/>
      <c r="M8" s="8"/>
      <c r="N8" s="8"/>
      <c r="O8" s="8"/>
      <c r="P8" s="8"/>
      <c r="Q8" s="8"/>
      <c r="R8" s="9"/>
      <c r="S8" s="10"/>
      <c r="T8" s="8"/>
      <c r="U8" s="8"/>
      <c r="V8" s="8"/>
      <c r="W8" s="8"/>
      <c r="X8" s="8"/>
      <c r="Y8" s="8"/>
      <c r="Z8" s="10"/>
      <c r="AA8" s="8"/>
      <c r="AB8" s="8"/>
      <c r="AC8" s="8"/>
      <c r="AD8" s="8"/>
      <c r="AE8" s="8"/>
      <c r="AF8" s="8"/>
      <c r="AG8" s="8"/>
      <c r="AH8" s="8"/>
      <c r="AI8" s="8"/>
      <c r="AJ8" s="8"/>
    </row>
    <row r="9" spans="1:36" ht="15" customHeight="1" x14ac:dyDescent="0.2">
      <c r="B9" s="89"/>
      <c r="C9" s="48"/>
      <c r="F9" s="8"/>
      <c r="G9" s="20"/>
      <c r="H9" s="8"/>
      <c r="I9" s="8"/>
      <c r="J9" s="8"/>
      <c r="K9" s="8"/>
      <c r="L9" s="10"/>
      <c r="M9" s="8"/>
      <c r="N9" s="8"/>
      <c r="O9" s="8"/>
      <c r="P9" s="8"/>
      <c r="Q9" s="8"/>
      <c r="R9" s="9"/>
      <c r="S9" s="10"/>
      <c r="T9" s="8"/>
      <c r="U9" s="8"/>
      <c r="V9" s="8"/>
      <c r="W9" s="8"/>
      <c r="X9" s="8"/>
      <c r="Y9" s="8"/>
      <c r="Z9" s="10"/>
      <c r="AA9" s="8"/>
      <c r="AB9" s="8"/>
      <c r="AC9" s="8"/>
      <c r="AD9" s="8"/>
      <c r="AE9" s="8"/>
      <c r="AF9" s="8"/>
      <c r="AG9" s="8"/>
      <c r="AH9" s="8"/>
      <c r="AI9" s="8"/>
      <c r="AJ9" s="8"/>
    </row>
    <row r="10" spans="1:36" ht="15" customHeight="1" x14ac:dyDescent="0.2">
      <c r="B10" s="480"/>
      <c r="C10" s="48"/>
      <c r="F10" s="8"/>
      <c r="G10" s="817" t="s">
        <v>573</v>
      </c>
      <c r="H10" s="297"/>
      <c r="I10" s="297"/>
      <c r="J10" s="297"/>
      <c r="K10" s="298"/>
      <c r="M10" s="339" t="s">
        <v>525</v>
      </c>
      <c r="N10" s="299"/>
      <c r="O10" s="299"/>
      <c r="P10" s="299"/>
      <c r="Q10" s="300"/>
      <c r="R10" s="9"/>
      <c r="S10" s="1019" t="s">
        <v>496</v>
      </c>
      <c r="T10" s="1019"/>
      <c r="U10" s="1019"/>
      <c r="V10" s="1019"/>
      <c r="W10" s="1019"/>
      <c r="X10" s="8"/>
      <c r="Y10" s="8"/>
      <c r="Z10" s="8"/>
      <c r="AA10" s="8"/>
      <c r="AB10" s="8"/>
      <c r="AC10" s="8"/>
      <c r="AD10" s="8"/>
      <c r="AE10" s="8"/>
      <c r="AF10" s="521"/>
      <c r="AG10" s="8"/>
      <c r="AH10" s="8"/>
      <c r="AI10" s="8"/>
      <c r="AJ10" s="250"/>
    </row>
    <row r="11" spans="1:36" ht="15" customHeight="1" thickBot="1" x14ac:dyDescent="0.25">
      <c r="B11" s="195"/>
      <c r="C11" s="48"/>
      <c r="F11" s="8"/>
      <c r="G11" s="818" t="s">
        <v>381</v>
      </c>
      <c r="H11" s="220"/>
      <c r="I11" s="220"/>
      <c r="J11" s="304">
        <v>0</v>
      </c>
      <c r="K11" s="244">
        <f>J11</f>
        <v>0</v>
      </c>
      <c r="M11" s="232" t="s">
        <v>381</v>
      </c>
      <c r="N11" s="220"/>
      <c r="O11" s="220"/>
      <c r="P11" s="305">
        <v>0</v>
      </c>
      <c r="Q11" s="244">
        <f>P11</f>
        <v>0</v>
      </c>
      <c r="R11" s="9"/>
      <c r="S11" s="7"/>
      <c r="T11" s="8"/>
      <c r="U11" s="8"/>
      <c r="V11" s="8"/>
      <c r="W11" s="11"/>
      <c r="X11" s="8"/>
      <c r="Y11" s="8"/>
      <c r="Z11" s="10"/>
      <c r="AA11" s="8"/>
      <c r="AB11" s="8"/>
      <c r="AC11" s="8"/>
      <c r="AD11" s="8"/>
      <c r="AE11" s="8"/>
    </row>
    <row r="12" spans="1:36" ht="15" customHeight="1" thickBot="1" x14ac:dyDescent="0.25">
      <c r="B12" s="480"/>
      <c r="F12" s="8"/>
      <c r="G12" s="889"/>
      <c r="H12" s="188"/>
      <c r="I12" s="188"/>
      <c r="J12" s="188"/>
      <c r="K12" s="522"/>
      <c r="M12" s="188"/>
      <c r="N12" s="188"/>
      <c r="O12" s="188"/>
      <c r="P12" s="188"/>
      <c r="Q12" s="522"/>
      <c r="R12" s="9"/>
      <c r="S12" s="10"/>
      <c r="T12" s="8"/>
      <c r="U12" s="8"/>
      <c r="V12" s="8"/>
      <c r="W12" s="11"/>
      <c r="X12" s="8"/>
      <c r="Y12" s="8"/>
      <c r="Z12" s="10"/>
      <c r="AA12" s="8"/>
      <c r="AB12" s="8"/>
      <c r="AC12" s="8"/>
      <c r="AD12" s="8"/>
      <c r="AE12" s="8"/>
    </row>
    <row r="13" spans="1:36" ht="15" customHeight="1" thickBot="1" x14ac:dyDescent="0.25">
      <c r="B13" s="119"/>
      <c r="C13" s="114"/>
      <c r="F13" s="8"/>
      <c r="G13" s="889"/>
      <c r="H13" s="188"/>
      <c r="I13" s="188"/>
      <c r="J13" s="188"/>
      <c r="K13" s="522"/>
      <c r="M13" s="167" t="s">
        <v>0</v>
      </c>
      <c r="N13" s="171"/>
      <c r="O13" s="171"/>
      <c r="P13" s="188"/>
      <c r="Q13" s="1008" t="e">
        <f>1-Q11/K11</f>
        <v>#DIV/0!</v>
      </c>
      <c r="R13" s="9"/>
      <c r="S13" s="7"/>
      <c r="T13" s="8"/>
      <c r="U13" s="8"/>
      <c r="V13" s="8"/>
      <c r="W13" s="11"/>
      <c r="X13" s="8"/>
      <c r="Y13" s="8"/>
      <c r="Z13" s="10"/>
      <c r="AA13" s="8"/>
      <c r="AB13" s="8"/>
      <c r="AC13" s="8"/>
      <c r="AD13" s="8"/>
      <c r="AE13" s="8"/>
    </row>
    <row r="14" spans="1:36" ht="15" customHeight="1" x14ac:dyDescent="0.2">
      <c r="B14" s="484"/>
      <c r="C14" s="48"/>
      <c r="F14" s="8"/>
      <c r="G14" s="866"/>
      <c r="H14" s="523"/>
      <c r="I14" s="523"/>
      <c r="J14" s="523"/>
      <c r="K14" s="524"/>
      <c r="M14" s="523"/>
      <c r="N14" s="523"/>
      <c r="O14" s="523"/>
      <c r="P14" s="523"/>
      <c r="Q14" s="524"/>
      <c r="R14" s="9"/>
      <c r="S14" s="10"/>
      <c r="T14" s="8"/>
      <c r="U14" s="8"/>
      <c r="V14" s="8"/>
      <c r="W14" s="11"/>
      <c r="X14" s="8"/>
      <c r="Y14" s="8"/>
      <c r="Z14" s="10"/>
      <c r="AA14" s="8"/>
      <c r="AB14" s="8"/>
      <c r="AC14" s="8"/>
      <c r="AD14" s="8"/>
      <c r="AE14" s="8"/>
    </row>
    <row r="15" spans="1:36" ht="15" customHeight="1" thickBot="1" x14ac:dyDescent="0.25">
      <c r="B15" s="120"/>
      <c r="C15" s="48"/>
      <c r="F15" s="8"/>
      <c r="G15" s="826" t="s">
        <v>283</v>
      </c>
      <c r="H15" s="60"/>
      <c r="I15" s="357" t="s">
        <v>252</v>
      </c>
      <c r="J15" s="637"/>
      <c r="K15" s="525"/>
      <c r="M15" s="17" t="s">
        <v>283</v>
      </c>
      <c r="N15" s="60"/>
      <c r="O15" s="357" t="s">
        <v>252</v>
      </c>
      <c r="P15" s="637"/>
      <c r="Q15" s="525"/>
      <c r="R15" s="9"/>
      <c r="S15" s="10"/>
      <c r="T15" s="8"/>
      <c r="U15" s="8"/>
      <c r="V15" s="8"/>
      <c r="W15" s="11"/>
      <c r="X15" s="8"/>
      <c r="Y15" s="8"/>
      <c r="Z15" s="10"/>
      <c r="AA15" s="8"/>
      <c r="AB15" s="8"/>
      <c r="AC15" s="8"/>
      <c r="AD15" s="8"/>
      <c r="AE15" s="8"/>
    </row>
    <row r="16" spans="1:36" ht="15" customHeight="1" x14ac:dyDescent="0.2">
      <c r="B16" s="120"/>
      <c r="C16" s="48"/>
      <c r="F16" s="8"/>
      <c r="G16" s="896"/>
      <c r="H16" s="526"/>
      <c r="I16" s="526"/>
      <c r="J16" s="526"/>
      <c r="K16" s="527"/>
      <c r="M16" s="526"/>
      <c r="N16" s="526"/>
      <c r="O16" s="526"/>
      <c r="P16" s="526"/>
      <c r="Q16" s="527"/>
      <c r="R16" s="9"/>
      <c r="S16" s="10"/>
      <c r="T16" s="8"/>
      <c r="U16" s="8"/>
      <c r="V16" s="8"/>
      <c r="W16" s="8"/>
      <c r="X16" s="8"/>
      <c r="Y16" s="8"/>
      <c r="Z16" s="10"/>
      <c r="AA16" s="8"/>
      <c r="AB16" s="8"/>
      <c r="AC16" s="8"/>
      <c r="AD16" s="8"/>
      <c r="AE16" s="8"/>
    </row>
    <row r="17" spans="2:36" ht="15" customHeight="1" thickBot="1" x14ac:dyDescent="0.25">
      <c r="B17" s="120"/>
      <c r="C17" s="48"/>
      <c r="F17" s="8"/>
      <c r="G17" s="818" t="s">
        <v>386</v>
      </c>
      <c r="H17" s="310"/>
      <c r="I17" s="310"/>
      <c r="J17" s="310"/>
      <c r="K17" s="528"/>
      <c r="M17" s="232" t="s">
        <v>386</v>
      </c>
      <c r="N17" s="310"/>
      <c r="O17" s="310"/>
      <c r="P17" s="310"/>
      <c r="Q17" s="528"/>
      <c r="U17" s="8"/>
      <c r="V17" s="8"/>
      <c r="AC17" s="8"/>
      <c r="AD17" s="8"/>
      <c r="AE17" s="8"/>
    </row>
    <row r="18" spans="2:36" ht="15" customHeight="1" thickBot="1" x14ac:dyDescent="0.25">
      <c r="B18" s="120"/>
      <c r="C18" s="48"/>
      <c r="F18" s="8"/>
      <c r="G18" s="819" t="s">
        <v>205</v>
      </c>
      <c r="H18" s="171"/>
      <c r="I18" s="175"/>
      <c r="J18" s="184">
        <v>0</v>
      </c>
      <c r="K18" s="247">
        <f>J18</f>
        <v>0</v>
      </c>
      <c r="M18" s="170" t="s">
        <v>205</v>
      </c>
      <c r="N18" s="171"/>
      <c r="O18" s="175"/>
      <c r="P18" s="184">
        <v>0</v>
      </c>
      <c r="Q18" s="247">
        <f>P18</f>
        <v>0</v>
      </c>
      <c r="U18" s="8"/>
      <c r="V18" s="8"/>
      <c r="AC18" s="8"/>
      <c r="AD18" s="8"/>
      <c r="AE18" s="8"/>
    </row>
    <row r="19" spans="2:36" ht="15" customHeight="1" thickBot="1" x14ac:dyDescent="0.25">
      <c r="B19" s="120"/>
      <c r="C19" s="48"/>
      <c r="F19" s="8"/>
      <c r="G19" s="819" t="s">
        <v>531</v>
      </c>
      <c r="H19" s="171"/>
      <c r="I19" s="175"/>
      <c r="J19" s="172">
        <v>0</v>
      </c>
      <c r="K19" s="243">
        <f>J19</f>
        <v>0</v>
      </c>
      <c r="M19" s="170" t="s">
        <v>531</v>
      </c>
      <c r="N19" s="171"/>
      <c r="O19" s="188"/>
      <c r="P19" s="174">
        <v>0</v>
      </c>
      <c r="Q19" s="243">
        <f>P19</f>
        <v>0</v>
      </c>
      <c r="U19" s="8"/>
      <c r="V19" s="8"/>
      <c r="AC19" s="8"/>
      <c r="AD19" s="8"/>
      <c r="AE19" s="8"/>
    </row>
    <row r="20" spans="2:36" ht="15" customHeight="1" thickBot="1" x14ac:dyDescent="0.25">
      <c r="B20" s="120"/>
      <c r="C20" s="48"/>
      <c r="F20" s="8"/>
      <c r="G20" s="872"/>
      <c r="H20" s="60"/>
      <c r="I20" s="60"/>
      <c r="J20" s="60"/>
      <c r="K20" s="60"/>
      <c r="M20" s="60"/>
      <c r="N20" s="60"/>
      <c r="O20" s="60"/>
      <c r="P20" s="60"/>
      <c r="Q20" s="60"/>
      <c r="U20" s="8"/>
      <c r="V20" s="8"/>
      <c r="AC20" s="8"/>
      <c r="AD20" s="8"/>
      <c r="AE20" s="8"/>
    </row>
    <row r="21" spans="2:36" ht="15" customHeight="1" thickBot="1" x14ac:dyDescent="0.25">
      <c r="B21" s="120"/>
      <c r="C21" s="48"/>
      <c r="F21" s="8"/>
      <c r="G21" s="819" t="s">
        <v>16</v>
      </c>
      <c r="H21" s="171"/>
      <c r="I21" s="177"/>
      <c r="J21" s="172">
        <v>0</v>
      </c>
      <c r="K21" s="243">
        <f>J21</f>
        <v>0</v>
      </c>
      <c r="M21" s="170" t="s">
        <v>16</v>
      </c>
      <c r="N21" s="171"/>
      <c r="O21" s="177"/>
      <c r="P21" s="174">
        <v>0</v>
      </c>
      <c r="Q21" s="243">
        <f>P21</f>
        <v>0</v>
      </c>
      <c r="U21" s="8"/>
      <c r="V21" s="8"/>
      <c r="AC21" s="8"/>
      <c r="AD21" s="8"/>
      <c r="AE21" s="8"/>
    </row>
    <row r="22" spans="2:36" ht="15" customHeight="1" thickBot="1" x14ac:dyDescent="0.25">
      <c r="F22" s="8"/>
      <c r="G22" s="819" t="s">
        <v>425</v>
      </c>
      <c r="H22" s="171"/>
      <c r="I22" s="171"/>
      <c r="J22" s="172">
        <v>0</v>
      </c>
      <c r="K22" s="243">
        <f>J22</f>
        <v>0</v>
      </c>
      <c r="M22" s="170" t="s">
        <v>425</v>
      </c>
      <c r="N22" s="171"/>
      <c r="O22" s="171"/>
      <c r="P22" s="172">
        <v>0</v>
      </c>
      <c r="Q22" s="243">
        <f>P22</f>
        <v>0</v>
      </c>
      <c r="U22" s="8"/>
      <c r="V22" s="8"/>
      <c r="AC22" s="8"/>
      <c r="AD22" s="8"/>
      <c r="AE22" s="8"/>
    </row>
    <row r="23" spans="2:36" ht="15" customHeight="1" thickBot="1" x14ac:dyDescent="0.25">
      <c r="F23" s="8"/>
      <c r="G23" s="872" t="s">
        <v>385</v>
      </c>
      <c r="H23" s="60"/>
      <c r="I23" s="60"/>
      <c r="J23" s="658">
        <v>0</v>
      </c>
      <c r="K23" s="243">
        <f>J23</f>
        <v>0</v>
      </c>
      <c r="M23" s="397" t="s">
        <v>385</v>
      </c>
      <c r="N23" s="60"/>
      <c r="O23" s="60"/>
      <c r="P23" s="658">
        <v>0</v>
      </c>
      <c r="Q23" s="243">
        <f>P23</f>
        <v>0</v>
      </c>
      <c r="U23" s="8"/>
      <c r="V23" s="8"/>
      <c r="AC23" s="8"/>
      <c r="AD23" s="8"/>
      <c r="AE23" s="8"/>
    </row>
    <row r="24" spans="2:36" ht="15" customHeight="1" thickBot="1" x14ac:dyDescent="0.25">
      <c r="B24" s="119"/>
      <c r="C24" s="114"/>
      <c r="F24" s="8"/>
      <c r="G24" s="819" t="s">
        <v>532</v>
      </c>
      <c r="H24" s="641"/>
      <c r="I24" s="643"/>
      <c r="J24" s="649">
        <v>0</v>
      </c>
      <c r="K24" s="642">
        <f>J24</f>
        <v>0</v>
      </c>
      <c r="M24" s="170" t="s">
        <v>532</v>
      </c>
      <c r="N24" s="171"/>
      <c r="O24" s="175"/>
      <c r="P24" s="174">
        <v>0</v>
      </c>
      <c r="Q24" s="243">
        <f>P24</f>
        <v>0</v>
      </c>
      <c r="U24" s="8"/>
      <c r="V24" s="8"/>
      <c r="AC24" s="8"/>
      <c r="AD24" s="8"/>
      <c r="AE24" s="8"/>
    </row>
    <row r="25" spans="2:36" ht="15" customHeight="1" thickBot="1" x14ac:dyDescent="0.25">
      <c r="B25" s="484"/>
      <c r="C25" s="114"/>
      <c r="F25" s="8"/>
      <c r="G25" s="891"/>
      <c r="H25" s="176"/>
      <c r="I25" s="340"/>
      <c r="J25" s="171"/>
      <c r="K25" s="341"/>
      <c r="M25" s="243"/>
      <c r="N25" s="176"/>
      <c r="O25" s="340"/>
      <c r="P25" s="356"/>
      <c r="Q25" s="341"/>
      <c r="U25" s="8"/>
      <c r="V25" s="8"/>
      <c r="AC25" s="8"/>
      <c r="AD25" s="8"/>
      <c r="AE25" s="8"/>
    </row>
    <row r="26" spans="2:36" ht="15" customHeight="1" x14ac:dyDescent="0.2">
      <c r="B26" s="89"/>
      <c r="C26" s="48"/>
      <c r="F26" s="8"/>
      <c r="K26" s="529"/>
      <c r="Q26" s="529"/>
      <c r="U26" s="8"/>
      <c r="V26" s="8"/>
      <c r="AC26" s="8"/>
      <c r="AD26" s="8"/>
      <c r="AE26" s="8"/>
    </row>
    <row r="27" spans="2:36" ht="15" customHeight="1" x14ac:dyDescent="0.2">
      <c r="B27" s="89"/>
      <c r="C27" s="48"/>
      <c r="F27" s="8"/>
      <c r="G27" s="10"/>
      <c r="H27" s="8"/>
      <c r="I27" s="8"/>
      <c r="J27" s="96"/>
      <c r="K27" s="250"/>
      <c r="Q27" s="529"/>
      <c r="U27" s="8"/>
      <c r="V27" s="8"/>
      <c r="AC27" s="8"/>
      <c r="AD27" s="8"/>
      <c r="AE27" s="8"/>
    </row>
    <row r="28" spans="2:36" ht="15" customHeight="1" thickBot="1" x14ac:dyDescent="0.25">
      <c r="B28" s="89"/>
      <c r="C28" s="48"/>
      <c r="F28" s="8"/>
      <c r="K28" s="529"/>
      <c r="O28" s="574"/>
      <c r="Q28" s="529"/>
      <c r="U28" s="8"/>
      <c r="V28" s="8"/>
      <c r="AC28" s="8"/>
      <c r="AD28" s="8"/>
      <c r="AE28" s="8"/>
      <c r="AF28" s="66"/>
      <c r="AG28" s="8"/>
      <c r="AH28" s="8"/>
      <c r="AI28" s="96"/>
      <c r="AJ28" s="10"/>
    </row>
    <row r="29" spans="2:36" ht="15" customHeight="1" thickBot="1" x14ac:dyDescent="0.25">
      <c r="B29" s="89"/>
      <c r="C29" s="89"/>
      <c r="D29" s="89"/>
      <c r="F29" s="8"/>
      <c r="G29" s="339" t="s">
        <v>489</v>
      </c>
      <c r="H29" s="297"/>
      <c r="I29" s="297"/>
      <c r="J29" s="297"/>
      <c r="K29" s="298"/>
      <c r="M29" s="873" t="s">
        <v>530</v>
      </c>
      <c r="N29" s="405"/>
      <c r="O29" s="406"/>
      <c r="P29" s="406"/>
      <c r="Q29" s="337"/>
      <c r="U29" s="8"/>
      <c r="V29" s="8"/>
      <c r="AC29" s="8"/>
      <c r="AD29" s="8"/>
      <c r="AE29" s="8"/>
    </row>
    <row r="30" spans="2:36" ht="15" customHeight="1" thickBot="1" x14ac:dyDescent="0.25">
      <c r="B30" s="89"/>
      <c r="C30" s="89"/>
      <c r="D30" s="89"/>
      <c r="F30" s="8"/>
      <c r="G30" s="69"/>
      <c r="H30" s="644"/>
      <c r="I30" s="644"/>
      <c r="J30" s="644"/>
      <c r="K30" s="644"/>
      <c r="M30" s="830" t="s">
        <v>381</v>
      </c>
      <c r="N30" s="220"/>
      <c r="O30" s="171"/>
      <c r="P30" s="305">
        <v>0</v>
      </c>
      <c r="Q30" s="244">
        <f>P30</f>
        <v>0</v>
      </c>
      <c r="U30" s="8"/>
      <c r="V30" s="8"/>
      <c r="AC30" s="8"/>
      <c r="AD30" s="8"/>
      <c r="AE30" s="8"/>
    </row>
    <row r="31" spans="2:36" ht="15" customHeight="1" thickBot="1" x14ac:dyDescent="0.25">
      <c r="B31" s="89"/>
      <c r="C31" s="89"/>
      <c r="D31" s="89"/>
      <c r="F31" s="8"/>
      <c r="G31" s="69" t="s">
        <v>527</v>
      </c>
      <c r="H31" s="1057" t="s">
        <v>534</v>
      </c>
      <c r="I31" s="1057"/>
      <c r="J31" s="1057"/>
      <c r="K31" s="1057"/>
      <c r="M31" s="832" t="s">
        <v>0</v>
      </c>
      <c r="N31" s="171"/>
      <c r="O31" s="171"/>
      <c r="P31" s="188"/>
      <c r="Q31" s="257" t="e">
        <f>1-Q30/K11</f>
        <v>#DIV/0!</v>
      </c>
      <c r="U31" s="8"/>
      <c r="V31" s="8"/>
      <c r="AC31" s="8"/>
      <c r="AD31" s="8"/>
      <c r="AE31" s="8"/>
      <c r="AF31" s="8"/>
      <c r="AG31" s="8"/>
      <c r="AH31" s="530"/>
      <c r="AI31" s="8"/>
      <c r="AJ31" s="10"/>
    </row>
    <row r="32" spans="2:36" ht="15" customHeight="1" x14ac:dyDescent="0.2">
      <c r="B32" s="89"/>
      <c r="C32" s="89"/>
      <c r="D32" s="89"/>
      <c r="E32" s="55"/>
      <c r="F32" s="8"/>
      <c r="G32" s="69"/>
      <c r="H32" s="644"/>
      <c r="I32" s="644"/>
      <c r="J32" s="644"/>
      <c r="K32" s="644"/>
      <c r="M32" s="885"/>
      <c r="N32" s="523"/>
      <c r="O32" s="523"/>
      <c r="P32" s="523"/>
      <c r="Q32" s="524"/>
      <c r="U32" s="8"/>
      <c r="V32" s="8"/>
      <c r="AC32" s="8"/>
      <c r="AD32" s="8"/>
      <c r="AE32" s="8"/>
      <c r="AH32" s="530"/>
    </row>
    <row r="33" spans="2:36" ht="15" customHeight="1" thickBot="1" x14ac:dyDescent="0.25">
      <c r="B33" s="89"/>
      <c r="C33" s="89"/>
      <c r="D33" s="89"/>
      <c r="F33" s="8"/>
      <c r="G33" s="1057" t="s">
        <v>533</v>
      </c>
      <c r="H33" s="1057"/>
      <c r="I33" s="1057"/>
      <c r="J33" s="1057"/>
      <c r="K33" s="1057"/>
      <c r="M33" s="839" t="s">
        <v>283</v>
      </c>
      <c r="N33" s="60"/>
      <c r="O33" s="357" t="s">
        <v>252</v>
      </c>
      <c r="P33" s="637"/>
      <c r="Q33" s="525"/>
      <c r="U33" s="8"/>
      <c r="V33" s="8"/>
      <c r="AC33" s="8"/>
      <c r="AD33" s="8"/>
      <c r="AE33" s="8"/>
    </row>
    <row r="34" spans="2:36" ht="15" customHeight="1" x14ac:dyDescent="0.2">
      <c r="B34" s="89"/>
      <c r="C34" s="89"/>
      <c r="D34" s="89"/>
      <c r="F34" s="8"/>
      <c r="G34" s="1057"/>
      <c r="H34" s="1057"/>
      <c r="I34" s="1057"/>
      <c r="J34" s="1057"/>
      <c r="K34" s="1057"/>
      <c r="M34" s="888"/>
      <c r="N34" s="526"/>
      <c r="O34" s="526"/>
      <c r="P34" s="526"/>
      <c r="Q34" s="527"/>
      <c r="U34" s="8"/>
      <c r="V34" s="8"/>
      <c r="AC34" s="8"/>
      <c r="AD34" s="8"/>
      <c r="AE34" s="8"/>
      <c r="AF34" s="66"/>
      <c r="AG34" s="10"/>
      <c r="AH34" s="10"/>
      <c r="AI34" s="8"/>
      <c r="AJ34" s="10"/>
    </row>
    <row r="35" spans="2:36" ht="15" customHeight="1" thickBot="1" x14ac:dyDescent="0.25">
      <c r="B35" s="89"/>
      <c r="C35" s="89"/>
      <c r="D35" s="89"/>
      <c r="F35" s="8"/>
      <c r="G35" s="1057"/>
      <c r="H35" s="1057"/>
      <c r="I35" s="1057"/>
      <c r="J35" s="1057"/>
      <c r="K35" s="1057"/>
      <c r="M35" s="830" t="s">
        <v>386</v>
      </c>
      <c r="N35" s="310"/>
      <c r="O35" s="221"/>
      <c r="P35" s="310"/>
      <c r="Q35" s="528"/>
      <c r="U35" s="8"/>
      <c r="V35" s="8"/>
      <c r="AC35" s="8"/>
      <c r="AD35" s="8"/>
      <c r="AE35" s="8"/>
      <c r="AF35" s="8"/>
      <c r="AG35" s="8"/>
      <c r="AI35" s="8"/>
      <c r="AJ35" s="10"/>
    </row>
    <row r="36" spans="2:36" ht="15" customHeight="1" thickBot="1" x14ac:dyDescent="0.25">
      <c r="B36" s="89"/>
      <c r="C36" s="89"/>
      <c r="D36" s="89"/>
      <c r="E36" s="55"/>
      <c r="F36" s="8"/>
      <c r="G36" s="1057"/>
      <c r="H36" s="1057"/>
      <c r="I36" s="1057"/>
      <c r="J36" s="1057"/>
      <c r="K36" s="1057"/>
      <c r="M36" s="837" t="s">
        <v>205</v>
      </c>
      <c r="N36" s="171"/>
      <c r="O36" s="175"/>
      <c r="P36" s="184">
        <v>0</v>
      </c>
      <c r="Q36" s="247">
        <f>P36</f>
        <v>0</v>
      </c>
      <c r="U36" s="8"/>
      <c r="V36" s="8"/>
      <c r="AC36" s="8"/>
      <c r="AD36" s="8"/>
      <c r="AE36" s="8"/>
      <c r="AF36" s="66"/>
      <c r="AG36" s="8"/>
      <c r="AH36" s="8"/>
      <c r="AI36" s="8"/>
      <c r="AJ36" s="93"/>
    </row>
    <row r="37" spans="2:36" ht="15" customHeight="1" thickBot="1" x14ac:dyDescent="0.25">
      <c r="B37" s="89"/>
      <c r="C37" s="89"/>
      <c r="D37" s="89"/>
      <c r="F37" s="8"/>
      <c r="G37" s="1057"/>
      <c r="H37" s="1057"/>
      <c r="I37" s="1057"/>
      <c r="J37" s="1057"/>
      <c r="K37" s="1057"/>
      <c r="M37" s="837" t="s">
        <v>531</v>
      </c>
      <c r="N37" s="171"/>
      <c r="O37" s="175"/>
      <c r="P37" s="174">
        <v>0</v>
      </c>
      <c r="Q37" s="243">
        <f>P37</f>
        <v>0</v>
      </c>
      <c r="R37" s="9"/>
      <c r="S37" s="10"/>
      <c r="T37" s="8"/>
      <c r="U37" s="8"/>
      <c r="V37" s="8"/>
      <c r="AB37" s="8"/>
      <c r="AC37" s="8"/>
      <c r="AD37" s="8"/>
      <c r="AE37" s="8"/>
      <c r="AF37" s="66"/>
      <c r="AG37" s="8"/>
      <c r="AH37" s="8"/>
      <c r="AI37" s="8"/>
      <c r="AJ37" s="93"/>
    </row>
    <row r="38" spans="2:36" ht="15" customHeight="1" thickBot="1" x14ac:dyDescent="0.25">
      <c r="B38" s="89"/>
      <c r="C38" s="89"/>
      <c r="D38" s="89"/>
      <c r="F38" s="8"/>
      <c r="G38" s="1057"/>
      <c r="H38" s="1057"/>
      <c r="I38" s="1057"/>
      <c r="J38" s="1057"/>
      <c r="K38" s="1057"/>
      <c r="M38" s="864"/>
      <c r="N38" s="60"/>
      <c r="O38" s="60"/>
      <c r="P38" s="60"/>
      <c r="Q38" s="60"/>
      <c r="R38" s="9"/>
      <c r="S38" s="10"/>
      <c r="T38" s="8"/>
      <c r="U38" s="8"/>
      <c r="V38" s="8"/>
      <c r="AB38" s="8"/>
      <c r="AC38" s="8"/>
      <c r="AD38" s="8"/>
      <c r="AE38" s="8"/>
      <c r="AF38" s="66"/>
      <c r="AG38" s="8"/>
      <c r="AH38" s="8"/>
      <c r="AI38" s="8"/>
      <c r="AJ38" s="93"/>
    </row>
    <row r="39" spans="2:36" ht="15" customHeight="1" thickBot="1" x14ac:dyDescent="0.25">
      <c r="B39" s="89"/>
      <c r="C39" s="89"/>
      <c r="D39" s="89"/>
      <c r="F39" s="8"/>
      <c r="G39" s="1057"/>
      <c r="H39" s="1057"/>
      <c r="I39" s="1057"/>
      <c r="J39" s="1057"/>
      <c r="K39" s="1057"/>
      <c r="L39" s="10"/>
      <c r="M39" s="837" t="s">
        <v>16</v>
      </c>
      <c r="N39" s="171"/>
      <c r="O39" s="177"/>
      <c r="P39" s="174">
        <v>0</v>
      </c>
      <c r="Q39" s="243">
        <f>P39</f>
        <v>0</v>
      </c>
      <c r="R39" s="9"/>
      <c r="S39" s="10"/>
      <c r="T39" s="8"/>
      <c r="U39" s="8"/>
      <c r="V39" s="8"/>
      <c r="AB39" s="8"/>
      <c r="AC39" s="8"/>
      <c r="AD39" s="8"/>
      <c r="AE39" s="8"/>
      <c r="AF39" s="66"/>
      <c r="AG39" s="8"/>
      <c r="AH39" s="8"/>
      <c r="AI39" s="8"/>
      <c r="AJ39" s="93"/>
    </row>
    <row r="40" spans="2:36" ht="15" customHeight="1" thickBot="1" x14ac:dyDescent="0.25">
      <c r="B40" s="89"/>
      <c r="C40" s="89"/>
      <c r="D40" s="89"/>
      <c r="F40" s="8"/>
      <c r="G40" s="1057"/>
      <c r="H40" s="1057"/>
      <c r="I40" s="1057"/>
      <c r="J40" s="1057"/>
      <c r="K40" s="1057"/>
      <c r="M40" s="837" t="s">
        <v>425</v>
      </c>
      <c r="N40" s="171"/>
      <c r="O40" s="171"/>
      <c r="P40" s="172">
        <v>0</v>
      </c>
      <c r="Q40" s="243">
        <f>P40</f>
        <v>0</v>
      </c>
      <c r="R40" s="9"/>
      <c r="S40" s="10"/>
      <c r="T40" s="8"/>
      <c r="U40" s="8"/>
      <c r="V40" s="8"/>
      <c r="W40" s="531"/>
      <c r="AB40" s="8"/>
      <c r="AC40" s="8"/>
      <c r="AD40" s="8"/>
      <c r="AE40" s="8"/>
      <c r="AF40" s="8"/>
      <c r="AG40" s="8"/>
      <c r="AH40" s="8"/>
      <c r="AI40" s="68"/>
      <c r="AJ40" s="10"/>
    </row>
    <row r="41" spans="2:36" ht="15" customHeight="1" thickBot="1" x14ac:dyDescent="0.25">
      <c r="B41" s="89"/>
      <c r="C41" s="89"/>
      <c r="D41" s="89"/>
      <c r="F41" s="8"/>
      <c r="G41" s="1057"/>
      <c r="H41" s="1057"/>
      <c r="I41" s="1057"/>
      <c r="J41" s="1057"/>
      <c r="K41" s="1057"/>
      <c r="M41" s="864" t="s">
        <v>385</v>
      </c>
      <c r="N41" s="60"/>
      <c r="O41" s="60"/>
      <c r="P41" s="658">
        <v>0</v>
      </c>
      <c r="Q41" s="243">
        <f>P41</f>
        <v>0</v>
      </c>
      <c r="R41" s="9"/>
      <c r="S41" s="899" t="s">
        <v>316</v>
      </c>
      <c r="T41" s="659"/>
      <c r="U41" s="659"/>
      <c r="V41" s="659"/>
      <c r="W41" s="659"/>
      <c r="AB41" s="8"/>
      <c r="AC41" s="8"/>
      <c r="AD41" s="8"/>
      <c r="AE41" s="8"/>
    </row>
    <row r="42" spans="2:36" ht="15" customHeight="1" thickBot="1" x14ac:dyDescent="0.25">
      <c r="B42" s="89"/>
      <c r="C42" s="89"/>
      <c r="D42" s="89"/>
      <c r="F42" s="8"/>
      <c r="G42" s="1057"/>
      <c r="H42" s="1057"/>
      <c r="I42" s="1057"/>
      <c r="J42" s="1057"/>
      <c r="K42" s="1057"/>
      <c r="L42" s="10"/>
      <c r="M42" s="837" t="s">
        <v>532</v>
      </c>
      <c r="N42" s="171"/>
      <c r="O42" s="175"/>
      <c r="P42" s="174">
        <v>0</v>
      </c>
      <c r="Q42" s="243">
        <f>P42</f>
        <v>0</v>
      </c>
      <c r="R42" s="9"/>
      <c r="S42" s="532" t="s">
        <v>541</v>
      </c>
      <c r="T42" s="60"/>
      <c r="U42" s="13"/>
      <c r="V42" s="661" t="e">
        <f>J72</f>
        <v>#N/A</v>
      </c>
      <c r="W42" s="662" t="s">
        <v>542</v>
      </c>
      <c r="AB42" s="8"/>
      <c r="AC42" s="8"/>
      <c r="AD42" s="8"/>
      <c r="AE42" s="8"/>
    </row>
    <row r="43" spans="2:36" ht="15" customHeight="1" thickBot="1" x14ac:dyDescent="0.25">
      <c r="C43" s="486"/>
      <c r="D43" s="486"/>
      <c r="F43" s="8"/>
      <c r="G43" s="1057"/>
      <c r="H43" s="1057"/>
      <c r="I43" s="1057"/>
      <c r="J43" s="1057"/>
      <c r="K43" s="1057"/>
      <c r="L43" s="10"/>
      <c r="M43" s="895"/>
      <c r="N43" s="176"/>
      <c r="O43" s="340"/>
      <c r="P43" s="171"/>
      <c r="Q43" s="341"/>
      <c r="R43" s="9"/>
      <c r="S43" s="906" t="s">
        <v>594</v>
      </c>
      <c r="T43" s="864"/>
      <c r="U43" s="864"/>
      <c r="V43" s="907" t="e">
        <f>J73</f>
        <v>#N/A</v>
      </c>
      <c r="W43" s="908" t="s">
        <v>542</v>
      </c>
      <c r="AB43" s="8"/>
      <c r="AC43" s="8"/>
      <c r="AD43" s="8"/>
      <c r="AE43" s="8"/>
      <c r="AF43" s="9"/>
      <c r="AG43" s="9"/>
      <c r="AH43" s="9"/>
      <c r="AI43" s="9"/>
      <c r="AJ43" s="9"/>
    </row>
    <row r="44" spans="2:36" ht="15" customHeight="1" x14ac:dyDescent="0.2">
      <c r="B44" s="89"/>
      <c r="C44" s="48"/>
      <c r="F44" s="8"/>
      <c r="G44" s="10"/>
      <c r="H44" s="8"/>
      <c r="I44" s="8"/>
      <c r="J44" s="8"/>
      <c r="K44" s="45"/>
      <c r="L44" s="10"/>
      <c r="M44" s="46"/>
      <c r="N44" s="46"/>
      <c r="O44" s="8"/>
      <c r="P44" s="8"/>
      <c r="Q44" s="46"/>
      <c r="R44" s="9"/>
      <c r="S44" s="10"/>
      <c r="T44" s="8"/>
      <c r="U44" s="8"/>
      <c r="V44" s="8"/>
      <c r="AB44" s="8"/>
      <c r="AC44" s="8"/>
      <c r="AD44" s="8"/>
      <c r="AE44" s="8"/>
      <c r="AF44" s="9"/>
      <c r="AG44" s="9"/>
      <c r="AH44" s="9"/>
      <c r="AI44" s="9"/>
      <c r="AJ44" s="9"/>
    </row>
    <row r="45" spans="2:36" ht="15" customHeight="1" x14ac:dyDescent="0.2">
      <c r="B45" s="89"/>
      <c r="C45" s="48"/>
      <c r="F45" s="8"/>
      <c r="G45" s="8"/>
      <c r="H45" s="8"/>
      <c r="I45" s="8"/>
      <c r="J45" s="8"/>
      <c r="K45" s="8"/>
      <c r="L45" s="10"/>
      <c r="M45" s="8"/>
      <c r="N45" s="8"/>
      <c r="O45" s="8"/>
      <c r="P45" s="8"/>
      <c r="Q45" s="8"/>
      <c r="R45" s="9"/>
      <c r="S45" s="10"/>
      <c r="T45" s="8"/>
      <c r="U45" s="8"/>
      <c r="V45" s="8"/>
      <c r="AB45" s="8"/>
      <c r="AC45" s="8"/>
      <c r="AD45" s="8"/>
      <c r="AE45" s="8"/>
      <c r="AF45" s="9"/>
      <c r="AG45" s="9"/>
      <c r="AH45" s="9"/>
      <c r="AI45" s="9"/>
      <c r="AJ45" s="9"/>
    </row>
    <row r="46" spans="2:36" ht="15" customHeight="1" x14ac:dyDescent="0.2">
      <c r="B46" s="89"/>
      <c r="C46" s="48"/>
      <c r="F46" s="8"/>
      <c r="G46" s="7"/>
      <c r="H46" s="8"/>
      <c r="I46" s="8"/>
      <c r="J46" s="8"/>
      <c r="K46" s="67"/>
      <c r="T46" s="12"/>
      <c r="U46" s="8"/>
      <c r="AC46" s="8"/>
      <c r="AD46" s="8"/>
      <c r="AE46" s="8"/>
      <c r="AF46" s="87"/>
      <c r="AG46" s="9"/>
      <c r="AH46" s="9"/>
      <c r="AI46" s="9"/>
      <c r="AJ46" s="98"/>
    </row>
    <row r="47" spans="2:36" ht="15" customHeight="1" x14ac:dyDescent="0.2">
      <c r="B47" s="89"/>
      <c r="C47" s="48"/>
      <c r="F47" s="8"/>
      <c r="G47" s="7"/>
      <c r="H47" s="8"/>
      <c r="I47" s="8"/>
      <c r="J47" s="8"/>
      <c r="K47" s="67"/>
      <c r="T47" s="12"/>
      <c r="U47" s="8"/>
      <c r="AC47" s="8"/>
      <c r="AD47" s="8"/>
      <c r="AE47" s="8"/>
      <c r="AF47" s="87"/>
      <c r="AG47" s="9"/>
      <c r="AH47" s="9"/>
      <c r="AI47" s="9"/>
      <c r="AJ47" s="98"/>
    </row>
    <row r="48" spans="2:36" ht="15" customHeight="1" x14ac:dyDescent="0.2">
      <c r="B48" s="89"/>
      <c r="C48" s="48"/>
      <c r="F48" s="8"/>
      <c r="G48" s="7"/>
      <c r="H48" s="8"/>
      <c r="I48" s="8"/>
      <c r="J48" s="8"/>
      <c r="K48" s="67"/>
      <c r="R48" s="1"/>
    </row>
    <row r="49" spans="2:36" ht="15" customHeight="1" x14ac:dyDescent="0.2">
      <c r="B49" s="89"/>
      <c r="C49" s="48"/>
      <c r="F49" s="8"/>
      <c r="G49" s="7"/>
      <c r="H49" s="8"/>
      <c r="I49" s="8"/>
      <c r="J49" s="8"/>
      <c r="K49" s="67"/>
      <c r="T49" s="12"/>
      <c r="U49" s="8"/>
      <c r="AC49" s="8"/>
      <c r="AD49" s="8"/>
      <c r="AE49" s="8"/>
      <c r="AF49" s="87"/>
      <c r="AG49" s="9"/>
      <c r="AH49" s="9"/>
      <c r="AI49" s="9"/>
      <c r="AJ49" s="98"/>
    </row>
    <row r="50" spans="2:36" ht="15" customHeight="1" x14ac:dyDescent="0.2">
      <c r="B50" s="89"/>
      <c r="C50" s="48"/>
      <c r="F50" s="8"/>
      <c r="G50" s="7"/>
      <c r="H50" s="8"/>
      <c r="I50" s="8"/>
      <c r="J50" s="8"/>
      <c r="K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row>
    <row r="51" spans="2:36" ht="15" customHeight="1" x14ac:dyDescent="0.2">
      <c r="B51" s="89"/>
      <c r="C51" s="48"/>
      <c r="F51" s="8"/>
      <c r="G51" s="7"/>
      <c r="H51" s="8"/>
      <c r="I51" s="8"/>
      <c r="J51" s="8"/>
      <c r="K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row>
    <row r="52" spans="2:36" ht="15" customHeight="1" x14ac:dyDescent="0.2">
      <c r="B52" s="89"/>
      <c r="C52" s="48"/>
      <c r="F52" s="8"/>
      <c r="G52" s="7"/>
      <c r="H52" s="8"/>
      <c r="I52" s="8"/>
      <c r="J52" s="8"/>
      <c r="K52" s="67"/>
      <c r="T52" s="12"/>
      <c r="U52" s="8"/>
      <c r="AC52" s="8"/>
      <c r="AD52" s="8"/>
      <c r="AE52" s="8"/>
      <c r="AF52" s="87"/>
      <c r="AG52" s="9"/>
      <c r="AH52" s="9"/>
      <c r="AI52" s="9"/>
      <c r="AJ52" s="98"/>
    </row>
    <row r="53" spans="2:36" ht="15" customHeight="1" x14ac:dyDescent="0.2">
      <c r="B53" s="89"/>
      <c r="C53" s="48"/>
      <c r="F53" s="8"/>
      <c r="G53" s="7"/>
      <c r="H53" s="8"/>
      <c r="I53" s="8"/>
      <c r="J53" s="8"/>
      <c r="K53" s="67"/>
      <c r="T53" s="12"/>
      <c r="U53" s="8"/>
      <c r="AC53" s="8"/>
      <c r="AD53" s="8"/>
      <c r="AE53" s="8"/>
      <c r="AF53" s="87"/>
      <c r="AG53" s="9"/>
      <c r="AH53" s="9"/>
      <c r="AI53" s="9"/>
      <c r="AJ53" s="98"/>
    </row>
    <row r="54" spans="2:36" ht="15" customHeight="1" x14ac:dyDescent="0.2">
      <c r="B54" s="89"/>
      <c r="C54" s="48"/>
      <c r="F54" s="8"/>
      <c r="G54" s="7"/>
      <c r="H54" s="8"/>
      <c r="I54" s="8"/>
      <c r="J54" s="8"/>
      <c r="K54" s="67"/>
      <c r="T54" s="12"/>
      <c r="U54" s="8"/>
      <c r="AC54" s="8"/>
      <c r="AD54" s="8"/>
      <c r="AE54" s="8"/>
      <c r="AF54" s="87"/>
      <c r="AG54" s="9"/>
      <c r="AH54" s="9"/>
      <c r="AI54" s="9"/>
      <c r="AJ54" s="98"/>
    </row>
    <row r="55" spans="2:36" ht="15" customHeight="1" x14ac:dyDescent="0.2">
      <c r="B55" s="89"/>
      <c r="C55" s="48"/>
      <c r="F55" s="8"/>
      <c r="G55" s="7"/>
      <c r="H55" s="8"/>
      <c r="I55" s="8"/>
      <c r="J55" s="8"/>
      <c r="K55" s="67"/>
      <c r="T55" s="12"/>
      <c r="U55" s="8"/>
      <c r="AC55" s="8"/>
      <c r="AD55" s="8"/>
      <c r="AE55" s="8"/>
      <c r="AF55" s="87"/>
      <c r="AG55" s="9"/>
      <c r="AH55" s="9"/>
      <c r="AI55" s="9"/>
      <c r="AJ55" s="98"/>
    </row>
    <row r="56" spans="2:36" ht="15" customHeight="1" x14ac:dyDescent="0.2">
      <c r="B56" s="89"/>
      <c r="C56" s="48"/>
      <c r="F56" s="8"/>
      <c r="G56" s="7"/>
      <c r="H56" s="8"/>
      <c r="I56" s="8"/>
      <c r="J56" s="8"/>
      <c r="K56" s="67"/>
      <c r="T56" s="12"/>
      <c r="U56" s="8"/>
      <c r="AC56" s="8"/>
      <c r="AD56" s="8"/>
      <c r="AE56" s="8"/>
      <c r="AF56" s="87"/>
      <c r="AG56" s="9"/>
      <c r="AH56" s="9"/>
      <c r="AI56" s="9"/>
      <c r="AJ56" s="98"/>
    </row>
    <row r="57" spans="2:36" ht="15" customHeight="1" x14ac:dyDescent="0.2">
      <c r="B57" s="89"/>
      <c r="C57" s="48"/>
      <c r="F57" s="8"/>
      <c r="G57" s="7"/>
      <c r="H57" s="8"/>
      <c r="I57" s="8"/>
      <c r="J57" s="8"/>
      <c r="K57" s="67"/>
      <c r="T57" s="12"/>
      <c r="U57" s="8"/>
      <c r="AC57" s="8"/>
      <c r="AD57" s="8"/>
      <c r="AE57" s="8"/>
      <c r="AF57" s="87"/>
      <c r="AG57" s="9"/>
      <c r="AH57" s="9"/>
      <c r="AI57" s="9"/>
      <c r="AJ57" s="98"/>
    </row>
    <row r="58" spans="2:36" ht="15" customHeight="1" x14ac:dyDescent="0.2">
      <c r="B58" s="89"/>
      <c r="C58" s="48"/>
      <c r="F58" s="8"/>
      <c r="G58" s="7"/>
      <c r="H58" s="8"/>
      <c r="I58" s="8"/>
      <c r="J58" s="8"/>
      <c r="K58" s="67"/>
      <c r="T58" s="12"/>
      <c r="U58" s="8"/>
      <c r="AC58" s="8"/>
      <c r="AD58" s="8"/>
      <c r="AE58" s="8"/>
      <c r="AF58" s="87"/>
      <c r="AG58" s="9"/>
      <c r="AH58" s="9"/>
      <c r="AI58" s="9"/>
      <c r="AJ58" s="98"/>
    </row>
    <row r="59" spans="2:36" ht="15" customHeight="1" x14ac:dyDescent="0.2">
      <c r="B59" s="89"/>
      <c r="C59" s="48"/>
      <c r="F59" s="8"/>
      <c r="G59" s="7"/>
      <c r="H59" s="8"/>
      <c r="I59" s="8"/>
      <c r="J59" s="8"/>
      <c r="K59" s="67"/>
      <c r="T59" s="12"/>
      <c r="U59" s="8"/>
      <c r="AC59" s="8"/>
      <c r="AD59" s="8"/>
      <c r="AE59" s="8"/>
      <c r="AF59" s="87"/>
      <c r="AG59" s="9"/>
      <c r="AH59" s="9"/>
      <c r="AI59" s="9"/>
      <c r="AJ59" s="98"/>
    </row>
    <row r="60" spans="2:36" ht="15" customHeight="1" x14ac:dyDescent="0.2">
      <c r="B60" s="89"/>
      <c r="C60" s="48"/>
      <c r="F60" s="8"/>
      <c r="G60" s="7"/>
      <c r="H60" s="8"/>
      <c r="I60" s="8"/>
      <c r="J60" s="8"/>
      <c r="K60" s="67"/>
      <c r="T60" s="12"/>
      <c r="U60" s="8"/>
      <c r="AC60" s="8"/>
      <c r="AD60" s="8"/>
      <c r="AE60" s="8"/>
      <c r="AF60" s="87"/>
      <c r="AG60" s="9"/>
      <c r="AH60" s="9"/>
      <c r="AI60" s="9"/>
      <c r="AJ60" s="98"/>
    </row>
    <row r="61" spans="2:36" ht="15" customHeight="1" x14ac:dyDescent="0.2">
      <c r="B61" s="89"/>
      <c r="C61" s="48"/>
      <c r="F61" s="8"/>
      <c r="G61" s="7"/>
      <c r="H61" s="8"/>
      <c r="I61" s="8"/>
      <c r="J61" s="8"/>
      <c r="K61" s="67"/>
      <c r="T61" s="12"/>
      <c r="U61" s="8"/>
      <c r="AC61" s="8"/>
      <c r="AD61" s="8"/>
      <c r="AE61" s="8"/>
      <c r="AF61" s="87"/>
      <c r="AG61" s="9"/>
      <c r="AH61" s="9"/>
      <c r="AI61" s="9"/>
      <c r="AJ61" s="98"/>
    </row>
    <row r="62" spans="2:36" ht="15" customHeight="1" x14ac:dyDescent="0.2">
      <c r="B62" s="89"/>
      <c r="C62" s="48"/>
      <c r="F62" s="8"/>
      <c r="G62" s="7"/>
      <c r="H62" s="8"/>
      <c r="I62" s="8"/>
      <c r="J62" s="8"/>
      <c r="K62" s="67"/>
      <c r="T62" s="12"/>
      <c r="U62" s="8"/>
      <c r="AC62" s="8"/>
      <c r="AD62" s="8"/>
      <c r="AE62" s="8"/>
      <c r="AF62" s="87"/>
      <c r="AG62" s="9"/>
      <c r="AH62" s="9"/>
      <c r="AI62" s="9"/>
      <c r="AJ62" s="98"/>
    </row>
    <row r="63" spans="2:36" ht="15" customHeight="1" x14ac:dyDescent="0.2">
      <c r="B63" s="89"/>
      <c r="C63" s="48"/>
      <c r="F63" s="8"/>
      <c r="G63" s="7"/>
      <c r="H63" s="8"/>
      <c r="I63" s="8"/>
      <c r="J63" s="8"/>
      <c r="K63" s="67"/>
      <c r="T63" s="12"/>
      <c r="U63" s="8"/>
      <c r="AC63" s="8"/>
      <c r="AD63" s="8"/>
      <c r="AE63" s="8"/>
      <c r="AF63" s="87"/>
      <c r="AG63" s="9"/>
      <c r="AH63" s="9"/>
      <c r="AI63" s="9"/>
      <c r="AJ63" s="98"/>
    </row>
    <row r="64" spans="2:36" ht="15" customHeight="1" x14ac:dyDescent="0.2">
      <c r="B64" s="89"/>
      <c r="C64" s="48"/>
      <c r="F64" s="8"/>
      <c r="G64" s="7"/>
      <c r="H64" s="8"/>
      <c r="I64" s="8"/>
      <c r="J64" s="8"/>
      <c r="K64" s="67"/>
      <c r="T64" s="12"/>
      <c r="U64" s="8"/>
      <c r="AC64" s="8"/>
      <c r="AD64" s="8"/>
      <c r="AE64" s="8"/>
      <c r="AF64" s="87"/>
      <c r="AG64" s="9"/>
      <c r="AH64" s="9"/>
      <c r="AI64" s="9"/>
      <c r="AJ64" s="98"/>
    </row>
    <row r="65" spans="2:36" ht="15" customHeight="1" x14ac:dyDescent="0.2">
      <c r="B65" s="89"/>
      <c r="C65" s="48"/>
      <c r="F65" s="8"/>
      <c r="G65" s="7"/>
      <c r="H65" s="8"/>
      <c r="I65" s="8"/>
      <c r="J65" s="8"/>
      <c r="K65" s="67"/>
      <c r="T65" s="12"/>
      <c r="U65" s="8"/>
      <c r="AC65" s="8"/>
      <c r="AD65" s="8"/>
      <c r="AE65" s="8"/>
      <c r="AF65" s="87"/>
      <c r="AG65" s="9"/>
      <c r="AH65" s="9"/>
      <c r="AI65" s="9"/>
      <c r="AJ65" s="98"/>
    </row>
    <row r="66" spans="2:36" ht="15" customHeight="1" x14ac:dyDescent="0.2">
      <c r="B66" s="89"/>
      <c r="C66" s="48"/>
      <c r="F66" s="8"/>
      <c r="G66" s="7"/>
      <c r="H66" s="8"/>
      <c r="I66" s="8"/>
      <c r="J66" s="8"/>
      <c r="K66" s="663"/>
      <c r="L66" s="663"/>
      <c r="M66" s="663"/>
      <c r="N66" s="663"/>
      <c r="O66" s="663"/>
      <c r="P66" s="663"/>
      <c r="Q66" s="663"/>
      <c r="R66" s="663"/>
      <c r="S66" s="663"/>
      <c r="T66" s="663"/>
      <c r="U66" s="663"/>
      <c r="V66" s="663"/>
      <c r="W66" s="663"/>
      <c r="X66" s="663"/>
      <c r="Y66" s="663"/>
      <c r="Z66" s="663"/>
      <c r="AA66" s="663"/>
      <c r="AB66" s="663"/>
      <c r="AC66" s="663"/>
      <c r="AD66" s="663"/>
      <c r="AE66" s="663"/>
      <c r="AF66" s="663"/>
      <c r="AG66" s="663"/>
      <c r="AH66" s="663"/>
      <c r="AI66" s="663"/>
      <c r="AJ66" s="663"/>
    </row>
    <row r="67" spans="2:36" ht="15" customHeight="1" x14ac:dyDescent="0.2">
      <c r="F67" s="8"/>
      <c r="G67" s="8"/>
      <c r="H67" s="8"/>
      <c r="I67" s="8"/>
      <c r="J67" s="8"/>
      <c r="K67" s="8"/>
      <c r="T67" s="93"/>
      <c r="U67" s="8"/>
      <c r="V67" s="8"/>
      <c r="AC67" s="8"/>
      <c r="AD67" s="8"/>
      <c r="AE67" s="8"/>
      <c r="AF67" s="87"/>
      <c r="AG67" s="9"/>
      <c r="AH67" s="9"/>
      <c r="AI67" s="9"/>
      <c r="AJ67" s="97"/>
    </row>
    <row r="68" spans="2:36" ht="15" customHeight="1" x14ac:dyDescent="0.2">
      <c r="F68" s="8"/>
      <c r="G68" s="8"/>
      <c r="H68" s="8"/>
      <c r="I68" s="8"/>
      <c r="J68" s="8"/>
      <c r="K68" s="8"/>
      <c r="L68" s="10"/>
      <c r="M68" s="8"/>
      <c r="N68" s="8"/>
      <c r="O68" s="8"/>
      <c r="P68" s="8"/>
      <c r="Q68" s="8"/>
      <c r="R68" s="9"/>
      <c r="S68" s="10"/>
      <c r="T68" s="8"/>
      <c r="U68" s="8"/>
      <c r="V68" s="8"/>
      <c r="W68" s="8"/>
      <c r="X68" s="8"/>
      <c r="Y68" s="8"/>
      <c r="Z68" s="10"/>
      <c r="AA68" s="8"/>
      <c r="AB68" s="8"/>
      <c r="AC68" s="8"/>
      <c r="AD68" s="8"/>
      <c r="AE68" s="8"/>
      <c r="AF68" s="8"/>
      <c r="AG68" s="8"/>
      <c r="AH68" s="8"/>
      <c r="AI68" s="8"/>
      <c r="AJ68" s="8"/>
    </row>
    <row r="69" spans="2:36" ht="15" customHeight="1" x14ac:dyDescent="0.2">
      <c r="F69" s="8"/>
      <c r="G69" s="8"/>
      <c r="H69" s="8"/>
      <c r="I69" s="8"/>
      <c r="J69" s="8"/>
      <c r="K69" s="8"/>
      <c r="L69" s="10"/>
      <c r="M69" s="8"/>
      <c r="N69" s="8"/>
      <c r="O69" s="8"/>
      <c r="P69" s="8"/>
      <c r="Q69" s="8"/>
      <c r="R69" s="9"/>
      <c r="S69" s="10"/>
      <c r="T69" s="8"/>
      <c r="U69" s="8"/>
      <c r="V69" s="8"/>
      <c r="W69" s="8"/>
      <c r="X69" s="8"/>
      <c r="Y69" s="8"/>
      <c r="Z69" s="10"/>
      <c r="AA69" s="8"/>
      <c r="AB69" s="8"/>
      <c r="AC69" s="8"/>
      <c r="AD69" s="8"/>
      <c r="AE69" s="8"/>
      <c r="AF69" s="8"/>
      <c r="AG69" s="8"/>
      <c r="AH69" s="8"/>
      <c r="AI69" s="8"/>
      <c r="AJ69" s="8"/>
    </row>
    <row r="70" spans="2:36" ht="15" hidden="1" customHeight="1" x14ac:dyDescent="0.2">
      <c r="F70" s="8"/>
      <c r="G70" s="30"/>
      <c r="H70" s="14"/>
      <c r="I70" s="14"/>
      <c r="J70" s="14"/>
      <c r="K70" s="40">
        <v>0</v>
      </c>
      <c r="L70" s="40">
        <v>1</v>
      </c>
      <c r="M70" s="40">
        <v>2</v>
      </c>
      <c r="N70" s="40">
        <v>3</v>
      </c>
      <c r="O70" s="40">
        <v>4</v>
      </c>
      <c r="P70" s="40">
        <v>5</v>
      </c>
      <c r="Q70" s="40">
        <v>6</v>
      </c>
      <c r="R70" s="40">
        <v>7</v>
      </c>
      <c r="S70" s="40">
        <v>8</v>
      </c>
      <c r="T70" s="40">
        <v>9</v>
      </c>
      <c r="U70" s="40">
        <v>10</v>
      </c>
      <c r="V70" s="40">
        <v>11</v>
      </c>
      <c r="W70" s="40">
        <v>12</v>
      </c>
      <c r="X70" s="40">
        <v>13</v>
      </c>
      <c r="Y70" s="40">
        <v>14</v>
      </c>
      <c r="Z70" s="40">
        <v>15</v>
      </c>
      <c r="AA70" s="40">
        <v>16</v>
      </c>
      <c r="AB70" s="40">
        <v>17</v>
      </c>
      <c r="AC70" s="40">
        <v>18</v>
      </c>
      <c r="AD70" s="40">
        <v>19</v>
      </c>
      <c r="AE70" s="40">
        <v>20</v>
      </c>
      <c r="AF70" s="40">
        <v>21</v>
      </c>
      <c r="AG70" s="40">
        <v>22</v>
      </c>
      <c r="AH70" s="40">
        <v>23</v>
      </c>
      <c r="AI70" s="40">
        <v>24</v>
      </c>
      <c r="AJ70" s="40">
        <v>25</v>
      </c>
    </row>
    <row r="71" spans="2:36" ht="15" hidden="1" customHeight="1" x14ac:dyDescent="0.2">
      <c r="B71" s="47"/>
      <c r="C71" s="47"/>
      <c r="D71" s="47"/>
      <c r="E71" s="47"/>
      <c r="F71" s="8"/>
      <c r="G71" s="14" t="s">
        <v>183</v>
      </c>
      <c r="H71" s="14"/>
      <c r="I71" s="14"/>
      <c r="J71" s="14">
        <v>0</v>
      </c>
      <c r="K71" s="41">
        <v>1</v>
      </c>
      <c r="L71" s="41">
        <f>K71+1</f>
        <v>2</v>
      </c>
      <c r="M71" s="41">
        <f t="shared" ref="M71:AJ71" si="0">L71+1</f>
        <v>3</v>
      </c>
      <c r="N71" s="41">
        <f t="shared" si="0"/>
        <v>4</v>
      </c>
      <c r="O71" s="41">
        <f t="shared" si="0"/>
        <v>5</v>
      </c>
      <c r="P71" s="41">
        <f t="shared" si="0"/>
        <v>6</v>
      </c>
      <c r="Q71" s="41">
        <f t="shared" si="0"/>
        <v>7</v>
      </c>
      <c r="R71" s="41">
        <f t="shared" si="0"/>
        <v>8</v>
      </c>
      <c r="S71" s="41">
        <f t="shared" si="0"/>
        <v>9</v>
      </c>
      <c r="T71" s="41">
        <f t="shared" si="0"/>
        <v>10</v>
      </c>
      <c r="U71" s="41">
        <f t="shared" si="0"/>
        <v>11</v>
      </c>
      <c r="V71" s="41">
        <f t="shared" si="0"/>
        <v>12</v>
      </c>
      <c r="W71" s="41">
        <f t="shared" si="0"/>
        <v>13</v>
      </c>
      <c r="X71" s="41">
        <f t="shared" si="0"/>
        <v>14</v>
      </c>
      <c r="Y71" s="41">
        <f t="shared" si="0"/>
        <v>15</v>
      </c>
      <c r="Z71" s="41">
        <f t="shared" si="0"/>
        <v>16</v>
      </c>
      <c r="AA71" s="41">
        <f t="shared" si="0"/>
        <v>17</v>
      </c>
      <c r="AB71" s="41">
        <f t="shared" si="0"/>
        <v>18</v>
      </c>
      <c r="AC71" s="41">
        <f t="shared" si="0"/>
        <v>19</v>
      </c>
      <c r="AD71" s="41">
        <f t="shared" si="0"/>
        <v>20</v>
      </c>
      <c r="AE71" s="41">
        <f t="shared" si="0"/>
        <v>21</v>
      </c>
      <c r="AF71" s="41">
        <f t="shared" si="0"/>
        <v>22</v>
      </c>
      <c r="AG71" s="41">
        <f t="shared" si="0"/>
        <v>23</v>
      </c>
      <c r="AH71" s="41">
        <f t="shared" si="0"/>
        <v>24</v>
      </c>
      <c r="AI71" s="41">
        <f t="shared" si="0"/>
        <v>25</v>
      </c>
      <c r="AJ71" s="41">
        <f t="shared" si="0"/>
        <v>26</v>
      </c>
    </row>
    <row r="72" spans="2:36" ht="15" hidden="1" customHeight="1" x14ac:dyDescent="0.2">
      <c r="B72" s="47"/>
      <c r="C72" s="47"/>
      <c r="D72" s="47"/>
      <c r="E72" s="47"/>
      <c r="F72" s="8"/>
      <c r="G72" s="14" t="s">
        <v>548</v>
      </c>
      <c r="H72" s="69"/>
      <c r="I72" s="69"/>
      <c r="J72" s="196" t="e">
        <f>INDEX(K$70:AJ$70,MATCH(TRUE,INDEX(K72:AJ72&lt;&gt;0,),0))</f>
        <v>#N/A</v>
      </c>
      <c r="K72" s="69">
        <f>IF(K70&lt;$Q$19,0,IF(K136&lt;K112,1,0))</f>
        <v>0</v>
      </c>
      <c r="L72" s="69">
        <f t="shared" ref="L72:AJ72" si="1">IF(L70&lt;$Q$19,0,IF(L136&lt;L112,1,0))</f>
        <v>0</v>
      </c>
      <c r="M72" s="69">
        <f t="shared" si="1"/>
        <v>0</v>
      </c>
      <c r="N72" s="69">
        <f t="shared" si="1"/>
        <v>0</v>
      </c>
      <c r="O72" s="69">
        <f t="shared" si="1"/>
        <v>0</v>
      </c>
      <c r="P72" s="69">
        <f t="shared" si="1"/>
        <v>0</v>
      </c>
      <c r="Q72" s="69">
        <f t="shared" si="1"/>
        <v>0</v>
      </c>
      <c r="R72" s="69">
        <f t="shared" si="1"/>
        <v>0</v>
      </c>
      <c r="S72" s="69">
        <f t="shared" si="1"/>
        <v>0</v>
      </c>
      <c r="T72" s="69">
        <f t="shared" si="1"/>
        <v>0</v>
      </c>
      <c r="U72" s="69">
        <f t="shared" si="1"/>
        <v>0</v>
      </c>
      <c r="V72" s="69">
        <f t="shared" si="1"/>
        <v>0</v>
      </c>
      <c r="W72" s="69">
        <f t="shared" si="1"/>
        <v>0</v>
      </c>
      <c r="X72" s="69">
        <f t="shared" si="1"/>
        <v>0</v>
      </c>
      <c r="Y72" s="69">
        <f t="shared" si="1"/>
        <v>0</v>
      </c>
      <c r="Z72" s="69">
        <f t="shared" si="1"/>
        <v>0</v>
      </c>
      <c r="AA72" s="69">
        <f t="shared" si="1"/>
        <v>0</v>
      </c>
      <c r="AB72" s="69">
        <f t="shared" si="1"/>
        <v>0</v>
      </c>
      <c r="AC72" s="69">
        <f t="shared" si="1"/>
        <v>0</v>
      </c>
      <c r="AD72" s="69">
        <f t="shared" si="1"/>
        <v>0</v>
      </c>
      <c r="AE72" s="69">
        <f t="shared" si="1"/>
        <v>0</v>
      </c>
      <c r="AF72" s="69">
        <f t="shared" si="1"/>
        <v>0</v>
      </c>
      <c r="AG72" s="69">
        <f t="shared" si="1"/>
        <v>0</v>
      </c>
      <c r="AH72" s="69">
        <f t="shared" si="1"/>
        <v>0</v>
      </c>
      <c r="AI72" s="69">
        <f t="shared" si="1"/>
        <v>0</v>
      </c>
      <c r="AJ72" s="69">
        <f t="shared" si="1"/>
        <v>0</v>
      </c>
    </row>
    <row r="73" spans="2:36" ht="15" hidden="1" customHeight="1" x14ac:dyDescent="0.2">
      <c r="B73" s="47"/>
      <c r="C73" s="47"/>
      <c r="D73" s="47"/>
      <c r="E73" s="47"/>
      <c r="F73" s="8"/>
      <c r="G73" s="14" t="s">
        <v>592</v>
      </c>
      <c r="H73" s="69"/>
      <c r="I73" s="69"/>
      <c r="J73" s="196" t="e">
        <f>INDEX(K$70:AJ$70,MATCH(TRUE,INDEX(K73:AJ73&lt;&gt;0,),0))</f>
        <v>#N/A</v>
      </c>
      <c r="K73" s="69">
        <f>IF(K71&lt;$Q$37,0,IF(K160&lt;K112,1,0))</f>
        <v>0</v>
      </c>
      <c r="L73" s="69">
        <f t="shared" ref="L73:AJ73" si="2">IF(L71&lt;$Q$37,0,IF(L160&lt;L112,1,0))</f>
        <v>0</v>
      </c>
      <c r="M73" s="69">
        <f t="shared" si="2"/>
        <v>0</v>
      </c>
      <c r="N73" s="69">
        <f t="shared" si="2"/>
        <v>0</v>
      </c>
      <c r="O73" s="69">
        <f t="shared" si="2"/>
        <v>0</v>
      </c>
      <c r="P73" s="69">
        <f t="shared" si="2"/>
        <v>0</v>
      </c>
      <c r="Q73" s="69">
        <f t="shared" si="2"/>
        <v>0</v>
      </c>
      <c r="R73" s="69">
        <f t="shared" si="2"/>
        <v>0</v>
      </c>
      <c r="S73" s="69">
        <f t="shared" si="2"/>
        <v>0</v>
      </c>
      <c r="T73" s="69">
        <f t="shared" si="2"/>
        <v>0</v>
      </c>
      <c r="U73" s="69">
        <f t="shared" si="2"/>
        <v>0</v>
      </c>
      <c r="V73" s="69">
        <f t="shared" si="2"/>
        <v>0</v>
      </c>
      <c r="W73" s="69">
        <f t="shared" si="2"/>
        <v>0</v>
      </c>
      <c r="X73" s="69">
        <f t="shared" si="2"/>
        <v>0</v>
      </c>
      <c r="Y73" s="69">
        <f t="shared" si="2"/>
        <v>0</v>
      </c>
      <c r="Z73" s="69">
        <f t="shared" si="2"/>
        <v>0</v>
      </c>
      <c r="AA73" s="69">
        <f t="shared" si="2"/>
        <v>0</v>
      </c>
      <c r="AB73" s="69">
        <f t="shared" si="2"/>
        <v>0</v>
      </c>
      <c r="AC73" s="69">
        <f t="shared" si="2"/>
        <v>0</v>
      </c>
      <c r="AD73" s="69">
        <f t="shared" si="2"/>
        <v>0</v>
      </c>
      <c r="AE73" s="69">
        <f t="shared" si="2"/>
        <v>0</v>
      </c>
      <c r="AF73" s="69">
        <f t="shared" si="2"/>
        <v>0</v>
      </c>
      <c r="AG73" s="69">
        <f t="shared" si="2"/>
        <v>0</v>
      </c>
      <c r="AH73" s="69">
        <f t="shared" si="2"/>
        <v>0</v>
      </c>
      <c r="AI73" s="69">
        <f t="shared" si="2"/>
        <v>0</v>
      </c>
      <c r="AJ73" s="69">
        <f t="shared" si="2"/>
        <v>0</v>
      </c>
    </row>
    <row r="74" spans="2:36" ht="15" hidden="1" customHeight="1" x14ac:dyDescent="0.2">
      <c r="B74" s="47"/>
      <c r="C74" s="47"/>
      <c r="D74" s="47"/>
      <c r="E74" s="47"/>
      <c r="F74" s="8"/>
      <c r="G74" s="14"/>
      <c r="H74" s="69"/>
      <c r="I74" s="69"/>
      <c r="J74" s="196"/>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row>
    <row r="75" spans="2:36" ht="15" hidden="1" customHeight="1" x14ac:dyDescent="0.2">
      <c r="B75" s="47"/>
      <c r="C75" s="47"/>
      <c r="D75" s="47"/>
      <c r="E75" s="47"/>
      <c r="F75" s="8"/>
      <c r="G75" s="14" t="s">
        <v>309</v>
      </c>
      <c r="H75" s="69"/>
      <c r="I75" s="69"/>
      <c r="J75" s="196"/>
      <c r="K75" s="394">
        <f>Data!$P$170</f>
        <v>0</v>
      </c>
      <c r="L75" s="103">
        <f>K75*(1+(Data!$P$196/100))</f>
        <v>0</v>
      </c>
      <c r="M75" s="103">
        <f>L75*(1+(Data!$P$196/100))</f>
        <v>0</v>
      </c>
      <c r="N75" s="103">
        <f>M75*(1+(Data!$P$196/100))</f>
        <v>0</v>
      </c>
      <c r="O75" s="103">
        <f>N75*(1+(Data!$P$196/100))</f>
        <v>0</v>
      </c>
      <c r="P75" s="103">
        <f>O75*(1+(Data!$P$196/100))</f>
        <v>0</v>
      </c>
      <c r="Q75" s="103">
        <f>P75*(1+(Data!$P$196/100))</f>
        <v>0</v>
      </c>
      <c r="R75" s="103">
        <f>Q75*(1+(Data!$P$196/100))</f>
        <v>0</v>
      </c>
      <c r="S75" s="103">
        <f>R75*(1+(Data!$P$196/100))</f>
        <v>0</v>
      </c>
      <c r="T75" s="103">
        <f>S75*(1+(Data!$P$196/100))</f>
        <v>0</v>
      </c>
      <c r="U75" s="103">
        <f>T75*(1+(Data!$P$196/100))</f>
        <v>0</v>
      </c>
      <c r="V75" s="103">
        <f>U75*(1+(Data!$P$196/100))</f>
        <v>0</v>
      </c>
      <c r="W75" s="103">
        <f>V75*(1+(Data!$P$196/100))</f>
        <v>0</v>
      </c>
      <c r="X75" s="103">
        <f>W75*(1+(Data!$P$196/100))</f>
        <v>0</v>
      </c>
      <c r="Y75" s="103">
        <f>X75*(1+(Data!$P$196/100))</f>
        <v>0</v>
      </c>
      <c r="Z75" s="103">
        <f>Y75*(1+(Data!$P$196/100))</f>
        <v>0</v>
      </c>
      <c r="AA75" s="103">
        <f>Z75*(1+(Data!$P$196/100))</f>
        <v>0</v>
      </c>
      <c r="AB75" s="103">
        <f>AA75*(1+(Data!$P$196/100))</f>
        <v>0</v>
      </c>
      <c r="AC75" s="103">
        <f>AB75*(1+(Data!$P$196/100))</f>
        <v>0</v>
      </c>
      <c r="AD75" s="103">
        <f>AC75*(1+(Data!$P$196/100))</f>
        <v>0</v>
      </c>
      <c r="AE75" s="103">
        <f>AD75*(1+(Data!$P$196/100))</f>
        <v>0</v>
      </c>
      <c r="AF75" s="103">
        <f>AE75*(1+(Data!$P$196/100))</f>
        <v>0</v>
      </c>
      <c r="AG75" s="103">
        <f>AF75*(1+(Data!$P$196/100))</f>
        <v>0</v>
      </c>
      <c r="AH75" s="103">
        <f>AG75*(1+(Data!$P$196/100))</f>
        <v>0</v>
      </c>
      <c r="AI75" s="103">
        <f>AH75*(1+(Data!$P$196/100))</f>
        <v>0</v>
      </c>
      <c r="AJ75" s="103">
        <f>AI75*(1+(Data!$P$196/100))</f>
        <v>0</v>
      </c>
    </row>
    <row r="76" spans="2:36" ht="15" hidden="1" customHeight="1" x14ac:dyDescent="0.2">
      <c r="B76" s="47"/>
      <c r="C76" s="47"/>
      <c r="D76" s="47"/>
      <c r="E76" s="47"/>
      <c r="F76" s="8"/>
      <c r="G76" s="14" t="s">
        <v>284</v>
      </c>
      <c r="H76" s="14"/>
      <c r="I76" s="14"/>
      <c r="J76" s="14"/>
      <c r="K76" s="103">
        <f>Data!$P$171</f>
        <v>0.184</v>
      </c>
      <c r="L76" s="103">
        <f>K76*(1+(Data!$P$197/100))</f>
        <v>0.184</v>
      </c>
      <c r="M76" s="103">
        <f>L76*(1+(Data!$P$197/100))</f>
        <v>0.184</v>
      </c>
      <c r="N76" s="103">
        <f>M76*(1+(Data!$P$197/100))</f>
        <v>0.184</v>
      </c>
      <c r="O76" s="103">
        <f>N76*(1+(Data!$P$197/100))</f>
        <v>0.184</v>
      </c>
      <c r="P76" s="103">
        <f>O76*(1+(Data!$P$197/100))</f>
        <v>0.184</v>
      </c>
      <c r="Q76" s="103">
        <f>P76*(1+(Data!$P$197/100))</f>
        <v>0.184</v>
      </c>
      <c r="R76" s="103">
        <f>Q76*(1+(Data!$P$197/100))</f>
        <v>0.184</v>
      </c>
      <c r="S76" s="103">
        <f>R76*(1+(Data!$P$197/100))</f>
        <v>0.184</v>
      </c>
      <c r="T76" s="103">
        <f>S76*(1+(Data!$P$197/100))</f>
        <v>0.184</v>
      </c>
      <c r="U76" s="103">
        <f>T76*(1+(Data!$P$197/100))</f>
        <v>0.184</v>
      </c>
      <c r="V76" s="103">
        <f>U76*(1+(Data!$P$197/100))</f>
        <v>0.184</v>
      </c>
      <c r="W76" s="103">
        <f>V76*(1+(Data!$P$197/100))</f>
        <v>0.184</v>
      </c>
      <c r="X76" s="103">
        <f>W76*(1+(Data!$P$197/100))</f>
        <v>0.184</v>
      </c>
      <c r="Y76" s="103">
        <f>X76*(1+(Data!$P$197/100))</f>
        <v>0.184</v>
      </c>
      <c r="Z76" s="103">
        <f>Y76*(1+(Data!$P$197/100))</f>
        <v>0.184</v>
      </c>
      <c r="AA76" s="103">
        <f>Z76*(1+(Data!$P$197/100))</f>
        <v>0.184</v>
      </c>
      <c r="AB76" s="103">
        <f>AA76*(1+(Data!$P$197/100))</f>
        <v>0.184</v>
      </c>
      <c r="AC76" s="103">
        <f>AB76*(1+(Data!$P$197/100))</f>
        <v>0.184</v>
      </c>
      <c r="AD76" s="103">
        <f>AC76*(1+(Data!$P$197/100))</f>
        <v>0.184</v>
      </c>
      <c r="AE76" s="103">
        <f>AD76*(1+(Data!$P$197/100))</f>
        <v>0.184</v>
      </c>
      <c r="AF76" s="103">
        <f>AE76*(1+(Data!$P$197/100))</f>
        <v>0.184</v>
      </c>
      <c r="AG76" s="103">
        <f>AF76*(1+(Data!$P$197/100))</f>
        <v>0.184</v>
      </c>
      <c r="AH76" s="103">
        <f>AG76*(1+(Data!$P$197/100))</f>
        <v>0.184</v>
      </c>
      <c r="AI76" s="103">
        <f>AH76*(1+(Data!$P$197/100))</f>
        <v>0.184</v>
      </c>
      <c r="AJ76" s="103">
        <f>AI76*(1+(Data!$P$197/100))</f>
        <v>0.184</v>
      </c>
    </row>
    <row r="77" spans="2:36" ht="15" hidden="1" customHeight="1" x14ac:dyDescent="0.2">
      <c r="B77" s="47"/>
      <c r="C77" s="47"/>
      <c r="D77" s="47"/>
      <c r="E77" s="47"/>
      <c r="F77" s="8"/>
      <c r="G77" s="14" t="s">
        <v>259</v>
      </c>
      <c r="H77" s="14"/>
      <c r="I77" s="14"/>
      <c r="J77" s="14"/>
      <c r="K77" s="103">
        <f>Data!$P$172</f>
        <v>0.17072999999999999</v>
      </c>
      <c r="L77" s="103">
        <f>K77*(1+(Data!$P$198/100))</f>
        <v>0.17072999999999999</v>
      </c>
      <c r="M77" s="103">
        <f>L77*(1+(Data!$P$198/100))</f>
        <v>0.17072999999999999</v>
      </c>
      <c r="N77" s="103">
        <f>M77*(1+(Data!$P$198/100))</f>
        <v>0.17072999999999999</v>
      </c>
      <c r="O77" s="103">
        <f>N77*(1+(Data!$P$198/100))</f>
        <v>0.17072999999999999</v>
      </c>
      <c r="P77" s="103">
        <f>O77*(1+(Data!$P$198/100))</f>
        <v>0.17072999999999999</v>
      </c>
      <c r="Q77" s="103">
        <f>P77*(1+(Data!$P$198/100))</f>
        <v>0.17072999999999999</v>
      </c>
      <c r="R77" s="103">
        <f>Q77*(1+(Data!$P$198/100))</f>
        <v>0.17072999999999999</v>
      </c>
      <c r="S77" s="103">
        <f>R77*(1+(Data!$P$198/100))</f>
        <v>0.17072999999999999</v>
      </c>
      <c r="T77" s="103">
        <f>S77*(1+(Data!$P$198/100))</f>
        <v>0.17072999999999999</v>
      </c>
      <c r="U77" s="103">
        <f>T77*(1+(Data!$P$198/100))</f>
        <v>0.17072999999999999</v>
      </c>
      <c r="V77" s="103">
        <f>U77*(1+(Data!$P$198/100))</f>
        <v>0.17072999999999999</v>
      </c>
      <c r="W77" s="103">
        <f>V77*(1+(Data!$P$198/100))</f>
        <v>0.17072999999999999</v>
      </c>
      <c r="X77" s="103">
        <f>W77*(1+(Data!$P$198/100))</f>
        <v>0.17072999999999999</v>
      </c>
      <c r="Y77" s="103">
        <f>X77*(1+(Data!$P$198/100))</f>
        <v>0.17072999999999999</v>
      </c>
      <c r="Z77" s="103">
        <f>Y77*(1+(Data!$P$198/100))</f>
        <v>0.17072999999999999</v>
      </c>
      <c r="AA77" s="103">
        <f>Z77*(1+(Data!$P$198/100))</f>
        <v>0.17072999999999999</v>
      </c>
      <c r="AB77" s="103">
        <f>AA77*(1+(Data!$P$198/100))</f>
        <v>0.17072999999999999</v>
      </c>
      <c r="AC77" s="103">
        <f>AB77*(1+(Data!$P$198/100))</f>
        <v>0.17072999999999999</v>
      </c>
      <c r="AD77" s="103">
        <f>AC77*(1+(Data!$P$198/100))</f>
        <v>0.17072999999999999</v>
      </c>
      <c r="AE77" s="103">
        <f>AD77*(1+(Data!$P$198/100))</f>
        <v>0.17072999999999999</v>
      </c>
      <c r="AF77" s="103">
        <f>AE77*(1+(Data!$P$198/100))</f>
        <v>0.17072999999999999</v>
      </c>
      <c r="AG77" s="103">
        <f>AF77*(1+(Data!$P$198/100))</f>
        <v>0.17072999999999999</v>
      </c>
      <c r="AH77" s="103">
        <f>AG77*(1+(Data!$P$198/100))</f>
        <v>0.17072999999999999</v>
      </c>
      <c r="AI77" s="103">
        <f>AH77*(1+(Data!$P$198/100))</f>
        <v>0.17072999999999999</v>
      </c>
      <c r="AJ77" s="103">
        <f>AI77*(1+(Data!$P$198/100))</f>
        <v>0.17072999999999999</v>
      </c>
    </row>
    <row r="78" spans="2:36" ht="15" hidden="1" customHeight="1" x14ac:dyDescent="0.2">
      <c r="B78" s="47"/>
      <c r="C78" s="47"/>
      <c r="D78" s="47"/>
      <c r="E78" s="47"/>
      <c r="F78" s="8"/>
      <c r="G78" s="14" t="s">
        <v>320</v>
      </c>
      <c r="H78" s="14"/>
      <c r="I78" s="14"/>
      <c r="J78" s="14"/>
      <c r="K78" s="103">
        <f>Data!$P$173</f>
        <v>0.17072999999999999</v>
      </c>
      <c r="L78" s="103">
        <f>K78*(1+(Data!$P$199/100))</f>
        <v>0.17072999999999999</v>
      </c>
      <c r="M78" s="103">
        <f>L78*(1+(Data!$P$199/100))</f>
        <v>0.17072999999999999</v>
      </c>
      <c r="N78" s="103">
        <f>M78*(1+(Data!$P$199/100))</f>
        <v>0.17072999999999999</v>
      </c>
      <c r="O78" s="103">
        <f>N78*(1+(Data!$P$199/100))</f>
        <v>0.17072999999999999</v>
      </c>
      <c r="P78" s="103">
        <f>O78*(1+(Data!$P$199/100))</f>
        <v>0.17072999999999999</v>
      </c>
      <c r="Q78" s="103">
        <f>P78*(1+(Data!$P$199/100))</f>
        <v>0.17072999999999999</v>
      </c>
      <c r="R78" s="103">
        <f>Q78*(1+(Data!$P$199/100))</f>
        <v>0.17072999999999999</v>
      </c>
      <c r="S78" s="103">
        <f>R78*(1+(Data!$P$199/100))</f>
        <v>0.17072999999999999</v>
      </c>
      <c r="T78" s="103">
        <f>S78*(1+(Data!$P$199/100))</f>
        <v>0.17072999999999999</v>
      </c>
      <c r="U78" s="103">
        <f>T78*(1+(Data!$P$199/100))</f>
        <v>0.17072999999999999</v>
      </c>
      <c r="V78" s="103">
        <f>U78*(1+(Data!$P$199/100))</f>
        <v>0.17072999999999999</v>
      </c>
      <c r="W78" s="103">
        <f>V78*(1+(Data!$P$199/100))</f>
        <v>0.17072999999999999</v>
      </c>
      <c r="X78" s="103">
        <f>W78*(1+(Data!$P$199/100))</f>
        <v>0.17072999999999999</v>
      </c>
      <c r="Y78" s="103">
        <f>X78*(1+(Data!$P$199/100))</f>
        <v>0.17072999999999999</v>
      </c>
      <c r="Z78" s="103">
        <f>Y78*(1+(Data!$P$199/100))</f>
        <v>0.17072999999999999</v>
      </c>
      <c r="AA78" s="103">
        <f>Z78*(1+(Data!$P$199/100))</f>
        <v>0.17072999999999999</v>
      </c>
      <c r="AB78" s="103">
        <f>AA78*(1+(Data!$P$199/100))</f>
        <v>0.17072999999999999</v>
      </c>
      <c r="AC78" s="103">
        <f>AB78*(1+(Data!$P$199/100))</f>
        <v>0.17072999999999999</v>
      </c>
      <c r="AD78" s="103">
        <f>AC78*(1+(Data!$P$199/100))</f>
        <v>0.17072999999999999</v>
      </c>
      <c r="AE78" s="103">
        <f>AD78*(1+(Data!$P$199/100))</f>
        <v>0.17072999999999999</v>
      </c>
      <c r="AF78" s="103">
        <f>AE78*(1+(Data!$P$199/100))</f>
        <v>0.17072999999999999</v>
      </c>
      <c r="AG78" s="103">
        <f>AF78*(1+(Data!$P$199/100))</f>
        <v>0.17072999999999999</v>
      </c>
      <c r="AH78" s="103">
        <f>AG78*(1+(Data!$P$199/100))</f>
        <v>0.17072999999999999</v>
      </c>
      <c r="AI78" s="103">
        <f>AH78*(1+(Data!$P$199/100))</f>
        <v>0.17072999999999999</v>
      </c>
      <c r="AJ78" s="103">
        <f>AI78*(1+(Data!$P$199/100))</f>
        <v>0.17072999999999999</v>
      </c>
    </row>
    <row r="79" spans="2:36" ht="15" hidden="1" customHeight="1" x14ac:dyDescent="0.2">
      <c r="B79" s="47"/>
      <c r="C79" s="47"/>
      <c r="D79" s="47"/>
      <c r="E79" s="47"/>
      <c r="F79" s="8"/>
      <c r="G79" s="14" t="s">
        <v>252</v>
      </c>
      <c r="H79" s="14"/>
      <c r="I79" s="14"/>
      <c r="J79" s="14"/>
      <c r="K79" s="103">
        <f>Data!$P$174</f>
        <v>0.19338</v>
      </c>
      <c r="L79" s="103">
        <f>K79*(1+(Data!$P$200/100))</f>
        <v>0.18757859999999998</v>
      </c>
      <c r="M79" s="103">
        <f>L79*(1+(Data!$P$200/100))</f>
        <v>0.18195124199999999</v>
      </c>
      <c r="N79" s="103">
        <f>M79*(1+(Data!$P$200/100))</f>
        <v>0.17649270473999998</v>
      </c>
      <c r="O79" s="103">
        <f>N79*(1+(Data!$P$200/100))</f>
        <v>0.17119792359779998</v>
      </c>
      <c r="P79" s="103">
        <f>O79*(1+(Data!$P$200/100))</f>
        <v>0.16606198588986598</v>
      </c>
      <c r="Q79" s="103">
        <f>P79*(1+(Data!$P$200/100))</f>
        <v>0.16108012631317001</v>
      </c>
      <c r="R79" s="103">
        <f>Q79*(1+(Data!$P$200/100))</f>
        <v>0.15624772252377489</v>
      </c>
      <c r="S79" s="103">
        <f>R79*(1+(Data!$P$200/100))</f>
        <v>0.15156029084806164</v>
      </c>
      <c r="T79" s="103">
        <f>S79*(1+(Data!$P$200/100))</f>
        <v>0.14701348212261978</v>
      </c>
      <c r="U79" s="103">
        <f>T79*(1+(Data!$P$200/100))</f>
        <v>0.14260307765894117</v>
      </c>
      <c r="V79" s="103">
        <f>U79*(1+(Data!$P$200/100))</f>
        <v>0.13832498532917292</v>
      </c>
      <c r="W79" s="103">
        <f>V79*(1+(Data!$P$200/100))</f>
        <v>0.13417523576929774</v>
      </c>
      <c r="X79" s="103">
        <f>W79*(1+(Data!$P$200/100))</f>
        <v>0.1301499786962188</v>
      </c>
      <c r="Y79" s="103">
        <f>X79*(1+(Data!$P$200/100))</f>
        <v>0.12624547933533223</v>
      </c>
      <c r="Z79" s="103">
        <f>Y79*(1+(Data!$P$200/100))</f>
        <v>0.12245811495527226</v>
      </c>
      <c r="AA79" s="103">
        <f>Z79*(1+(Data!$P$200/100))</f>
        <v>0.11878437150661408</v>
      </c>
      <c r="AB79" s="103">
        <f>AA79*(1+(Data!$P$200/100))</f>
        <v>0.11522084036141565</v>
      </c>
      <c r="AC79" s="103">
        <f>AB79*(1+(Data!$P$200/100))</f>
        <v>0.11176421515057318</v>
      </c>
      <c r="AD79" s="103">
        <f>AC79*(1+(Data!$P$200/100))</f>
        <v>0.10841128869605599</v>
      </c>
      <c r="AE79" s="103">
        <f>AD79*(1+(Data!$P$200/100))</f>
        <v>0.10515895003517431</v>
      </c>
      <c r="AF79" s="103">
        <f>AE79*(1+(Data!$P$200/100))</f>
        <v>0.10200418153411908</v>
      </c>
      <c r="AG79" s="103">
        <f>AF79*(1+(Data!$P$200/100))</f>
        <v>9.8944056088095506E-2</v>
      </c>
      <c r="AH79" s="103">
        <f>AG79*(1+(Data!$P$200/100))</f>
        <v>9.5975734405452637E-2</v>
      </c>
      <c r="AI79" s="103">
        <f>AH79*(1+(Data!$P$200/100))</f>
        <v>9.3096462373289057E-2</v>
      </c>
      <c r="AJ79" s="103">
        <f>AI79*(1+(Data!$P$200/100))</f>
        <v>9.0303568502090384E-2</v>
      </c>
    </row>
    <row r="80" spans="2:36" ht="15" hidden="1" customHeight="1" x14ac:dyDescent="0.2">
      <c r="B80" s="47"/>
      <c r="C80" s="47"/>
      <c r="D80" s="47"/>
      <c r="E80" s="47"/>
      <c r="F80" s="8"/>
      <c r="G80" s="14"/>
      <c r="H80" s="69"/>
      <c r="I80" s="69"/>
      <c r="J80" s="196"/>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row>
    <row r="81" spans="2:36" ht="15" hidden="1" customHeight="1" x14ac:dyDescent="0.2">
      <c r="B81" s="47"/>
      <c r="C81" s="47"/>
      <c r="D81" s="47"/>
      <c r="E81" s="47"/>
      <c r="F81" s="8"/>
      <c r="G81" s="14" t="s">
        <v>309</v>
      </c>
      <c r="H81" s="69"/>
      <c r="I81" s="69"/>
      <c r="J81" s="196"/>
      <c r="K81" s="394">
        <f>Data!$P$177</f>
        <v>0</v>
      </c>
      <c r="L81" s="103">
        <f>K81*(1+(Data!$P$188/100))</f>
        <v>0</v>
      </c>
      <c r="M81" s="103">
        <f>L81*(1+(Data!$P$188/100))</f>
        <v>0</v>
      </c>
      <c r="N81" s="103">
        <f>M81*(1+(Data!$P$188/100))</f>
        <v>0</v>
      </c>
      <c r="O81" s="103">
        <f>N81*(1+(Data!$P$188/100))</f>
        <v>0</v>
      </c>
      <c r="P81" s="103">
        <f>O81*(1+(Data!$P$188/100))</f>
        <v>0</v>
      </c>
      <c r="Q81" s="103">
        <f>P81*(1+(Data!$P$188/100))</f>
        <v>0</v>
      </c>
      <c r="R81" s="103">
        <f>Q81*(1+(Data!$P$188/100))</f>
        <v>0</v>
      </c>
      <c r="S81" s="103">
        <f>R81*(1+(Data!$P$188/100))</f>
        <v>0</v>
      </c>
      <c r="T81" s="103">
        <f>S81*(1+(Data!$P$188/100))</f>
        <v>0</v>
      </c>
      <c r="U81" s="103">
        <f>T81*(1+(Data!$P$188/100))</f>
        <v>0</v>
      </c>
      <c r="V81" s="103">
        <f>U81*(1+(Data!$P$188/100))</f>
        <v>0</v>
      </c>
      <c r="W81" s="103">
        <f>V81*(1+(Data!$P$188/100))</f>
        <v>0</v>
      </c>
      <c r="X81" s="103">
        <f>W81*(1+(Data!$P$188/100))</f>
        <v>0</v>
      </c>
      <c r="Y81" s="103">
        <f>X81*(1+(Data!$P$188/100))</f>
        <v>0</v>
      </c>
      <c r="Z81" s="103">
        <f>Y81*(1+(Data!$P$188/100))</f>
        <v>0</v>
      </c>
      <c r="AA81" s="103">
        <f>Z81*(1+(Data!$P$188/100))</f>
        <v>0</v>
      </c>
      <c r="AB81" s="103">
        <f>AA81*(1+(Data!$P$188/100))</f>
        <v>0</v>
      </c>
      <c r="AC81" s="103">
        <f>AB81*(1+(Data!$P$188/100))</f>
        <v>0</v>
      </c>
      <c r="AD81" s="103">
        <f>AC81*(1+(Data!$P$188/100))</f>
        <v>0</v>
      </c>
      <c r="AE81" s="103">
        <f>AD81*(1+(Data!$P$188/100))</f>
        <v>0</v>
      </c>
      <c r="AF81" s="103">
        <f>AE81*(1+(Data!$P$188/100))</f>
        <v>0</v>
      </c>
      <c r="AG81" s="103">
        <f>AF81*(1+(Data!$P$188/100))</f>
        <v>0</v>
      </c>
      <c r="AH81" s="103">
        <f>AG81*(1+(Data!$P$188/100))</f>
        <v>0</v>
      </c>
      <c r="AI81" s="103">
        <f>AH81*(1+(Data!$P$188/100))</f>
        <v>0</v>
      </c>
      <c r="AJ81" s="103">
        <f>AI81*(1+(Data!$P$188/100))</f>
        <v>0</v>
      </c>
    </row>
    <row r="82" spans="2:36" ht="15" hidden="1" customHeight="1" x14ac:dyDescent="0.2">
      <c r="B82" s="47"/>
      <c r="C82" s="47"/>
      <c r="D82" s="47"/>
      <c r="E82" s="47"/>
      <c r="F82" s="8"/>
      <c r="G82" s="14" t="s">
        <v>284</v>
      </c>
      <c r="H82" s="69"/>
      <c r="I82" s="69"/>
      <c r="J82" s="196"/>
      <c r="K82" s="392">
        <f>Data!$P$178</f>
        <v>0.09</v>
      </c>
      <c r="L82" s="103">
        <f>K82*(1+(Data!$P$189/100))</f>
        <v>9.5399999999999999E-2</v>
      </c>
      <c r="M82" s="103">
        <f>L82*(1+(Data!$P$189/100))</f>
        <v>0.10112400000000001</v>
      </c>
      <c r="N82" s="103">
        <f>M82*(1+(Data!$P$189/100))</f>
        <v>0.10719144000000001</v>
      </c>
      <c r="O82" s="103">
        <f>N82*(1+(Data!$P$189/100))</f>
        <v>0.11362292640000002</v>
      </c>
      <c r="P82" s="103">
        <f>O82*(1+(Data!$P$189/100))</f>
        <v>0.12044030198400002</v>
      </c>
      <c r="Q82" s="103">
        <f>P82*(1+(Data!$P$189/100))</f>
        <v>0.12766672010304003</v>
      </c>
      <c r="R82" s="103">
        <f>Q82*(1+(Data!$P$189/100))</f>
        <v>0.13532672330922244</v>
      </c>
      <c r="S82" s="103">
        <f>R82*(1+(Data!$P$189/100))</f>
        <v>0.1434463267077758</v>
      </c>
      <c r="T82" s="103">
        <f>S82*(1+(Data!$P$189/100))</f>
        <v>0.15205310631024235</v>
      </c>
      <c r="U82" s="103">
        <f>T82*(1+(Data!$P$189/100))</f>
        <v>0.16117629268885691</v>
      </c>
      <c r="V82" s="103">
        <f>U82*(1+(Data!$P$189/100))</f>
        <v>0.17084687025018833</v>
      </c>
      <c r="W82" s="103">
        <f>V82*(1+(Data!$P$189/100))</f>
        <v>0.18109768246519964</v>
      </c>
      <c r="X82" s="103">
        <f>W82*(1+(Data!$P$189/100))</f>
        <v>0.19196354341311161</v>
      </c>
      <c r="Y82" s="103">
        <f>X82*(1+(Data!$P$189/100))</f>
        <v>0.20348135601789832</v>
      </c>
      <c r="Z82" s="103">
        <f>Y82*(1+(Data!$P$189/100))</f>
        <v>0.21569023737897222</v>
      </c>
      <c r="AA82" s="103">
        <f>Z82*(1+(Data!$P$189/100))</f>
        <v>0.22863165162171056</v>
      </c>
      <c r="AB82" s="103">
        <f>AA82*(1+(Data!$P$189/100))</f>
        <v>0.24234955071901321</v>
      </c>
      <c r="AC82" s="103">
        <f>AB82*(1+(Data!$P$189/100))</f>
        <v>0.25689052376215399</v>
      </c>
      <c r="AD82" s="103">
        <f>AC82*(1+(Data!$P$189/100))</f>
        <v>0.27230395518788325</v>
      </c>
      <c r="AE82" s="103">
        <f>AD82*(1+(Data!$P$189/100))</f>
        <v>0.28864219249915624</v>
      </c>
      <c r="AF82" s="103">
        <f>AE82*(1+(Data!$P$189/100))</f>
        <v>0.30596072404910563</v>
      </c>
      <c r="AG82" s="103">
        <f>AF82*(1+(Data!$P$189/100))</f>
        <v>0.32431836749205201</v>
      </c>
      <c r="AH82" s="103">
        <f>AG82*(1+(Data!$P$189/100))</f>
        <v>0.34377746954157512</v>
      </c>
      <c r="AI82" s="103">
        <f>AH82*(1+(Data!$P$189/100))</f>
        <v>0.36440411771406966</v>
      </c>
      <c r="AJ82" s="103">
        <f>AI82*(1+(Data!$P$189/100))</f>
        <v>0.38626836477691384</v>
      </c>
    </row>
    <row r="83" spans="2:36" ht="15" hidden="1" customHeight="1" x14ac:dyDescent="0.2">
      <c r="B83" s="47"/>
      <c r="C83" s="47"/>
      <c r="D83" s="47"/>
      <c r="E83" s="47"/>
      <c r="F83" s="8"/>
      <c r="G83" s="14" t="s">
        <v>259</v>
      </c>
      <c r="H83" s="69"/>
      <c r="I83" s="69"/>
      <c r="J83" s="196"/>
      <c r="K83" s="392">
        <f>Data!$P$179</f>
        <v>0.09</v>
      </c>
      <c r="L83" s="103">
        <f>K83*(1+(Data!$P$190/100))</f>
        <v>9.5399999999999999E-2</v>
      </c>
      <c r="M83" s="103">
        <f>L83*(1+(Data!$P$190/100))</f>
        <v>0.10112400000000001</v>
      </c>
      <c r="N83" s="103">
        <f>M83*(1+(Data!$P$190/100))</f>
        <v>0.10719144000000001</v>
      </c>
      <c r="O83" s="103">
        <f>N83*(1+(Data!$P$190/100))</f>
        <v>0.11362292640000002</v>
      </c>
      <c r="P83" s="103">
        <f>O83*(1+(Data!$P$190/100))</f>
        <v>0.12044030198400002</v>
      </c>
      <c r="Q83" s="103">
        <f>P83*(1+(Data!$P$190/100))</f>
        <v>0.12766672010304003</v>
      </c>
      <c r="R83" s="103">
        <f>Q83*(1+(Data!$P$190/100))</f>
        <v>0.13532672330922244</v>
      </c>
      <c r="S83" s="103">
        <f>R83*(1+(Data!$P$190/100))</f>
        <v>0.1434463267077758</v>
      </c>
      <c r="T83" s="103">
        <f>S83*(1+(Data!$P$190/100))</f>
        <v>0.15205310631024235</v>
      </c>
      <c r="U83" s="103">
        <f>T83*(1+(Data!$P$190/100))</f>
        <v>0.16117629268885691</v>
      </c>
      <c r="V83" s="103">
        <f>U83*(1+(Data!$P$190/100))</f>
        <v>0.17084687025018833</v>
      </c>
      <c r="W83" s="103">
        <f>V83*(1+(Data!$P$190/100))</f>
        <v>0.18109768246519964</v>
      </c>
      <c r="X83" s="103">
        <f>W83*(1+(Data!$P$190/100))</f>
        <v>0.19196354341311161</v>
      </c>
      <c r="Y83" s="103">
        <f>X83*(1+(Data!$P$190/100))</f>
        <v>0.20348135601789832</v>
      </c>
      <c r="Z83" s="103">
        <f>Y83*(1+(Data!$P$190/100))</f>
        <v>0.21569023737897222</v>
      </c>
      <c r="AA83" s="103">
        <f>Z83*(1+(Data!$P$190/100))</f>
        <v>0.22863165162171056</v>
      </c>
      <c r="AB83" s="103">
        <f>AA83*(1+(Data!$P$190/100))</f>
        <v>0.24234955071901321</v>
      </c>
      <c r="AC83" s="103">
        <f>AB83*(1+(Data!$P$190/100))</f>
        <v>0.25689052376215399</v>
      </c>
      <c r="AD83" s="103">
        <f>AC83*(1+(Data!$P$190/100))</f>
        <v>0.27230395518788325</v>
      </c>
      <c r="AE83" s="103">
        <f>AD83*(1+(Data!$P$190/100))</f>
        <v>0.28864219249915624</v>
      </c>
      <c r="AF83" s="103">
        <f>AE83*(1+(Data!$P$190/100))</f>
        <v>0.30596072404910563</v>
      </c>
      <c r="AG83" s="103">
        <f>AF83*(1+(Data!$P$190/100))</f>
        <v>0.32431836749205201</v>
      </c>
      <c r="AH83" s="103">
        <f>AG83*(1+(Data!$P$190/100))</f>
        <v>0.34377746954157512</v>
      </c>
      <c r="AI83" s="103">
        <f>AH83*(1+(Data!$P$190/100))</f>
        <v>0.36440411771406966</v>
      </c>
      <c r="AJ83" s="103">
        <f>AI83*(1+(Data!$P$190/100))</f>
        <v>0.38626836477691384</v>
      </c>
    </row>
    <row r="84" spans="2:36" ht="15" hidden="1" customHeight="1" x14ac:dyDescent="0.2">
      <c r="B84" s="47"/>
      <c r="C84" s="47"/>
      <c r="D84" s="47"/>
      <c r="E84" s="47"/>
      <c r="F84" s="8"/>
      <c r="G84" s="14" t="s">
        <v>320</v>
      </c>
      <c r="H84" s="69"/>
      <c r="I84" s="69"/>
      <c r="J84" s="196"/>
      <c r="K84" s="392">
        <f>Data!$P$180</f>
        <v>0.16463429999999998</v>
      </c>
      <c r="L84" s="103">
        <f>K84*(1+(Data!$P$191/100))</f>
        <v>0.17451235799999998</v>
      </c>
      <c r="M84" s="103">
        <f>L84*(1+(Data!$P$191/100))</f>
        <v>0.18498309948</v>
      </c>
      <c r="N84" s="103">
        <f>M84*(1+(Data!$P$191/100))</f>
        <v>0.19608208544880001</v>
      </c>
      <c r="O84" s="103">
        <f>N84*(1+(Data!$P$191/100))</f>
        <v>0.20784701057572802</v>
      </c>
      <c r="P84" s="103">
        <f>O84*(1+(Data!$P$191/100))</f>
        <v>0.22031783121027171</v>
      </c>
      <c r="Q84" s="103">
        <f>P84*(1+(Data!$P$191/100))</f>
        <v>0.23353690108288802</v>
      </c>
      <c r="R84" s="103">
        <f>Q84*(1+(Data!$P$191/100))</f>
        <v>0.24754911514786132</v>
      </c>
      <c r="S84" s="103">
        <f>R84*(1+(Data!$P$191/100))</f>
        <v>0.262402062056733</v>
      </c>
      <c r="T84" s="103">
        <f>S84*(1+(Data!$P$191/100))</f>
        <v>0.278146185780137</v>
      </c>
      <c r="U84" s="103">
        <f>T84*(1+(Data!$P$191/100))</f>
        <v>0.29483495692694522</v>
      </c>
      <c r="V84" s="103">
        <f>U84*(1+(Data!$P$191/100))</f>
        <v>0.31252505434256195</v>
      </c>
      <c r="W84" s="103">
        <f>V84*(1+(Data!$P$191/100))</f>
        <v>0.3312765576031157</v>
      </c>
      <c r="X84" s="103">
        <f>W84*(1+(Data!$P$191/100))</f>
        <v>0.35115315105930267</v>
      </c>
      <c r="Y84" s="103">
        <f>X84*(1+(Data!$P$191/100))</f>
        <v>0.37222234012286087</v>
      </c>
      <c r="Z84" s="103">
        <f>Y84*(1+(Data!$P$191/100))</f>
        <v>0.39455568053023254</v>
      </c>
      <c r="AA84" s="103">
        <f>Z84*(1+(Data!$P$191/100))</f>
        <v>0.41822902136204654</v>
      </c>
      <c r="AB84" s="103">
        <f>AA84*(1+(Data!$P$191/100))</f>
        <v>0.44332276264376935</v>
      </c>
      <c r="AC84" s="103">
        <f>AB84*(1+(Data!$P$191/100))</f>
        <v>0.46992212840239556</v>
      </c>
      <c r="AD84" s="103">
        <f>AC84*(1+(Data!$P$191/100))</f>
        <v>0.49811745610653929</v>
      </c>
      <c r="AE84" s="103">
        <f>AD84*(1+(Data!$P$191/100))</f>
        <v>0.52800450347293171</v>
      </c>
      <c r="AF84" s="103">
        <f>AE84*(1+(Data!$P$191/100))</f>
        <v>0.55968477368130765</v>
      </c>
      <c r="AG84" s="103">
        <f>AF84*(1+(Data!$P$191/100))</f>
        <v>0.59326586010218618</v>
      </c>
      <c r="AH84" s="103">
        <f>AG84*(1+(Data!$P$191/100))</f>
        <v>0.62886181170831734</v>
      </c>
      <c r="AI84" s="103">
        <f>AH84*(1+(Data!$P$191/100))</f>
        <v>0.66659352041081643</v>
      </c>
      <c r="AJ84" s="103">
        <f>AI84*(1+(Data!$P$191/100))</f>
        <v>0.70658913163546544</v>
      </c>
    </row>
    <row r="85" spans="2:36" ht="15" hidden="1" customHeight="1" x14ac:dyDescent="0.2">
      <c r="B85" s="47"/>
      <c r="C85" s="47"/>
      <c r="D85" s="47"/>
      <c r="E85" s="47"/>
      <c r="F85" s="8"/>
      <c r="G85" s="14" t="s">
        <v>252</v>
      </c>
      <c r="H85" s="69"/>
      <c r="I85" s="69"/>
      <c r="J85" s="196"/>
      <c r="K85" s="392">
        <f>Data!$P$181</f>
        <v>0.31</v>
      </c>
      <c r="L85" s="103">
        <f>K85*(1+(Data!$P$192/100))</f>
        <v>0.34100000000000003</v>
      </c>
      <c r="M85" s="103">
        <f>L85*(1+(Data!$P$192/100))</f>
        <v>0.37510000000000004</v>
      </c>
      <c r="N85" s="103">
        <f>M85*(1+(Data!$P$192/100))</f>
        <v>0.41261000000000009</v>
      </c>
      <c r="O85" s="103">
        <f>N85*(1+(Data!$P$192/100))</f>
        <v>0.45387100000000014</v>
      </c>
      <c r="P85" s="103">
        <f>O85*(1+(Data!$P$192/100))</f>
        <v>0.4992581000000002</v>
      </c>
      <c r="Q85" s="103">
        <f>P85*(1+(Data!$P$192/100))</f>
        <v>0.54918391000000022</v>
      </c>
      <c r="R85" s="103">
        <f>Q85*(1+(Data!$P$192/100))</f>
        <v>0.60410230100000029</v>
      </c>
      <c r="S85" s="103">
        <f>R85*(1+(Data!$P$192/100))</f>
        <v>0.66451253110000041</v>
      </c>
      <c r="T85" s="103">
        <f>S85*(1+(Data!$P$192/100))</f>
        <v>0.73096378421000052</v>
      </c>
      <c r="U85" s="103">
        <f>T85*(1+(Data!$P$192/100))</f>
        <v>0.80406016263100066</v>
      </c>
      <c r="V85" s="103">
        <f>U85*(1+(Data!$P$192/100))</f>
        <v>0.88446617889410084</v>
      </c>
      <c r="W85" s="103">
        <f>V85*(1+(Data!$P$192/100))</f>
        <v>0.97291279678351106</v>
      </c>
      <c r="X85" s="103">
        <f>W85*(1+(Data!$P$192/100))</f>
        <v>1.0702040764618623</v>
      </c>
      <c r="Y85" s="103">
        <f>X85*(1+(Data!$P$192/100))</f>
        <v>1.1772244841080486</v>
      </c>
      <c r="Z85" s="103">
        <f>Y85*(1+(Data!$P$192/100))</f>
        <v>1.2949469325188536</v>
      </c>
      <c r="AA85" s="103">
        <f>Z85*(1+(Data!$P$192/100))</f>
        <v>1.4244416257707391</v>
      </c>
      <c r="AB85" s="103">
        <f>AA85*(1+(Data!$P$192/100))</f>
        <v>1.5668857883478131</v>
      </c>
      <c r="AC85" s="103">
        <f>AB85*(1+(Data!$P$192/100))</f>
        <v>1.7235743671825945</v>
      </c>
      <c r="AD85" s="103">
        <f>AC85*(1+(Data!$P$192/100))</f>
        <v>1.8959318039008541</v>
      </c>
      <c r="AE85" s="103">
        <f>AD85*(1+(Data!$P$192/100))</f>
        <v>2.0855249842909398</v>
      </c>
      <c r="AF85" s="103">
        <f>AE85*(1+(Data!$P$192/100))</f>
        <v>2.2940774827200339</v>
      </c>
      <c r="AG85" s="103">
        <f>AF85*(1+(Data!$P$192/100))</f>
        <v>2.5234852309920375</v>
      </c>
      <c r="AH85" s="103">
        <f>AG85*(1+(Data!$P$192/100))</f>
        <v>2.7758337540912414</v>
      </c>
      <c r="AI85" s="103">
        <f>AH85*(1+(Data!$P$192/100))</f>
        <v>3.053417129500366</v>
      </c>
      <c r="AJ85" s="103">
        <f>AI85*(1+(Data!$P$192/100))</f>
        <v>3.3587588424504031</v>
      </c>
    </row>
    <row r="86" spans="2:36" ht="15" hidden="1" customHeight="1" x14ac:dyDescent="0.2">
      <c r="B86" s="47"/>
      <c r="C86" s="47"/>
      <c r="D86" s="47"/>
      <c r="E86" s="47"/>
      <c r="F86" s="8"/>
      <c r="G86" s="14"/>
      <c r="H86" s="69"/>
      <c r="I86" s="69"/>
      <c r="J86" s="196"/>
      <c r="K86" s="392"/>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row>
    <row r="87" spans="2:36" ht="15" hidden="1" customHeight="1" x14ac:dyDescent="0.2">
      <c r="B87" s="47"/>
      <c r="C87" s="47"/>
      <c r="D87" s="47"/>
      <c r="E87" s="47"/>
      <c r="F87" s="8"/>
      <c r="G87" s="14" t="s">
        <v>307</v>
      </c>
      <c r="H87" s="14"/>
      <c r="I87" s="14"/>
      <c r="J87" s="14"/>
      <c r="K87" s="103">
        <v>1</v>
      </c>
      <c r="L87" s="103">
        <f>K87*(1+(Data!$P$194)/100)</f>
        <v>1.02</v>
      </c>
      <c r="M87" s="103">
        <f>L87*(1+(Data!$P$194)/100)</f>
        <v>1.0404</v>
      </c>
      <c r="N87" s="103">
        <f>M87*(1+(Data!$P$194)/100)</f>
        <v>1.0612079999999999</v>
      </c>
      <c r="O87" s="103">
        <f>N87*(1+(Data!$P$194)/100)</f>
        <v>1.08243216</v>
      </c>
      <c r="P87" s="103">
        <f>O87*(1+(Data!$P$194)/100)</f>
        <v>1.1040808032</v>
      </c>
      <c r="Q87" s="103">
        <f>P87*(1+(Data!$P$194)/100)</f>
        <v>1.1261624192640001</v>
      </c>
      <c r="R87" s="103">
        <f>Q87*(1+(Data!$P$194)/100)</f>
        <v>1.14868566764928</v>
      </c>
      <c r="S87" s="103">
        <f>R87*(1+(Data!$P$194)/100)</f>
        <v>1.1716593810022657</v>
      </c>
      <c r="T87" s="103">
        <f>S87*(1+(Data!$P$194)/100)</f>
        <v>1.1950925686223111</v>
      </c>
      <c r="U87" s="103">
        <f>T87*(1+(Data!$P$194)/100)</f>
        <v>1.2189944199947573</v>
      </c>
      <c r="V87" s="103">
        <f>U87*(1+(Data!$P$194)/100)</f>
        <v>1.2433743083946525</v>
      </c>
      <c r="W87" s="103">
        <f>V87*(1+(Data!$P$194)/100)</f>
        <v>1.2682417945625455</v>
      </c>
      <c r="X87" s="103">
        <f>W87*(1+(Data!$P$194)/100)</f>
        <v>1.2936066304537963</v>
      </c>
      <c r="Y87" s="103">
        <f>X87*(1+(Data!$P$194)/100)</f>
        <v>1.3194787630628724</v>
      </c>
      <c r="Z87" s="103">
        <f>Y87*(1+(Data!$P$194)/100)</f>
        <v>1.3458683383241299</v>
      </c>
      <c r="AA87" s="103">
        <f>Z87*(1+(Data!$P$194)/100)</f>
        <v>1.3727857050906125</v>
      </c>
      <c r="AB87" s="103">
        <f>AA87*(1+(Data!$P$194)/100)</f>
        <v>1.4002414191924248</v>
      </c>
      <c r="AC87" s="103">
        <f>AB87*(1+(Data!$P$194)/100)</f>
        <v>1.4282462475762734</v>
      </c>
      <c r="AD87" s="103">
        <f>AC87*(1+(Data!$P$194)/100)</f>
        <v>1.4568111725277988</v>
      </c>
      <c r="AE87" s="103">
        <f>AD87*(1+(Data!$P$194)/100)</f>
        <v>1.4859473959783549</v>
      </c>
      <c r="AF87" s="103">
        <f>AE87*(1+(Data!$P$194)/100)</f>
        <v>1.5156663438979221</v>
      </c>
      <c r="AG87" s="103">
        <f>AF87*(1+(Data!$P$194)/100)</f>
        <v>1.5459796707758806</v>
      </c>
      <c r="AH87" s="103">
        <f>AG87*(1+(Data!$P$194)/100)</f>
        <v>1.5768992641913981</v>
      </c>
      <c r="AI87" s="103">
        <f>AH87*(1+(Data!$P$194)/100)</f>
        <v>1.6084372494752261</v>
      </c>
      <c r="AJ87" s="103">
        <f>AI87*(1+(Data!$P$194)/100)</f>
        <v>1.6406059944647307</v>
      </c>
    </row>
    <row r="88" spans="2:36" ht="15" hidden="1" customHeight="1" x14ac:dyDescent="0.2">
      <c r="B88" s="47"/>
      <c r="C88" s="47"/>
      <c r="D88" s="47"/>
      <c r="E88" s="47"/>
      <c r="F88" s="8"/>
      <c r="G88" s="14" t="s">
        <v>3</v>
      </c>
      <c r="H88" s="14"/>
      <c r="I88" s="14"/>
      <c r="J88" s="14"/>
      <c r="K88" s="103">
        <f>Data!$P$183</f>
        <v>0.1</v>
      </c>
      <c r="L88" s="103">
        <f>K88*((100+Data!$P$202)/100)</f>
        <v>0.10200000000000001</v>
      </c>
      <c r="M88" s="103">
        <f>L88*((100+Data!$P$202)/100)</f>
        <v>0.10404000000000001</v>
      </c>
      <c r="N88" s="103">
        <f>M88*((100+Data!$P$202)/100)</f>
        <v>0.10612080000000002</v>
      </c>
      <c r="O88" s="103">
        <f>N88*((100+Data!$P$202)/100)</f>
        <v>0.10824321600000002</v>
      </c>
      <c r="P88" s="103">
        <f>O88*((100+Data!$P$202)/100)</f>
        <v>0.11040808032000002</v>
      </c>
      <c r="Q88" s="103">
        <f>P88*((100+Data!$P$202)/100)</f>
        <v>0.11261624192640002</v>
      </c>
      <c r="R88" s="103">
        <f>Q88*((100+Data!$P$202)/100)</f>
        <v>0.11486856676492802</v>
      </c>
      <c r="S88" s="103">
        <f>R88*((100+Data!$P$202)/100)</f>
        <v>0.11716593810022657</v>
      </c>
      <c r="T88" s="103">
        <f>S88*((100+Data!$P$202)/100)</f>
        <v>0.11950925686223111</v>
      </c>
      <c r="U88" s="103">
        <f>T88*((100+Data!$P$202)/100)</f>
        <v>0.12189944199947574</v>
      </c>
      <c r="V88" s="103">
        <f>U88*((100+Data!$P$202)/100)</f>
        <v>0.12433743083946525</v>
      </c>
      <c r="W88" s="103">
        <f>V88*((100+Data!$P$202)/100)</f>
        <v>0.12682417945625454</v>
      </c>
      <c r="X88" s="103">
        <f>W88*((100+Data!$P$202)/100)</f>
        <v>0.12936066304537963</v>
      </c>
      <c r="Y88" s="103">
        <f>X88*((100+Data!$P$202)/100)</f>
        <v>0.13194787630628724</v>
      </c>
      <c r="Z88" s="103">
        <f>Y88*((100+Data!$P$202)/100)</f>
        <v>0.13458683383241299</v>
      </c>
      <c r="AA88" s="103">
        <f>Z88*((100+Data!$P$202)/100)</f>
        <v>0.13727857050906125</v>
      </c>
      <c r="AB88" s="103">
        <f>AA88*((100+Data!$P$202)/100)</f>
        <v>0.14002414191924248</v>
      </c>
      <c r="AC88" s="103">
        <f>AB88*((100+Data!$P$202)/100)</f>
        <v>0.14282462475762733</v>
      </c>
      <c r="AD88" s="103">
        <f>AC88*((100+Data!$P$202)/100)</f>
        <v>0.14568111725277988</v>
      </c>
      <c r="AE88" s="103">
        <f>AD88*((100+Data!$P$202)/100)</f>
        <v>0.14859473959783548</v>
      </c>
      <c r="AF88" s="103">
        <f>AE88*((100+Data!$P$202)/100)</f>
        <v>0.1515666343897922</v>
      </c>
      <c r="AG88" s="103">
        <f>AF88*((100+Data!$P$202)/100)</f>
        <v>0.15459796707758805</v>
      </c>
      <c r="AH88" s="103">
        <f>AG88*((100+Data!$P$202)/100)</f>
        <v>0.15768992641913981</v>
      </c>
      <c r="AI88" s="103">
        <f>AH88*((100+Data!$P$202)/100)</f>
        <v>0.16084372494752261</v>
      </c>
      <c r="AJ88" s="103">
        <f>AI88*((100+Data!$P$202)/100)</f>
        <v>0.16406059944647305</v>
      </c>
    </row>
    <row r="89" spans="2:36" ht="15" hidden="1" customHeight="1" x14ac:dyDescent="0.2">
      <c r="B89" s="47"/>
      <c r="C89" s="47"/>
      <c r="D89" s="47"/>
      <c r="E89" s="47"/>
      <c r="F89" s="8"/>
      <c r="G89" s="10"/>
      <c r="H89" s="10"/>
      <c r="I89" s="8"/>
      <c r="J89" s="8"/>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row>
    <row r="90" spans="2:36" ht="15" hidden="1" customHeight="1" x14ac:dyDescent="0.2">
      <c r="B90" s="47"/>
      <c r="C90" s="47"/>
      <c r="D90" s="47"/>
      <c r="E90" s="47"/>
      <c r="F90" s="8"/>
      <c r="G90" s="489" t="s">
        <v>290</v>
      </c>
      <c r="H90" s="14"/>
      <c r="I90" s="13"/>
      <c r="J90" s="13"/>
      <c r="K90" s="14"/>
      <c r="L90" s="14"/>
      <c r="M90" s="14"/>
      <c r="N90" s="14"/>
      <c r="O90" s="14"/>
      <c r="P90" s="14"/>
      <c r="Q90" s="14"/>
      <c r="R90" s="14"/>
      <c r="S90" s="14"/>
      <c r="T90" s="14"/>
      <c r="U90" s="14"/>
      <c r="V90" s="14"/>
      <c r="W90" s="14"/>
      <c r="X90" s="14"/>
      <c r="Y90" s="14"/>
      <c r="Z90" s="14"/>
      <c r="AA90" s="14"/>
      <c r="AB90" s="41"/>
      <c r="AC90" s="14"/>
      <c r="AD90" s="14"/>
      <c r="AE90" s="14"/>
      <c r="AF90" s="14"/>
      <c r="AG90" s="14"/>
      <c r="AH90" s="14"/>
      <c r="AI90" s="14"/>
      <c r="AJ90" s="14"/>
    </row>
    <row r="91" spans="2:36" ht="15" hidden="1" customHeight="1" x14ac:dyDescent="0.2">
      <c r="B91" s="47"/>
      <c r="C91" s="47"/>
      <c r="D91" s="47"/>
      <c r="E91" s="47"/>
      <c r="F91" s="8"/>
      <c r="G91" s="14"/>
      <c r="H91" s="14"/>
      <c r="I91" s="13"/>
      <c r="J91" s="13"/>
      <c r="K91" s="31"/>
      <c r="L91" s="31"/>
      <c r="M91" s="31"/>
      <c r="N91" s="31"/>
      <c r="O91" s="31"/>
      <c r="P91" s="31"/>
      <c r="Q91" s="31"/>
      <c r="R91" s="31"/>
      <c r="S91" s="31"/>
      <c r="T91" s="31"/>
      <c r="U91" s="31"/>
      <c r="V91" s="31"/>
      <c r="W91" s="31"/>
      <c r="X91" s="31"/>
      <c r="Y91" s="31"/>
      <c r="Z91" s="31"/>
      <c r="AA91" s="31"/>
      <c r="AB91" s="75"/>
      <c r="AC91" s="31"/>
      <c r="AD91" s="31"/>
      <c r="AE91" s="31"/>
      <c r="AF91" s="31"/>
      <c r="AG91" s="31"/>
      <c r="AH91" s="31"/>
      <c r="AI91" s="31"/>
      <c r="AJ91" s="31"/>
    </row>
    <row r="92" spans="2:36" ht="15" hidden="1" customHeight="1" x14ac:dyDescent="0.2">
      <c r="B92" s="47"/>
      <c r="C92" s="47"/>
      <c r="D92" s="47"/>
      <c r="E92" s="47"/>
      <c r="F92" s="8"/>
      <c r="G92" s="14" t="s">
        <v>478</v>
      </c>
      <c r="H92" s="14"/>
      <c r="I92" s="13"/>
      <c r="J92" s="13"/>
      <c r="K92" s="103">
        <f>VLOOKUP($I$15,$G$75:$AJ$79,K$70+5,FALSE)</f>
        <v>0.19338</v>
      </c>
      <c r="L92" s="103">
        <f t="shared" ref="L92:AJ92" si="3">VLOOKUP($I$15,$G$75:$AJ$79,L$70+5,FALSE)</f>
        <v>0.18757859999999998</v>
      </c>
      <c r="M92" s="103">
        <f t="shared" si="3"/>
        <v>0.18195124199999999</v>
      </c>
      <c r="N92" s="103">
        <f t="shared" si="3"/>
        <v>0.17649270473999998</v>
      </c>
      <c r="O92" s="103">
        <f t="shared" si="3"/>
        <v>0.17119792359779998</v>
      </c>
      <c r="P92" s="103">
        <f t="shared" si="3"/>
        <v>0.16606198588986598</v>
      </c>
      <c r="Q92" s="103">
        <f t="shared" si="3"/>
        <v>0.16108012631317001</v>
      </c>
      <c r="R92" s="103">
        <f t="shared" si="3"/>
        <v>0.15624772252377489</v>
      </c>
      <c r="S92" s="103">
        <f t="shared" si="3"/>
        <v>0.15156029084806164</v>
      </c>
      <c r="T92" s="103">
        <f t="shared" si="3"/>
        <v>0.14701348212261978</v>
      </c>
      <c r="U92" s="103">
        <f t="shared" si="3"/>
        <v>0.14260307765894117</v>
      </c>
      <c r="V92" s="103">
        <f t="shared" si="3"/>
        <v>0.13832498532917292</v>
      </c>
      <c r="W92" s="103">
        <f t="shared" si="3"/>
        <v>0.13417523576929774</v>
      </c>
      <c r="X92" s="103">
        <f t="shared" si="3"/>
        <v>0.1301499786962188</v>
      </c>
      <c r="Y92" s="103">
        <f t="shared" si="3"/>
        <v>0.12624547933533223</v>
      </c>
      <c r="Z92" s="103">
        <f t="shared" si="3"/>
        <v>0.12245811495527226</v>
      </c>
      <c r="AA92" s="103">
        <f t="shared" si="3"/>
        <v>0.11878437150661408</v>
      </c>
      <c r="AB92" s="103">
        <f t="shared" si="3"/>
        <v>0.11522084036141565</v>
      </c>
      <c r="AC92" s="103">
        <f t="shared" si="3"/>
        <v>0.11176421515057318</v>
      </c>
      <c r="AD92" s="103">
        <f t="shared" si="3"/>
        <v>0.10841128869605599</v>
      </c>
      <c r="AE92" s="103">
        <f t="shared" si="3"/>
        <v>0.10515895003517431</v>
      </c>
      <c r="AF92" s="103">
        <f t="shared" si="3"/>
        <v>0.10200418153411908</v>
      </c>
      <c r="AG92" s="103">
        <f t="shared" si="3"/>
        <v>9.8944056088095506E-2</v>
      </c>
      <c r="AH92" s="103">
        <f t="shared" si="3"/>
        <v>9.5975734405452637E-2</v>
      </c>
      <c r="AI92" s="103">
        <f t="shared" si="3"/>
        <v>9.3096462373289057E-2</v>
      </c>
      <c r="AJ92" s="103">
        <f t="shared" si="3"/>
        <v>9.0303568502090384E-2</v>
      </c>
    </row>
    <row r="93" spans="2:36" ht="15" hidden="1" customHeight="1" x14ac:dyDescent="0.2">
      <c r="B93" s="47"/>
      <c r="C93" s="47"/>
      <c r="D93" s="47"/>
      <c r="E93" s="47"/>
      <c r="F93" s="8"/>
      <c r="G93" s="14" t="s">
        <v>479</v>
      </c>
      <c r="H93" s="14"/>
      <c r="I93" s="13"/>
      <c r="J93" s="13"/>
      <c r="K93" s="103">
        <f>VLOOKUP($I$15,$G$81:$AJ$85,K$70+5,FALSE)</f>
        <v>0.31</v>
      </c>
      <c r="L93" s="103">
        <f t="shared" ref="L93:AJ93" si="4">VLOOKUP($I$15,$G$81:$AJ$85,L$70+5,FALSE)</f>
        <v>0.34100000000000003</v>
      </c>
      <c r="M93" s="103">
        <f t="shared" si="4"/>
        <v>0.37510000000000004</v>
      </c>
      <c r="N93" s="103">
        <f t="shared" si="4"/>
        <v>0.41261000000000009</v>
      </c>
      <c r="O93" s="103">
        <f t="shared" si="4"/>
        <v>0.45387100000000014</v>
      </c>
      <c r="P93" s="103">
        <f t="shared" si="4"/>
        <v>0.4992581000000002</v>
      </c>
      <c r="Q93" s="103">
        <f t="shared" si="4"/>
        <v>0.54918391000000022</v>
      </c>
      <c r="R93" s="103">
        <f t="shared" si="4"/>
        <v>0.60410230100000029</v>
      </c>
      <c r="S93" s="103">
        <f t="shared" si="4"/>
        <v>0.66451253110000041</v>
      </c>
      <c r="T93" s="103">
        <f t="shared" si="4"/>
        <v>0.73096378421000052</v>
      </c>
      <c r="U93" s="103">
        <f t="shared" si="4"/>
        <v>0.80406016263100066</v>
      </c>
      <c r="V93" s="103">
        <f t="shared" si="4"/>
        <v>0.88446617889410084</v>
      </c>
      <c r="W93" s="103">
        <f t="shared" si="4"/>
        <v>0.97291279678351106</v>
      </c>
      <c r="X93" s="103">
        <f t="shared" si="4"/>
        <v>1.0702040764618623</v>
      </c>
      <c r="Y93" s="103">
        <f t="shared" si="4"/>
        <v>1.1772244841080486</v>
      </c>
      <c r="Z93" s="103">
        <f t="shared" si="4"/>
        <v>1.2949469325188536</v>
      </c>
      <c r="AA93" s="103">
        <f t="shared" si="4"/>
        <v>1.4244416257707391</v>
      </c>
      <c r="AB93" s="103">
        <f t="shared" si="4"/>
        <v>1.5668857883478131</v>
      </c>
      <c r="AC93" s="103">
        <f t="shared" si="4"/>
        <v>1.7235743671825945</v>
      </c>
      <c r="AD93" s="103">
        <f t="shared" si="4"/>
        <v>1.8959318039008541</v>
      </c>
      <c r="AE93" s="103">
        <f t="shared" si="4"/>
        <v>2.0855249842909398</v>
      </c>
      <c r="AF93" s="103">
        <f t="shared" si="4"/>
        <v>2.2940774827200339</v>
      </c>
      <c r="AG93" s="103">
        <f t="shared" si="4"/>
        <v>2.5234852309920375</v>
      </c>
      <c r="AH93" s="103">
        <f t="shared" si="4"/>
        <v>2.7758337540912414</v>
      </c>
      <c r="AI93" s="103">
        <f t="shared" si="4"/>
        <v>3.053417129500366</v>
      </c>
      <c r="AJ93" s="103">
        <f t="shared" si="4"/>
        <v>3.3587588424504031</v>
      </c>
    </row>
    <row r="94" spans="2:36" ht="15" hidden="1" customHeight="1" x14ac:dyDescent="0.2">
      <c r="B94" s="47"/>
      <c r="C94" s="47"/>
      <c r="D94" s="47"/>
      <c r="E94" s="47"/>
      <c r="F94" s="8"/>
      <c r="G94" s="14"/>
      <c r="H94" s="14"/>
      <c r="I94" s="13"/>
      <c r="J94" s="13"/>
      <c r="K94" s="31"/>
      <c r="L94" s="31"/>
      <c r="M94" s="31"/>
      <c r="N94" s="31"/>
      <c r="O94" s="31"/>
      <c r="P94" s="31"/>
      <c r="Q94" s="31"/>
      <c r="R94" s="31"/>
      <c r="S94" s="31"/>
      <c r="T94" s="31"/>
      <c r="U94" s="31"/>
      <c r="V94" s="31"/>
      <c r="W94" s="31"/>
      <c r="X94" s="31"/>
      <c r="Y94" s="31"/>
      <c r="Z94" s="31"/>
      <c r="AA94" s="31"/>
      <c r="AB94" s="75"/>
      <c r="AC94" s="31"/>
      <c r="AD94" s="31"/>
      <c r="AE94" s="31"/>
      <c r="AF94" s="31"/>
      <c r="AG94" s="31"/>
      <c r="AH94" s="31"/>
      <c r="AI94" s="31"/>
      <c r="AJ94" s="31"/>
    </row>
    <row r="95" spans="2:36" ht="15" hidden="1" customHeight="1" x14ac:dyDescent="0.2">
      <c r="B95" s="47"/>
      <c r="C95" s="47"/>
      <c r="D95" s="47"/>
      <c r="E95" s="47"/>
      <c r="F95" s="8"/>
      <c r="G95" s="14" t="s">
        <v>4</v>
      </c>
      <c r="H95" s="14"/>
      <c r="I95" s="13"/>
      <c r="J95" s="13"/>
      <c r="K95" s="42"/>
      <c r="L95" s="42"/>
      <c r="M95" s="42"/>
      <c r="N95" s="42"/>
      <c r="O95" s="42"/>
      <c r="P95" s="42"/>
      <c r="Q95" s="42"/>
      <c r="R95" s="42"/>
      <c r="S95" s="42"/>
      <c r="T95" s="42"/>
      <c r="U95" s="42"/>
      <c r="V95" s="42"/>
      <c r="W95" s="42"/>
      <c r="X95" s="42"/>
      <c r="Y95" s="42"/>
      <c r="Z95" s="42"/>
      <c r="AA95" s="42"/>
      <c r="AB95" s="76"/>
      <c r="AC95" s="42"/>
      <c r="AD95" s="42"/>
      <c r="AE95" s="42"/>
      <c r="AF95" s="42"/>
      <c r="AG95" s="42"/>
      <c r="AH95" s="42"/>
      <c r="AI95" s="42"/>
      <c r="AJ95" s="42"/>
    </row>
    <row r="96" spans="2:36" ht="15" hidden="1" customHeight="1" x14ac:dyDescent="0.2">
      <c r="B96" s="47"/>
      <c r="C96" s="47"/>
      <c r="D96" s="47"/>
      <c r="E96" s="47"/>
      <c r="F96" s="8"/>
      <c r="G96" s="14" t="s">
        <v>5</v>
      </c>
      <c r="H96" s="14"/>
      <c r="I96" s="13"/>
      <c r="J96" s="13"/>
      <c r="K96" s="42"/>
      <c r="L96" s="42"/>
      <c r="M96" s="42"/>
      <c r="N96" s="42"/>
      <c r="O96" s="42"/>
      <c r="P96" s="42"/>
      <c r="Q96" s="42"/>
      <c r="R96" s="42"/>
      <c r="S96" s="42"/>
      <c r="T96" s="42"/>
      <c r="U96" s="42"/>
      <c r="V96" s="42"/>
      <c r="W96" s="42"/>
      <c r="X96" s="42"/>
      <c r="Y96" s="42"/>
      <c r="Z96" s="42"/>
      <c r="AA96" s="42"/>
      <c r="AB96" s="76"/>
      <c r="AC96" s="42"/>
      <c r="AD96" s="42"/>
      <c r="AE96" s="42"/>
      <c r="AF96" s="42"/>
      <c r="AG96" s="42"/>
      <c r="AH96" s="42"/>
      <c r="AI96" s="42"/>
      <c r="AJ96" s="42"/>
    </row>
    <row r="97" spans="2:36" ht="15" hidden="1" customHeight="1" x14ac:dyDescent="0.2">
      <c r="B97" s="47"/>
      <c r="C97" s="47"/>
      <c r="D97" s="47"/>
      <c r="E97" s="47"/>
      <c r="F97" s="8"/>
      <c r="G97" s="14" t="s">
        <v>6</v>
      </c>
      <c r="H97" s="14"/>
      <c r="I97" s="13"/>
      <c r="J97" s="13"/>
      <c r="K97" s="31">
        <f>$K$11</f>
        <v>0</v>
      </c>
      <c r="L97" s="31">
        <f t="shared" ref="L97:AJ97" si="5">$K$11</f>
        <v>0</v>
      </c>
      <c r="M97" s="31">
        <f t="shared" si="5"/>
        <v>0</v>
      </c>
      <c r="N97" s="31">
        <f t="shared" si="5"/>
        <v>0</v>
      </c>
      <c r="O97" s="31">
        <f t="shared" si="5"/>
        <v>0</v>
      </c>
      <c r="P97" s="31">
        <f t="shared" si="5"/>
        <v>0</v>
      </c>
      <c r="Q97" s="31">
        <f t="shared" si="5"/>
        <v>0</v>
      </c>
      <c r="R97" s="31">
        <f t="shared" si="5"/>
        <v>0</v>
      </c>
      <c r="S97" s="31">
        <f t="shared" si="5"/>
        <v>0</v>
      </c>
      <c r="T97" s="31">
        <f t="shared" si="5"/>
        <v>0</v>
      </c>
      <c r="U97" s="31">
        <f t="shared" si="5"/>
        <v>0</v>
      </c>
      <c r="V97" s="31">
        <f t="shared" si="5"/>
        <v>0</v>
      </c>
      <c r="W97" s="31">
        <f t="shared" si="5"/>
        <v>0</v>
      </c>
      <c r="X97" s="31">
        <f t="shared" si="5"/>
        <v>0</v>
      </c>
      <c r="Y97" s="31">
        <f t="shared" si="5"/>
        <v>0</v>
      </c>
      <c r="Z97" s="31">
        <f t="shared" si="5"/>
        <v>0</v>
      </c>
      <c r="AA97" s="31">
        <f t="shared" si="5"/>
        <v>0</v>
      </c>
      <c r="AB97" s="31">
        <f t="shared" si="5"/>
        <v>0</v>
      </c>
      <c r="AC97" s="31">
        <f t="shared" si="5"/>
        <v>0</v>
      </c>
      <c r="AD97" s="31">
        <f t="shared" si="5"/>
        <v>0</v>
      </c>
      <c r="AE97" s="31">
        <f t="shared" si="5"/>
        <v>0</v>
      </c>
      <c r="AF97" s="31">
        <f t="shared" si="5"/>
        <v>0</v>
      </c>
      <c r="AG97" s="31">
        <f t="shared" si="5"/>
        <v>0</v>
      </c>
      <c r="AH97" s="31">
        <f t="shared" si="5"/>
        <v>0</v>
      </c>
      <c r="AI97" s="31">
        <f t="shared" si="5"/>
        <v>0</v>
      </c>
      <c r="AJ97" s="31">
        <f t="shared" si="5"/>
        <v>0</v>
      </c>
    </row>
    <row r="98" spans="2:36" ht="15" hidden="1" customHeight="1" x14ac:dyDescent="0.2">
      <c r="B98" s="47"/>
      <c r="C98" s="47"/>
      <c r="D98" s="47"/>
      <c r="E98" s="47"/>
      <c r="F98" s="8"/>
      <c r="G98" s="14"/>
      <c r="H98" s="14"/>
      <c r="I98" s="13"/>
      <c r="J98" s="13"/>
      <c r="K98" s="31"/>
      <c r="L98" s="31"/>
      <c r="M98" s="31"/>
      <c r="N98" s="31"/>
      <c r="O98" s="31"/>
      <c r="P98" s="31"/>
      <c r="Q98" s="31"/>
      <c r="R98" s="31"/>
      <c r="S98" s="31"/>
      <c r="T98" s="31"/>
      <c r="U98" s="31"/>
      <c r="V98" s="31"/>
      <c r="W98" s="31"/>
      <c r="X98" s="31"/>
      <c r="Y98" s="31"/>
      <c r="Z98" s="31"/>
      <c r="AA98" s="31"/>
      <c r="AB98" s="75"/>
      <c r="AC98" s="31"/>
      <c r="AD98" s="31"/>
      <c r="AE98" s="31"/>
      <c r="AF98" s="31"/>
      <c r="AG98" s="31"/>
      <c r="AH98" s="31"/>
      <c r="AI98" s="31"/>
      <c r="AJ98" s="31"/>
    </row>
    <row r="99" spans="2:36" ht="15" hidden="1" customHeight="1" x14ac:dyDescent="0.2">
      <c r="B99" s="47"/>
      <c r="C99" s="47"/>
      <c r="D99" s="47"/>
      <c r="E99" s="47"/>
      <c r="F99" s="8"/>
      <c r="G99" s="14" t="s">
        <v>7</v>
      </c>
      <c r="H99" s="14"/>
      <c r="I99" s="13"/>
      <c r="J99" s="13"/>
      <c r="K99" s="42"/>
      <c r="L99" s="42"/>
      <c r="M99" s="42"/>
      <c r="N99" s="42"/>
      <c r="O99" s="42"/>
      <c r="P99" s="42"/>
      <c r="Q99" s="42"/>
      <c r="R99" s="42"/>
      <c r="S99" s="42"/>
      <c r="T99" s="42"/>
      <c r="U99" s="42"/>
      <c r="V99" s="42"/>
      <c r="W99" s="42"/>
      <c r="X99" s="42"/>
      <c r="Y99" s="42"/>
      <c r="Z99" s="42"/>
      <c r="AA99" s="42"/>
      <c r="AB99" s="76"/>
      <c r="AC99" s="42"/>
      <c r="AD99" s="42"/>
      <c r="AE99" s="42"/>
      <c r="AF99" s="42"/>
      <c r="AG99" s="42"/>
      <c r="AH99" s="42"/>
      <c r="AI99" s="42"/>
      <c r="AJ99" s="42"/>
    </row>
    <row r="100" spans="2:36" ht="15" hidden="1" customHeight="1" x14ac:dyDescent="0.2">
      <c r="B100" s="47"/>
      <c r="C100" s="47"/>
      <c r="D100" s="47"/>
      <c r="E100" s="47"/>
      <c r="F100" s="8"/>
      <c r="G100" s="14" t="s">
        <v>8</v>
      </c>
      <c r="H100" s="14"/>
      <c r="I100" s="13"/>
      <c r="J100" s="13"/>
      <c r="K100" s="42"/>
      <c r="L100" s="42"/>
      <c r="M100" s="42"/>
      <c r="N100" s="42"/>
      <c r="O100" s="42"/>
      <c r="P100" s="42"/>
      <c r="Q100" s="42"/>
      <c r="R100" s="42"/>
      <c r="S100" s="42"/>
      <c r="T100" s="42"/>
      <c r="U100" s="42"/>
      <c r="V100" s="42"/>
      <c r="W100" s="42"/>
      <c r="X100" s="42"/>
      <c r="Y100" s="42"/>
      <c r="Z100" s="42"/>
      <c r="AA100" s="42"/>
      <c r="AB100" s="76"/>
      <c r="AC100" s="42"/>
      <c r="AD100" s="42"/>
      <c r="AE100" s="42"/>
      <c r="AF100" s="42"/>
      <c r="AG100" s="42"/>
      <c r="AH100" s="42"/>
      <c r="AI100" s="42"/>
      <c r="AJ100" s="42"/>
    </row>
    <row r="101" spans="2:36" ht="15" hidden="1" customHeight="1" x14ac:dyDescent="0.2">
      <c r="B101" s="47"/>
      <c r="C101" s="47"/>
      <c r="D101" s="47"/>
      <c r="E101" s="47"/>
      <c r="F101" s="8"/>
      <c r="G101" s="14" t="s">
        <v>9</v>
      </c>
      <c r="H101" s="14"/>
      <c r="I101" s="13"/>
      <c r="J101" s="13"/>
      <c r="K101" s="31">
        <f t="shared" ref="K101:AJ101" si="6">K92*K97</f>
        <v>0</v>
      </c>
      <c r="L101" s="31">
        <f t="shared" si="6"/>
        <v>0</v>
      </c>
      <c r="M101" s="31">
        <f t="shared" si="6"/>
        <v>0</v>
      </c>
      <c r="N101" s="31">
        <f t="shared" si="6"/>
        <v>0</v>
      </c>
      <c r="O101" s="31">
        <f t="shared" si="6"/>
        <v>0</v>
      </c>
      <c r="P101" s="31">
        <f t="shared" si="6"/>
        <v>0</v>
      </c>
      <c r="Q101" s="31">
        <f t="shared" si="6"/>
        <v>0</v>
      </c>
      <c r="R101" s="31">
        <f t="shared" si="6"/>
        <v>0</v>
      </c>
      <c r="S101" s="31">
        <f t="shared" si="6"/>
        <v>0</v>
      </c>
      <c r="T101" s="31">
        <f t="shared" si="6"/>
        <v>0</v>
      </c>
      <c r="U101" s="31">
        <f t="shared" si="6"/>
        <v>0</v>
      </c>
      <c r="V101" s="31">
        <f t="shared" si="6"/>
        <v>0</v>
      </c>
      <c r="W101" s="31">
        <f t="shared" si="6"/>
        <v>0</v>
      </c>
      <c r="X101" s="31">
        <f t="shared" si="6"/>
        <v>0</v>
      </c>
      <c r="Y101" s="31">
        <f t="shared" si="6"/>
        <v>0</v>
      </c>
      <c r="Z101" s="31">
        <f t="shared" si="6"/>
        <v>0</v>
      </c>
      <c r="AA101" s="31">
        <f t="shared" si="6"/>
        <v>0</v>
      </c>
      <c r="AB101" s="31">
        <f t="shared" si="6"/>
        <v>0</v>
      </c>
      <c r="AC101" s="31">
        <f t="shared" si="6"/>
        <v>0</v>
      </c>
      <c r="AD101" s="31">
        <f t="shared" si="6"/>
        <v>0</v>
      </c>
      <c r="AE101" s="31">
        <f t="shared" si="6"/>
        <v>0</v>
      </c>
      <c r="AF101" s="31">
        <f t="shared" si="6"/>
        <v>0</v>
      </c>
      <c r="AG101" s="31">
        <f t="shared" si="6"/>
        <v>0</v>
      </c>
      <c r="AH101" s="31">
        <f t="shared" si="6"/>
        <v>0</v>
      </c>
      <c r="AI101" s="31">
        <f t="shared" si="6"/>
        <v>0</v>
      </c>
      <c r="AJ101" s="31">
        <f t="shared" si="6"/>
        <v>0</v>
      </c>
    </row>
    <row r="102" spans="2:36" ht="15" hidden="1" customHeight="1" x14ac:dyDescent="0.2">
      <c r="B102" s="47"/>
      <c r="C102" s="47"/>
      <c r="D102" s="47"/>
      <c r="E102" s="47"/>
      <c r="F102" s="8"/>
      <c r="G102" s="14"/>
      <c r="H102" s="14"/>
      <c r="I102" s="13"/>
      <c r="J102" s="13"/>
      <c r="K102" s="31"/>
      <c r="L102" s="31"/>
      <c r="M102" s="31"/>
      <c r="N102" s="31"/>
      <c r="O102" s="31"/>
      <c r="P102" s="31"/>
      <c r="Q102" s="31"/>
      <c r="R102" s="31"/>
      <c r="S102" s="31"/>
      <c r="T102" s="31"/>
      <c r="U102" s="31"/>
      <c r="V102" s="31"/>
      <c r="W102" s="31"/>
      <c r="X102" s="31"/>
      <c r="Y102" s="31"/>
      <c r="Z102" s="31"/>
      <c r="AA102" s="31"/>
      <c r="AB102" s="75"/>
      <c r="AC102" s="31"/>
      <c r="AD102" s="31"/>
      <c r="AE102" s="31"/>
      <c r="AF102" s="31"/>
      <c r="AG102" s="31"/>
      <c r="AH102" s="31"/>
      <c r="AI102" s="31"/>
      <c r="AJ102" s="31"/>
    </row>
    <row r="103" spans="2:36" ht="15" hidden="1" customHeight="1" x14ac:dyDescent="0.2">
      <c r="B103" s="47"/>
      <c r="C103" s="47"/>
      <c r="D103" s="47"/>
      <c r="E103" s="47"/>
      <c r="F103" s="8"/>
      <c r="G103" s="14" t="s">
        <v>10</v>
      </c>
      <c r="H103" s="14"/>
      <c r="I103" s="13"/>
      <c r="J103" s="13"/>
      <c r="K103" s="75">
        <f>IF($K$24=0,IF(K70=$K$19,$K$18,0),IF(K$70=$K$19,$K$18*K$87,IF(OR(AND($K$19=0,K$70=$K$19),AND(K$70&gt;=$K$19+$K$24,INT((K$70-$K$19)/($K$24))=(K$70-$K$19)/($K$24))),$K$23*K$87,0)))</f>
        <v>0</v>
      </c>
      <c r="L103" s="75">
        <f t="shared" ref="L103:AJ103" si="7">IF($K$24=0,IF(L70=$K$19,$K$18,0),IF(L$70=$K$19,$K$18*L$87,IF(OR(AND($K$19=0,L$70=$K$19),AND(L$70&gt;=$K$19+$K$24,INT((L$70-$K$19)/($K$24))=(L$70-$K$19)/($K$24))),$K$23*L$87,0)))</f>
        <v>0</v>
      </c>
      <c r="M103" s="75">
        <f t="shared" si="7"/>
        <v>0</v>
      </c>
      <c r="N103" s="75">
        <f t="shared" si="7"/>
        <v>0</v>
      </c>
      <c r="O103" s="75">
        <f t="shared" si="7"/>
        <v>0</v>
      </c>
      <c r="P103" s="75">
        <f t="shared" si="7"/>
        <v>0</v>
      </c>
      <c r="Q103" s="75">
        <f t="shared" si="7"/>
        <v>0</v>
      </c>
      <c r="R103" s="75">
        <f t="shared" si="7"/>
        <v>0</v>
      </c>
      <c r="S103" s="75">
        <f t="shared" si="7"/>
        <v>0</v>
      </c>
      <c r="T103" s="75">
        <f t="shared" si="7"/>
        <v>0</v>
      </c>
      <c r="U103" s="75">
        <f t="shared" si="7"/>
        <v>0</v>
      </c>
      <c r="V103" s="75">
        <f t="shared" si="7"/>
        <v>0</v>
      </c>
      <c r="W103" s="75">
        <f t="shared" si="7"/>
        <v>0</v>
      </c>
      <c r="X103" s="75">
        <f t="shared" si="7"/>
        <v>0</v>
      </c>
      <c r="Y103" s="75">
        <f t="shared" si="7"/>
        <v>0</v>
      </c>
      <c r="Z103" s="75">
        <f t="shared" si="7"/>
        <v>0</v>
      </c>
      <c r="AA103" s="75">
        <f t="shared" si="7"/>
        <v>0</v>
      </c>
      <c r="AB103" s="75">
        <f t="shared" si="7"/>
        <v>0</v>
      </c>
      <c r="AC103" s="75">
        <f t="shared" si="7"/>
        <v>0</v>
      </c>
      <c r="AD103" s="75">
        <f t="shared" si="7"/>
        <v>0</v>
      </c>
      <c r="AE103" s="75">
        <f t="shared" si="7"/>
        <v>0</v>
      </c>
      <c r="AF103" s="75">
        <f t="shared" si="7"/>
        <v>0</v>
      </c>
      <c r="AG103" s="75">
        <f t="shared" si="7"/>
        <v>0</v>
      </c>
      <c r="AH103" s="75">
        <f t="shared" si="7"/>
        <v>0</v>
      </c>
      <c r="AI103" s="75">
        <f t="shared" si="7"/>
        <v>0</v>
      </c>
      <c r="AJ103" s="75">
        <f t="shared" si="7"/>
        <v>0</v>
      </c>
    </row>
    <row r="104" spans="2:36" ht="15" hidden="1" customHeight="1" x14ac:dyDescent="0.2">
      <c r="B104" s="47"/>
      <c r="C104" s="47"/>
      <c r="D104" s="47"/>
      <c r="E104" s="47"/>
      <c r="F104" s="8"/>
      <c r="G104" s="14" t="s">
        <v>458</v>
      </c>
      <c r="H104" s="14"/>
      <c r="I104" s="13"/>
      <c r="J104" s="13"/>
      <c r="K104" s="31">
        <f>($K$21*K$87)-($K$22*K$87)</f>
        <v>0</v>
      </c>
      <c r="L104" s="31">
        <f t="shared" ref="L104:AJ104" si="8">($K$21*L$87)-($K$22*L$87)</f>
        <v>0</v>
      </c>
      <c r="M104" s="31">
        <f t="shared" si="8"/>
        <v>0</v>
      </c>
      <c r="N104" s="31">
        <f t="shared" si="8"/>
        <v>0</v>
      </c>
      <c r="O104" s="31">
        <f t="shared" si="8"/>
        <v>0</v>
      </c>
      <c r="P104" s="31">
        <f t="shared" si="8"/>
        <v>0</v>
      </c>
      <c r="Q104" s="31">
        <f t="shared" si="8"/>
        <v>0</v>
      </c>
      <c r="R104" s="31">
        <f t="shared" si="8"/>
        <v>0</v>
      </c>
      <c r="S104" s="31">
        <f t="shared" si="8"/>
        <v>0</v>
      </c>
      <c r="T104" s="31">
        <f t="shared" si="8"/>
        <v>0</v>
      </c>
      <c r="U104" s="31">
        <f t="shared" si="8"/>
        <v>0</v>
      </c>
      <c r="V104" s="31">
        <f t="shared" si="8"/>
        <v>0</v>
      </c>
      <c r="W104" s="31">
        <f t="shared" si="8"/>
        <v>0</v>
      </c>
      <c r="X104" s="31">
        <f t="shared" si="8"/>
        <v>0</v>
      </c>
      <c r="Y104" s="31">
        <f t="shared" si="8"/>
        <v>0</v>
      </c>
      <c r="Z104" s="31">
        <f t="shared" si="8"/>
        <v>0</v>
      </c>
      <c r="AA104" s="31">
        <f t="shared" si="8"/>
        <v>0</v>
      </c>
      <c r="AB104" s="31">
        <f t="shared" si="8"/>
        <v>0</v>
      </c>
      <c r="AC104" s="31">
        <f t="shared" si="8"/>
        <v>0</v>
      </c>
      <c r="AD104" s="31">
        <f t="shared" si="8"/>
        <v>0</v>
      </c>
      <c r="AE104" s="31">
        <f t="shared" si="8"/>
        <v>0</v>
      </c>
      <c r="AF104" s="31">
        <f t="shared" si="8"/>
        <v>0</v>
      </c>
      <c r="AG104" s="31">
        <f t="shared" si="8"/>
        <v>0</v>
      </c>
      <c r="AH104" s="31">
        <f t="shared" si="8"/>
        <v>0</v>
      </c>
      <c r="AI104" s="31">
        <f t="shared" si="8"/>
        <v>0</v>
      </c>
      <c r="AJ104" s="31">
        <f t="shared" si="8"/>
        <v>0</v>
      </c>
    </row>
    <row r="105" spans="2:36" ht="15" hidden="1" customHeight="1" x14ac:dyDescent="0.2">
      <c r="B105" s="47"/>
      <c r="C105" s="47"/>
      <c r="D105" s="47"/>
      <c r="E105" s="47"/>
      <c r="F105" s="8"/>
      <c r="G105" s="14" t="s">
        <v>12</v>
      </c>
      <c r="H105" s="14"/>
      <c r="I105" s="13"/>
      <c r="J105" s="13"/>
      <c r="K105" s="31">
        <f t="shared" ref="K105:AJ105" si="9">K$93*K97</f>
        <v>0</v>
      </c>
      <c r="L105" s="31">
        <f t="shared" si="9"/>
        <v>0</v>
      </c>
      <c r="M105" s="31">
        <f t="shared" si="9"/>
        <v>0</v>
      </c>
      <c r="N105" s="31">
        <f t="shared" si="9"/>
        <v>0</v>
      </c>
      <c r="O105" s="31">
        <f t="shared" si="9"/>
        <v>0</v>
      </c>
      <c r="P105" s="31">
        <f t="shared" si="9"/>
        <v>0</v>
      </c>
      <c r="Q105" s="31">
        <f t="shared" si="9"/>
        <v>0</v>
      </c>
      <c r="R105" s="31">
        <f t="shared" si="9"/>
        <v>0</v>
      </c>
      <c r="S105" s="31">
        <f t="shared" si="9"/>
        <v>0</v>
      </c>
      <c r="T105" s="31">
        <f t="shared" si="9"/>
        <v>0</v>
      </c>
      <c r="U105" s="31">
        <f t="shared" si="9"/>
        <v>0</v>
      </c>
      <c r="V105" s="31">
        <f t="shared" si="9"/>
        <v>0</v>
      </c>
      <c r="W105" s="31">
        <f t="shared" si="9"/>
        <v>0</v>
      </c>
      <c r="X105" s="31">
        <f t="shared" si="9"/>
        <v>0</v>
      </c>
      <c r="Y105" s="31">
        <f t="shared" si="9"/>
        <v>0</v>
      </c>
      <c r="Z105" s="31">
        <f t="shared" si="9"/>
        <v>0</v>
      </c>
      <c r="AA105" s="31">
        <f t="shared" si="9"/>
        <v>0</v>
      </c>
      <c r="AB105" s="31">
        <f t="shared" si="9"/>
        <v>0</v>
      </c>
      <c r="AC105" s="31">
        <f t="shared" si="9"/>
        <v>0</v>
      </c>
      <c r="AD105" s="31">
        <f t="shared" si="9"/>
        <v>0</v>
      </c>
      <c r="AE105" s="31">
        <f t="shared" si="9"/>
        <v>0</v>
      </c>
      <c r="AF105" s="31">
        <f t="shared" si="9"/>
        <v>0</v>
      </c>
      <c r="AG105" s="31">
        <f t="shared" si="9"/>
        <v>0</v>
      </c>
      <c r="AH105" s="31">
        <f t="shared" si="9"/>
        <v>0</v>
      </c>
      <c r="AI105" s="31">
        <f t="shared" si="9"/>
        <v>0</v>
      </c>
      <c r="AJ105" s="31">
        <f t="shared" si="9"/>
        <v>0</v>
      </c>
    </row>
    <row r="106" spans="2:36" ht="15" hidden="1" customHeight="1" x14ac:dyDescent="0.2">
      <c r="B106" s="47"/>
      <c r="C106" s="47"/>
      <c r="D106" s="47"/>
      <c r="E106" s="47"/>
      <c r="F106" s="8"/>
      <c r="G106" s="14" t="s">
        <v>13</v>
      </c>
      <c r="H106" s="14"/>
      <c r="I106" s="13"/>
      <c r="J106" s="13"/>
      <c r="K106" s="31">
        <f t="shared" ref="K106:AJ106" si="10">K88*K101</f>
        <v>0</v>
      </c>
      <c r="L106" s="31">
        <f t="shared" si="10"/>
        <v>0</v>
      </c>
      <c r="M106" s="31">
        <f t="shared" si="10"/>
        <v>0</v>
      </c>
      <c r="N106" s="31">
        <f t="shared" si="10"/>
        <v>0</v>
      </c>
      <c r="O106" s="31">
        <f t="shared" si="10"/>
        <v>0</v>
      </c>
      <c r="P106" s="31">
        <f t="shared" si="10"/>
        <v>0</v>
      </c>
      <c r="Q106" s="31">
        <f t="shared" si="10"/>
        <v>0</v>
      </c>
      <c r="R106" s="31">
        <f t="shared" si="10"/>
        <v>0</v>
      </c>
      <c r="S106" s="31">
        <f t="shared" si="10"/>
        <v>0</v>
      </c>
      <c r="T106" s="31">
        <f t="shared" si="10"/>
        <v>0</v>
      </c>
      <c r="U106" s="31">
        <f t="shared" si="10"/>
        <v>0</v>
      </c>
      <c r="V106" s="31">
        <f t="shared" si="10"/>
        <v>0</v>
      </c>
      <c r="W106" s="31">
        <f t="shared" si="10"/>
        <v>0</v>
      </c>
      <c r="X106" s="31">
        <f t="shared" si="10"/>
        <v>0</v>
      </c>
      <c r="Y106" s="31">
        <f t="shared" si="10"/>
        <v>0</v>
      </c>
      <c r="Z106" s="31">
        <f t="shared" si="10"/>
        <v>0</v>
      </c>
      <c r="AA106" s="31">
        <f t="shared" si="10"/>
        <v>0</v>
      </c>
      <c r="AB106" s="75">
        <f t="shared" si="10"/>
        <v>0</v>
      </c>
      <c r="AC106" s="31">
        <f t="shared" si="10"/>
        <v>0</v>
      </c>
      <c r="AD106" s="31">
        <f t="shared" si="10"/>
        <v>0</v>
      </c>
      <c r="AE106" s="31">
        <f t="shared" si="10"/>
        <v>0</v>
      </c>
      <c r="AF106" s="31">
        <f t="shared" si="10"/>
        <v>0</v>
      </c>
      <c r="AG106" s="31">
        <f t="shared" si="10"/>
        <v>0</v>
      </c>
      <c r="AH106" s="31">
        <f t="shared" si="10"/>
        <v>0</v>
      </c>
      <c r="AI106" s="31">
        <f t="shared" si="10"/>
        <v>0</v>
      </c>
      <c r="AJ106" s="31">
        <f t="shared" si="10"/>
        <v>0</v>
      </c>
    </row>
    <row r="107" spans="2:36" ht="15" hidden="1" customHeight="1" x14ac:dyDescent="0.2">
      <c r="B107" s="47"/>
      <c r="C107" s="47"/>
      <c r="D107" s="47"/>
      <c r="E107" s="47"/>
      <c r="F107" s="8"/>
      <c r="G107" s="14"/>
      <c r="H107" s="14"/>
      <c r="I107" s="13"/>
      <c r="J107" s="13"/>
      <c r="K107" s="31"/>
      <c r="L107" s="31"/>
      <c r="M107" s="31"/>
      <c r="N107" s="31"/>
      <c r="O107" s="31"/>
      <c r="P107" s="31"/>
      <c r="Q107" s="31"/>
      <c r="R107" s="31"/>
      <c r="S107" s="31"/>
      <c r="T107" s="31"/>
      <c r="U107" s="31"/>
      <c r="V107" s="31"/>
      <c r="W107" s="31"/>
      <c r="X107" s="31"/>
      <c r="Y107" s="31"/>
      <c r="Z107" s="31"/>
      <c r="AA107" s="31"/>
      <c r="AB107" s="75"/>
      <c r="AC107" s="31"/>
      <c r="AD107" s="31"/>
      <c r="AE107" s="31"/>
      <c r="AF107" s="31"/>
      <c r="AG107" s="31"/>
      <c r="AH107" s="31"/>
      <c r="AI107" s="31"/>
      <c r="AJ107" s="31"/>
    </row>
    <row r="108" spans="2:36" ht="15" hidden="1" customHeight="1" x14ac:dyDescent="0.2">
      <c r="B108" s="47"/>
      <c r="C108" s="47"/>
      <c r="D108" s="47"/>
      <c r="E108" s="47"/>
      <c r="F108" s="8"/>
      <c r="G108" s="14" t="s">
        <v>14</v>
      </c>
      <c r="H108" s="14"/>
      <c r="I108" s="13"/>
      <c r="J108" s="13"/>
      <c r="K108" s="31">
        <f>SUM(K103:K106)</f>
        <v>0</v>
      </c>
      <c r="L108" s="31">
        <f t="shared" ref="L108:AH108" si="11">SUM(L103:L106)</f>
        <v>0</v>
      </c>
      <c r="M108" s="31">
        <f t="shared" si="11"/>
        <v>0</v>
      </c>
      <c r="N108" s="31">
        <f t="shared" si="11"/>
        <v>0</v>
      </c>
      <c r="O108" s="31">
        <f t="shared" si="11"/>
        <v>0</v>
      </c>
      <c r="P108" s="31">
        <f t="shared" si="11"/>
        <v>0</v>
      </c>
      <c r="Q108" s="31">
        <f t="shared" si="11"/>
        <v>0</v>
      </c>
      <c r="R108" s="31">
        <f t="shared" si="11"/>
        <v>0</v>
      </c>
      <c r="S108" s="31">
        <f t="shared" si="11"/>
        <v>0</v>
      </c>
      <c r="T108" s="31">
        <f t="shared" si="11"/>
        <v>0</v>
      </c>
      <c r="U108" s="31">
        <f t="shared" si="11"/>
        <v>0</v>
      </c>
      <c r="V108" s="31">
        <f t="shared" si="11"/>
        <v>0</v>
      </c>
      <c r="W108" s="31">
        <f t="shared" si="11"/>
        <v>0</v>
      </c>
      <c r="X108" s="31">
        <f t="shared" si="11"/>
        <v>0</v>
      </c>
      <c r="Y108" s="31">
        <f t="shared" si="11"/>
        <v>0</v>
      </c>
      <c r="Z108" s="31">
        <f t="shared" si="11"/>
        <v>0</v>
      </c>
      <c r="AA108" s="31">
        <f t="shared" si="11"/>
        <v>0</v>
      </c>
      <c r="AB108" s="75">
        <f t="shared" si="11"/>
        <v>0</v>
      </c>
      <c r="AC108" s="31">
        <f t="shared" si="11"/>
        <v>0</v>
      </c>
      <c r="AD108" s="31">
        <f t="shared" si="11"/>
        <v>0</v>
      </c>
      <c r="AE108" s="31">
        <f t="shared" si="11"/>
        <v>0</v>
      </c>
      <c r="AF108" s="31">
        <f t="shared" si="11"/>
        <v>0</v>
      </c>
      <c r="AG108" s="31">
        <f t="shared" si="11"/>
        <v>0</v>
      </c>
      <c r="AH108" s="31">
        <f t="shared" si="11"/>
        <v>0</v>
      </c>
      <c r="AI108" s="31">
        <f>SUM(AI103:AI106)</f>
        <v>0</v>
      </c>
      <c r="AJ108" s="31">
        <f>SUM(AJ103:AJ106)</f>
        <v>0</v>
      </c>
    </row>
    <row r="109" spans="2:36" ht="15" hidden="1" customHeight="1" x14ac:dyDescent="0.2">
      <c r="B109" s="47"/>
      <c r="C109" s="47"/>
      <c r="D109" s="47"/>
      <c r="E109" s="47"/>
      <c r="F109" s="8"/>
      <c r="G109" s="14" t="s">
        <v>256</v>
      </c>
      <c r="H109" s="14"/>
      <c r="I109" s="13"/>
      <c r="J109" s="13"/>
      <c r="K109" s="31">
        <f>K108</f>
        <v>0</v>
      </c>
      <c r="L109" s="31">
        <f t="shared" ref="L109:AJ109" si="12">K109+L108</f>
        <v>0</v>
      </c>
      <c r="M109" s="31">
        <f t="shared" si="12"/>
        <v>0</v>
      </c>
      <c r="N109" s="31">
        <f t="shared" si="12"/>
        <v>0</v>
      </c>
      <c r="O109" s="31">
        <f t="shared" si="12"/>
        <v>0</v>
      </c>
      <c r="P109" s="31">
        <f t="shared" si="12"/>
        <v>0</v>
      </c>
      <c r="Q109" s="31">
        <f t="shared" si="12"/>
        <v>0</v>
      </c>
      <c r="R109" s="31">
        <f t="shared" si="12"/>
        <v>0</v>
      </c>
      <c r="S109" s="31">
        <f t="shared" si="12"/>
        <v>0</v>
      </c>
      <c r="T109" s="31">
        <f t="shared" si="12"/>
        <v>0</v>
      </c>
      <c r="U109" s="31">
        <f t="shared" si="12"/>
        <v>0</v>
      </c>
      <c r="V109" s="31">
        <f t="shared" si="12"/>
        <v>0</v>
      </c>
      <c r="W109" s="31">
        <f t="shared" si="12"/>
        <v>0</v>
      </c>
      <c r="X109" s="31">
        <f t="shared" si="12"/>
        <v>0</v>
      </c>
      <c r="Y109" s="31">
        <f t="shared" si="12"/>
        <v>0</v>
      </c>
      <c r="Z109" s="31">
        <f t="shared" si="12"/>
        <v>0</v>
      </c>
      <c r="AA109" s="31">
        <f t="shared" si="12"/>
        <v>0</v>
      </c>
      <c r="AB109" s="75">
        <f t="shared" si="12"/>
        <v>0</v>
      </c>
      <c r="AC109" s="31">
        <f t="shared" si="12"/>
        <v>0</v>
      </c>
      <c r="AD109" s="31">
        <f t="shared" si="12"/>
        <v>0</v>
      </c>
      <c r="AE109" s="31">
        <f t="shared" si="12"/>
        <v>0</v>
      </c>
      <c r="AF109" s="31">
        <f t="shared" si="12"/>
        <v>0</v>
      </c>
      <c r="AG109" s="31">
        <f t="shared" si="12"/>
        <v>0</v>
      </c>
      <c r="AH109" s="31">
        <f t="shared" si="12"/>
        <v>0</v>
      </c>
      <c r="AI109" s="31">
        <f t="shared" si="12"/>
        <v>0</v>
      </c>
      <c r="AJ109" s="31">
        <f t="shared" si="12"/>
        <v>0</v>
      </c>
    </row>
    <row r="110" spans="2:36" ht="15" hidden="1" customHeight="1" x14ac:dyDescent="0.2">
      <c r="B110" s="47"/>
      <c r="C110" s="47"/>
      <c r="D110" s="47"/>
      <c r="E110" s="47"/>
      <c r="F110" s="8"/>
      <c r="G110" s="13"/>
      <c r="H110" s="13"/>
      <c r="I110" s="13"/>
      <c r="J110" s="13"/>
      <c r="K110" s="32"/>
      <c r="L110" s="32"/>
      <c r="M110" s="32"/>
      <c r="N110" s="32"/>
      <c r="O110" s="32"/>
      <c r="P110" s="32"/>
      <c r="Q110" s="32"/>
      <c r="R110" s="32"/>
      <c r="S110" s="32"/>
      <c r="T110" s="32"/>
      <c r="U110" s="32"/>
      <c r="V110" s="32"/>
      <c r="W110" s="32"/>
      <c r="X110" s="32"/>
      <c r="Y110" s="32"/>
      <c r="Z110" s="32"/>
      <c r="AA110" s="32"/>
      <c r="AB110" s="77"/>
      <c r="AC110" s="32"/>
      <c r="AD110" s="32"/>
      <c r="AE110" s="32"/>
      <c r="AF110" s="32"/>
      <c r="AG110" s="32"/>
      <c r="AH110" s="32"/>
      <c r="AI110" s="32"/>
      <c r="AJ110" s="32"/>
    </row>
    <row r="111" spans="2:36" ht="15" hidden="1" customHeight="1" x14ac:dyDescent="0.2">
      <c r="B111" s="47"/>
      <c r="C111" s="47"/>
      <c r="D111" s="47"/>
      <c r="E111" s="47"/>
      <c r="F111" s="8"/>
      <c r="G111" s="14" t="s">
        <v>258</v>
      </c>
      <c r="H111" s="13"/>
      <c r="I111" s="13"/>
      <c r="J111" s="13"/>
      <c r="K111" s="31">
        <f>K108/(((Data!$P$186/100)+1)^K$70)</f>
        <v>0</v>
      </c>
      <c r="L111" s="31">
        <f>L108/(((Data!$P$186/100)+1)^L$70)</f>
        <v>0</v>
      </c>
      <c r="M111" s="31">
        <f>M108/(((Data!$P$186/100)+1)^M$70)</f>
        <v>0</v>
      </c>
      <c r="N111" s="31">
        <f>N108/(((Data!$P$186/100)+1)^N$70)</f>
        <v>0</v>
      </c>
      <c r="O111" s="31">
        <f>O108/(((Data!$P$186/100)+1)^O$70)</f>
        <v>0</v>
      </c>
      <c r="P111" s="31">
        <f>P108/(((Data!$P$186/100)+1)^P$70)</f>
        <v>0</v>
      </c>
      <c r="Q111" s="31">
        <f>Q108/(((Data!$P$186/100)+1)^Q$70)</f>
        <v>0</v>
      </c>
      <c r="R111" s="31">
        <f>R108/(((Data!$P$186/100)+1)^R$70)</f>
        <v>0</v>
      </c>
      <c r="S111" s="31">
        <f>S108/(((Data!$P$186/100)+1)^S$70)</f>
        <v>0</v>
      </c>
      <c r="T111" s="31">
        <f>T108/(((Data!$P$186/100)+1)^T$70)</f>
        <v>0</v>
      </c>
      <c r="U111" s="31">
        <f>U108/(((Data!$P$186/100)+1)^U$70)</f>
        <v>0</v>
      </c>
      <c r="V111" s="31">
        <f>V108/(((Data!$P$186/100)+1)^V$70)</f>
        <v>0</v>
      </c>
      <c r="W111" s="31">
        <f>W108/(((Data!$P$186/100)+1)^W$70)</f>
        <v>0</v>
      </c>
      <c r="X111" s="31">
        <f>X108/(((Data!$P$186/100)+1)^X$70)</f>
        <v>0</v>
      </c>
      <c r="Y111" s="31">
        <f>Y108/(((Data!$P$186/100)+1)^Y$70)</f>
        <v>0</v>
      </c>
      <c r="Z111" s="31">
        <f>Z108/(((Data!$P$186/100)+1)^Z$70)</f>
        <v>0</v>
      </c>
      <c r="AA111" s="31">
        <f>AA108/(((Data!$P$186/100)+1)^AA$70)</f>
        <v>0</v>
      </c>
      <c r="AB111" s="75">
        <f>AB108/(((Data!$P$186/100)+1)^AB$70)</f>
        <v>0</v>
      </c>
      <c r="AC111" s="31">
        <f>AC108/(((Data!$P$186/100)+1)^AC$70)</f>
        <v>0</v>
      </c>
      <c r="AD111" s="31">
        <f>AD108/(((Data!$P$186/100)+1)^AD$70)</f>
        <v>0</v>
      </c>
      <c r="AE111" s="31">
        <f>AE108/(((Data!$P$186/100)+1)^AE$70)</f>
        <v>0</v>
      </c>
      <c r="AF111" s="31">
        <f>AF108/(((Data!$P$186/100)+1)^AF$70)</f>
        <v>0</v>
      </c>
      <c r="AG111" s="31">
        <f>AG108/(((Data!$P$186/100)+1)^AG$70)</f>
        <v>0</v>
      </c>
      <c r="AH111" s="31">
        <f>AH108/(((Data!$P$186/100)+1)^AH$70)</f>
        <v>0</v>
      </c>
      <c r="AI111" s="31">
        <f>AI108/(((Data!$P$186/100)+1)^AI$70)</f>
        <v>0</v>
      </c>
      <c r="AJ111" s="31">
        <f>AJ108/(((Data!$P$186/100)+1)^AJ$70)</f>
        <v>0</v>
      </c>
    </row>
    <row r="112" spans="2:36" ht="15" hidden="1" customHeight="1" x14ac:dyDescent="0.2">
      <c r="B112" s="47"/>
      <c r="C112" s="47"/>
      <c r="D112" s="47"/>
      <c r="E112" s="47"/>
      <c r="F112" s="8"/>
      <c r="G112" s="30" t="s">
        <v>257</v>
      </c>
      <c r="H112" s="33"/>
      <c r="I112" s="13"/>
      <c r="J112" s="13"/>
      <c r="K112" s="34">
        <f>K111</f>
        <v>0</v>
      </c>
      <c r="L112" s="34">
        <f t="shared" ref="L112:AJ112" si="13">K112+L111</f>
        <v>0</v>
      </c>
      <c r="M112" s="34">
        <f t="shared" si="13"/>
        <v>0</v>
      </c>
      <c r="N112" s="34">
        <f t="shared" si="13"/>
        <v>0</v>
      </c>
      <c r="O112" s="34">
        <f t="shared" si="13"/>
        <v>0</v>
      </c>
      <c r="P112" s="34">
        <f t="shared" si="13"/>
        <v>0</v>
      </c>
      <c r="Q112" s="34">
        <f t="shared" si="13"/>
        <v>0</v>
      </c>
      <c r="R112" s="34">
        <f t="shared" si="13"/>
        <v>0</v>
      </c>
      <c r="S112" s="34">
        <f t="shared" si="13"/>
        <v>0</v>
      </c>
      <c r="T112" s="34">
        <f t="shared" si="13"/>
        <v>0</v>
      </c>
      <c r="U112" s="34">
        <f t="shared" si="13"/>
        <v>0</v>
      </c>
      <c r="V112" s="34">
        <f t="shared" si="13"/>
        <v>0</v>
      </c>
      <c r="W112" s="34">
        <f t="shared" si="13"/>
        <v>0</v>
      </c>
      <c r="X112" s="34">
        <f t="shared" si="13"/>
        <v>0</v>
      </c>
      <c r="Y112" s="34">
        <f t="shared" si="13"/>
        <v>0</v>
      </c>
      <c r="Z112" s="34">
        <f t="shared" si="13"/>
        <v>0</v>
      </c>
      <c r="AA112" s="34">
        <f t="shared" si="13"/>
        <v>0</v>
      </c>
      <c r="AB112" s="78">
        <f t="shared" si="13"/>
        <v>0</v>
      </c>
      <c r="AC112" s="34">
        <f t="shared" si="13"/>
        <v>0</v>
      </c>
      <c r="AD112" s="34">
        <f t="shared" si="13"/>
        <v>0</v>
      </c>
      <c r="AE112" s="34">
        <f t="shared" si="13"/>
        <v>0</v>
      </c>
      <c r="AF112" s="34">
        <f t="shared" si="13"/>
        <v>0</v>
      </c>
      <c r="AG112" s="34">
        <f t="shared" si="13"/>
        <v>0</v>
      </c>
      <c r="AH112" s="34">
        <f t="shared" si="13"/>
        <v>0</v>
      </c>
      <c r="AI112" s="34">
        <f t="shared" si="13"/>
        <v>0</v>
      </c>
      <c r="AJ112" s="34">
        <f t="shared" si="13"/>
        <v>0</v>
      </c>
    </row>
    <row r="113" spans="2:37" ht="15" hidden="1" customHeight="1" x14ac:dyDescent="0.2">
      <c r="B113" s="47"/>
      <c r="C113" s="47"/>
      <c r="D113" s="47"/>
      <c r="E113" s="47"/>
      <c r="F113" s="8"/>
      <c r="G113" s="8"/>
      <c r="H113" s="8"/>
      <c r="I113" s="8"/>
      <c r="J113" s="8"/>
      <c r="K113" s="12"/>
      <c r="L113" s="12"/>
      <c r="M113" s="12"/>
      <c r="N113" s="12"/>
      <c r="O113" s="12"/>
      <c r="P113" s="12"/>
      <c r="Q113" s="12"/>
      <c r="R113" s="12"/>
      <c r="S113" s="12"/>
      <c r="T113" s="12"/>
      <c r="U113" s="12"/>
      <c r="V113" s="12"/>
      <c r="W113" s="12"/>
      <c r="X113" s="12"/>
      <c r="Y113" s="12"/>
      <c r="Z113" s="12"/>
      <c r="AA113" s="12"/>
      <c r="AB113" s="79"/>
      <c r="AC113" s="12"/>
      <c r="AD113" s="12"/>
      <c r="AE113" s="12"/>
      <c r="AF113" s="12"/>
      <c r="AG113" s="12"/>
      <c r="AH113" s="12"/>
      <c r="AI113" s="12"/>
      <c r="AJ113" s="12"/>
    </row>
    <row r="114" spans="2:37" ht="15" hidden="1" customHeight="1" x14ac:dyDescent="0.2">
      <c r="B114" s="47"/>
      <c r="C114" s="47"/>
      <c r="D114" s="47"/>
      <c r="E114" s="47"/>
      <c r="F114" s="8"/>
      <c r="G114" s="532" t="s">
        <v>525</v>
      </c>
      <c r="H114" s="17"/>
      <c r="I114" s="13"/>
      <c r="J114" s="13"/>
      <c r="K114" s="35"/>
      <c r="L114" s="35"/>
      <c r="M114" s="35"/>
      <c r="N114" s="35"/>
      <c r="O114" s="35"/>
      <c r="P114" s="35"/>
      <c r="Q114" s="35"/>
      <c r="R114" s="35"/>
      <c r="S114" s="35"/>
      <c r="T114" s="35"/>
      <c r="U114" s="35"/>
      <c r="V114" s="35"/>
      <c r="W114" s="35"/>
      <c r="X114" s="35"/>
      <c r="Y114" s="35"/>
      <c r="Z114" s="35"/>
      <c r="AA114" s="35"/>
      <c r="AB114" s="80"/>
      <c r="AC114" s="35"/>
      <c r="AD114" s="35"/>
      <c r="AE114" s="35"/>
      <c r="AF114" s="35"/>
      <c r="AG114" s="35"/>
      <c r="AH114" s="35"/>
      <c r="AI114" s="35"/>
      <c r="AJ114" s="35"/>
    </row>
    <row r="115" spans="2:37" ht="15" hidden="1" customHeight="1" x14ac:dyDescent="0.2">
      <c r="B115" s="47"/>
      <c r="C115" s="47"/>
      <c r="D115" s="47"/>
      <c r="E115" s="47"/>
      <c r="F115" s="8"/>
      <c r="G115" s="14"/>
      <c r="H115" s="14"/>
      <c r="I115" s="13"/>
      <c r="J115" s="13"/>
      <c r="K115" s="31"/>
      <c r="L115" s="31"/>
      <c r="M115" s="31"/>
      <c r="N115" s="31"/>
      <c r="O115" s="31"/>
      <c r="P115" s="31"/>
      <c r="Q115" s="31"/>
      <c r="R115" s="31"/>
      <c r="S115" s="31"/>
      <c r="T115" s="31"/>
      <c r="U115" s="31"/>
      <c r="V115" s="31"/>
      <c r="W115" s="31"/>
      <c r="X115" s="31"/>
      <c r="Y115" s="31"/>
      <c r="Z115" s="31"/>
      <c r="AA115" s="31"/>
      <c r="AB115" s="75"/>
      <c r="AC115" s="31"/>
      <c r="AD115" s="31"/>
      <c r="AE115" s="31"/>
      <c r="AF115" s="31"/>
      <c r="AG115" s="31"/>
      <c r="AH115" s="31"/>
      <c r="AI115" s="31"/>
      <c r="AJ115" s="31"/>
    </row>
    <row r="116" spans="2:37" ht="15" hidden="1" customHeight="1" x14ac:dyDescent="0.2">
      <c r="B116" s="47"/>
      <c r="C116" s="47"/>
      <c r="D116" s="47"/>
      <c r="E116" s="47"/>
      <c r="F116" s="8"/>
      <c r="G116" s="17" t="s">
        <v>478</v>
      </c>
      <c r="H116" s="60"/>
      <c r="I116" s="60"/>
      <c r="J116" s="60"/>
      <c r="K116" s="104">
        <f t="shared" ref="K116:AI116" si="14">IF(K$70&lt;$Q$19,VLOOKUP($I$15,$G$75:$AJ$79,K$70+5,FALSE),VLOOKUP($O$15,$G$75:$AJ$79,K$70+5,FALSE))</f>
        <v>0.19338</v>
      </c>
      <c r="L116" s="104">
        <f t="shared" si="14"/>
        <v>0.18757859999999998</v>
      </c>
      <c r="M116" s="104">
        <f t="shared" si="14"/>
        <v>0.18195124199999999</v>
      </c>
      <c r="N116" s="104">
        <f t="shared" si="14"/>
        <v>0.17649270473999998</v>
      </c>
      <c r="O116" s="104">
        <f t="shared" si="14"/>
        <v>0.17119792359779998</v>
      </c>
      <c r="P116" s="104">
        <f t="shared" si="14"/>
        <v>0.16606198588986598</v>
      </c>
      <c r="Q116" s="104">
        <f t="shared" si="14"/>
        <v>0.16108012631317001</v>
      </c>
      <c r="R116" s="104">
        <f t="shared" si="14"/>
        <v>0.15624772252377489</v>
      </c>
      <c r="S116" s="104">
        <f t="shared" si="14"/>
        <v>0.15156029084806164</v>
      </c>
      <c r="T116" s="104">
        <f t="shared" si="14"/>
        <v>0.14701348212261978</v>
      </c>
      <c r="U116" s="104">
        <f t="shared" si="14"/>
        <v>0.14260307765894117</v>
      </c>
      <c r="V116" s="104">
        <f t="shared" si="14"/>
        <v>0.13832498532917292</v>
      </c>
      <c r="W116" s="104">
        <f t="shared" si="14"/>
        <v>0.13417523576929774</v>
      </c>
      <c r="X116" s="104">
        <f t="shared" si="14"/>
        <v>0.1301499786962188</v>
      </c>
      <c r="Y116" s="104">
        <f t="shared" si="14"/>
        <v>0.12624547933533223</v>
      </c>
      <c r="Z116" s="104">
        <f t="shared" si="14"/>
        <v>0.12245811495527226</v>
      </c>
      <c r="AA116" s="104">
        <f t="shared" si="14"/>
        <v>0.11878437150661408</v>
      </c>
      <c r="AB116" s="104">
        <f t="shared" si="14"/>
        <v>0.11522084036141565</v>
      </c>
      <c r="AC116" s="104">
        <f t="shared" si="14"/>
        <v>0.11176421515057318</v>
      </c>
      <c r="AD116" s="104">
        <f t="shared" si="14"/>
        <v>0.10841128869605599</v>
      </c>
      <c r="AE116" s="104">
        <f t="shared" si="14"/>
        <v>0.10515895003517431</v>
      </c>
      <c r="AF116" s="104">
        <f t="shared" si="14"/>
        <v>0.10200418153411908</v>
      </c>
      <c r="AG116" s="104">
        <f t="shared" si="14"/>
        <v>9.8944056088095506E-2</v>
      </c>
      <c r="AH116" s="104">
        <f t="shared" si="14"/>
        <v>9.5975734405452637E-2</v>
      </c>
      <c r="AI116" s="104">
        <f t="shared" si="14"/>
        <v>9.3096462373289057E-2</v>
      </c>
      <c r="AJ116" s="104">
        <f>IF(AJ$70&lt;$Q$19,VLOOKUP($I$15,$G$75:$AJ$79,AJ$70+5,FALSE),VLOOKUP($O$15,$G$75:$AJ$79,AJ$70+5,FALSE))</f>
        <v>9.0303568502090384E-2</v>
      </c>
    </row>
    <row r="117" spans="2:37" ht="15" hidden="1" customHeight="1" x14ac:dyDescent="0.2">
      <c r="B117" s="47"/>
      <c r="C117" s="47"/>
      <c r="D117" s="47"/>
      <c r="E117" s="47"/>
      <c r="F117" s="8"/>
      <c r="G117" s="17" t="s">
        <v>479</v>
      </c>
      <c r="H117" s="60"/>
      <c r="I117" s="60"/>
      <c r="J117" s="60"/>
      <c r="K117" s="104">
        <f t="shared" ref="K117:AI117" si="15">IF(K$70&lt;$Q$19,VLOOKUP($I$15,$G$81:$AJ$85,K$70+5,FALSE),VLOOKUP($O$15,$G$81:$AJ$85,K$70+5,FALSE))</f>
        <v>0.31</v>
      </c>
      <c r="L117" s="104">
        <f t="shared" si="15"/>
        <v>0.34100000000000003</v>
      </c>
      <c r="M117" s="104">
        <f t="shared" si="15"/>
        <v>0.37510000000000004</v>
      </c>
      <c r="N117" s="104">
        <f t="shared" si="15"/>
        <v>0.41261000000000009</v>
      </c>
      <c r="O117" s="104">
        <f t="shared" si="15"/>
        <v>0.45387100000000014</v>
      </c>
      <c r="P117" s="104">
        <f t="shared" si="15"/>
        <v>0.4992581000000002</v>
      </c>
      <c r="Q117" s="104">
        <f t="shared" si="15"/>
        <v>0.54918391000000022</v>
      </c>
      <c r="R117" s="104">
        <f t="shared" si="15"/>
        <v>0.60410230100000029</v>
      </c>
      <c r="S117" s="104">
        <f t="shared" si="15"/>
        <v>0.66451253110000041</v>
      </c>
      <c r="T117" s="104">
        <f t="shared" si="15"/>
        <v>0.73096378421000052</v>
      </c>
      <c r="U117" s="104">
        <f t="shared" si="15"/>
        <v>0.80406016263100066</v>
      </c>
      <c r="V117" s="104">
        <f t="shared" si="15"/>
        <v>0.88446617889410084</v>
      </c>
      <c r="W117" s="104">
        <f t="shared" si="15"/>
        <v>0.97291279678351106</v>
      </c>
      <c r="X117" s="104">
        <f t="shared" si="15"/>
        <v>1.0702040764618623</v>
      </c>
      <c r="Y117" s="104">
        <f t="shared" si="15"/>
        <v>1.1772244841080486</v>
      </c>
      <c r="Z117" s="104">
        <f t="shared" si="15"/>
        <v>1.2949469325188536</v>
      </c>
      <c r="AA117" s="104">
        <f t="shared" si="15"/>
        <v>1.4244416257707391</v>
      </c>
      <c r="AB117" s="104">
        <f t="shared" si="15"/>
        <v>1.5668857883478131</v>
      </c>
      <c r="AC117" s="104">
        <f t="shared" si="15"/>
        <v>1.7235743671825945</v>
      </c>
      <c r="AD117" s="104">
        <f t="shared" si="15"/>
        <v>1.8959318039008541</v>
      </c>
      <c r="AE117" s="104">
        <f t="shared" si="15"/>
        <v>2.0855249842909398</v>
      </c>
      <c r="AF117" s="104">
        <f t="shared" si="15"/>
        <v>2.2940774827200339</v>
      </c>
      <c r="AG117" s="104">
        <f t="shared" si="15"/>
        <v>2.5234852309920375</v>
      </c>
      <c r="AH117" s="104">
        <f t="shared" si="15"/>
        <v>2.7758337540912414</v>
      </c>
      <c r="AI117" s="104">
        <f t="shared" si="15"/>
        <v>3.053417129500366</v>
      </c>
      <c r="AJ117" s="104">
        <f>IF(AJ$70&lt;$Q$19,VLOOKUP($I$15,$G$81:$AJ$85,AJ$70+5,FALSE),VLOOKUP($O$15,$G$81:$AJ$85,AJ$70+5,FALSE))</f>
        <v>3.3587588424504031</v>
      </c>
    </row>
    <row r="118" spans="2:37" ht="15" hidden="1" customHeight="1" x14ac:dyDescent="0.2">
      <c r="B118" s="47"/>
      <c r="C118" s="47"/>
      <c r="D118" s="47"/>
      <c r="E118" s="47"/>
      <c r="F118" s="8"/>
      <c r="G118" s="17"/>
      <c r="H118" s="17"/>
      <c r="I118" s="13"/>
      <c r="J118" s="13"/>
      <c r="K118" s="35"/>
      <c r="L118" s="35"/>
      <c r="M118" s="35"/>
      <c r="N118" s="35"/>
      <c r="O118" s="35"/>
      <c r="P118" s="35"/>
      <c r="Q118" s="35"/>
      <c r="R118" s="35"/>
      <c r="S118" s="35"/>
      <c r="T118" s="35"/>
      <c r="U118" s="35"/>
      <c r="V118" s="35"/>
      <c r="W118" s="35"/>
      <c r="X118" s="35"/>
      <c r="Y118" s="35"/>
      <c r="Z118" s="35"/>
      <c r="AA118" s="35"/>
      <c r="AB118" s="80"/>
      <c r="AC118" s="35"/>
      <c r="AD118" s="35"/>
      <c r="AE118" s="35"/>
      <c r="AF118" s="35"/>
      <c r="AG118" s="35"/>
      <c r="AH118" s="35"/>
      <c r="AI118" s="35"/>
      <c r="AJ118" s="35"/>
    </row>
    <row r="119" spans="2:37" ht="15" hidden="1" customHeight="1" x14ac:dyDescent="0.2">
      <c r="B119" s="47"/>
      <c r="C119" s="47"/>
      <c r="D119" s="47"/>
      <c r="E119" s="47"/>
      <c r="F119" s="8"/>
      <c r="G119" s="17" t="s">
        <v>4</v>
      </c>
      <c r="H119" s="17"/>
      <c r="I119" s="13"/>
      <c r="J119" s="13"/>
      <c r="K119" s="43"/>
      <c r="L119" s="43"/>
      <c r="M119" s="43"/>
      <c r="N119" s="43"/>
      <c r="O119" s="43"/>
      <c r="P119" s="43"/>
      <c r="Q119" s="43"/>
      <c r="R119" s="43"/>
      <c r="S119" s="43"/>
      <c r="T119" s="43"/>
      <c r="U119" s="43"/>
      <c r="V119" s="43"/>
      <c r="W119" s="43"/>
      <c r="X119" s="43"/>
      <c r="Y119" s="43"/>
      <c r="Z119" s="43"/>
      <c r="AA119" s="43"/>
      <c r="AB119" s="81"/>
      <c r="AC119" s="43"/>
      <c r="AD119" s="43"/>
      <c r="AE119" s="43"/>
      <c r="AF119" s="43"/>
      <c r="AG119" s="43"/>
      <c r="AH119" s="43"/>
      <c r="AI119" s="43"/>
      <c r="AJ119" s="43"/>
    </row>
    <row r="120" spans="2:37" ht="15" hidden="1" customHeight="1" x14ac:dyDescent="0.2">
      <c r="B120" s="47"/>
      <c r="C120" s="47"/>
      <c r="D120" s="47"/>
      <c r="E120" s="47"/>
      <c r="F120" s="8"/>
      <c r="G120" s="17" t="s">
        <v>5</v>
      </c>
      <c r="H120" s="17"/>
      <c r="I120" s="13"/>
      <c r="J120" s="13"/>
      <c r="K120" s="43"/>
      <c r="L120" s="43"/>
      <c r="M120" s="43"/>
      <c r="N120" s="43"/>
      <c r="O120" s="43"/>
      <c r="P120" s="43"/>
      <c r="Q120" s="43"/>
      <c r="R120" s="43"/>
      <c r="S120" s="43"/>
      <c r="T120" s="43"/>
      <c r="U120" s="43"/>
      <c r="V120" s="43"/>
      <c r="W120" s="43"/>
      <c r="X120" s="43"/>
      <c r="Y120" s="43"/>
      <c r="Z120" s="43"/>
      <c r="AA120" s="43"/>
      <c r="AB120" s="81"/>
      <c r="AC120" s="43"/>
      <c r="AD120" s="43"/>
      <c r="AE120" s="43"/>
      <c r="AF120" s="43"/>
      <c r="AG120" s="43"/>
      <c r="AH120" s="43"/>
      <c r="AI120" s="43"/>
      <c r="AJ120" s="43"/>
    </row>
    <row r="121" spans="2:37" ht="15" hidden="1" customHeight="1" x14ac:dyDescent="0.2">
      <c r="B121" s="47"/>
      <c r="C121" s="47"/>
      <c r="D121" s="47"/>
      <c r="E121" s="47"/>
      <c r="F121" s="8"/>
      <c r="G121" s="17" t="s">
        <v>6</v>
      </c>
      <c r="H121" s="17"/>
      <c r="I121" s="13"/>
      <c r="J121" s="13"/>
      <c r="K121" s="35">
        <f>IF(K$70&lt;$Q$19,$J$11,$Q$11)</f>
        <v>0</v>
      </c>
      <c r="L121" s="35">
        <f t="shared" ref="L121:AJ121" si="16">IF(L$70&lt;$Q$19,$J$11,$Q$11)</f>
        <v>0</v>
      </c>
      <c r="M121" s="35">
        <f t="shared" si="16"/>
        <v>0</v>
      </c>
      <c r="N121" s="35">
        <f t="shared" si="16"/>
        <v>0</v>
      </c>
      <c r="O121" s="35">
        <f t="shared" si="16"/>
        <v>0</v>
      </c>
      <c r="P121" s="35">
        <f t="shared" si="16"/>
        <v>0</v>
      </c>
      <c r="Q121" s="35">
        <f t="shared" si="16"/>
        <v>0</v>
      </c>
      <c r="R121" s="35">
        <f t="shared" si="16"/>
        <v>0</v>
      </c>
      <c r="S121" s="35">
        <f t="shared" si="16"/>
        <v>0</v>
      </c>
      <c r="T121" s="35">
        <f t="shared" si="16"/>
        <v>0</v>
      </c>
      <c r="U121" s="35">
        <f t="shared" si="16"/>
        <v>0</v>
      </c>
      <c r="V121" s="35">
        <f t="shared" si="16"/>
        <v>0</v>
      </c>
      <c r="W121" s="35">
        <f t="shared" si="16"/>
        <v>0</v>
      </c>
      <c r="X121" s="35">
        <f t="shared" si="16"/>
        <v>0</v>
      </c>
      <c r="Y121" s="35">
        <f t="shared" si="16"/>
        <v>0</v>
      </c>
      <c r="Z121" s="35">
        <f t="shared" si="16"/>
        <v>0</v>
      </c>
      <c r="AA121" s="35">
        <f t="shared" si="16"/>
        <v>0</v>
      </c>
      <c r="AB121" s="35">
        <f t="shared" si="16"/>
        <v>0</v>
      </c>
      <c r="AC121" s="35">
        <f t="shared" si="16"/>
        <v>0</v>
      </c>
      <c r="AD121" s="35">
        <f t="shared" si="16"/>
        <v>0</v>
      </c>
      <c r="AE121" s="35">
        <f t="shared" si="16"/>
        <v>0</v>
      </c>
      <c r="AF121" s="35">
        <f t="shared" si="16"/>
        <v>0</v>
      </c>
      <c r="AG121" s="35">
        <f t="shared" si="16"/>
        <v>0</v>
      </c>
      <c r="AH121" s="35">
        <f t="shared" si="16"/>
        <v>0</v>
      </c>
      <c r="AI121" s="35">
        <f t="shared" si="16"/>
        <v>0</v>
      </c>
      <c r="AJ121" s="35">
        <f t="shared" si="16"/>
        <v>0</v>
      </c>
      <c r="AK121" s="112"/>
    </row>
    <row r="122" spans="2:37" ht="15" hidden="1" customHeight="1" x14ac:dyDescent="0.2">
      <c r="B122" s="47"/>
      <c r="C122" s="47"/>
      <c r="D122" s="47"/>
      <c r="E122" s="47"/>
      <c r="F122" s="8"/>
      <c r="G122" s="17"/>
      <c r="H122" s="17"/>
      <c r="I122" s="13"/>
      <c r="J122" s="13"/>
      <c r="K122" s="35"/>
      <c r="L122" s="35"/>
      <c r="M122" s="35"/>
      <c r="N122" s="35"/>
      <c r="O122" s="35"/>
      <c r="P122" s="35"/>
      <c r="Q122" s="35"/>
      <c r="R122" s="35"/>
      <c r="S122" s="35"/>
      <c r="T122" s="35"/>
      <c r="U122" s="35"/>
      <c r="V122" s="35"/>
      <c r="W122" s="35"/>
      <c r="X122" s="35"/>
      <c r="Y122" s="35"/>
      <c r="Z122" s="35"/>
      <c r="AA122" s="35"/>
      <c r="AB122" s="80"/>
      <c r="AC122" s="35"/>
      <c r="AD122" s="35"/>
      <c r="AE122" s="35"/>
      <c r="AF122" s="35"/>
      <c r="AG122" s="35"/>
      <c r="AH122" s="35"/>
      <c r="AI122" s="35"/>
      <c r="AJ122" s="35"/>
    </row>
    <row r="123" spans="2:37" ht="15" hidden="1" customHeight="1" x14ac:dyDescent="0.2">
      <c r="B123" s="47"/>
      <c r="C123" s="47"/>
      <c r="D123" s="47"/>
      <c r="E123" s="47"/>
      <c r="F123" s="8"/>
      <c r="G123" s="17" t="s">
        <v>7</v>
      </c>
      <c r="H123" s="17"/>
      <c r="I123" s="13"/>
      <c r="J123" s="13"/>
      <c r="K123" s="43"/>
      <c r="L123" s="43"/>
      <c r="M123" s="43"/>
      <c r="N123" s="43"/>
      <c r="O123" s="43"/>
      <c r="P123" s="43"/>
      <c r="Q123" s="43"/>
      <c r="R123" s="43"/>
      <c r="S123" s="43"/>
      <c r="T123" s="43"/>
      <c r="U123" s="43"/>
      <c r="V123" s="43"/>
      <c r="W123" s="43"/>
      <c r="X123" s="43"/>
      <c r="Y123" s="43"/>
      <c r="Z123" s="43"/>
      <c r="AA123" s="43"/>
      <c r="AB123" s="81"/>
      <c r="AC123" s="43"/>
      <c r="AD123" s="43"/>
      <c r="AE123" s="43"/>
      <c r="AF123" s="43"/>
      <c r="AG123" s="43"/>
      <c r="AH123" s="43"/>
      <c r="AI123" s="43"/>
      <c r="AJ123" s="43"/>
    </row>
    <row r="124" spans="2:37" ht="15" hidden="1" customHeight="1" x14ac:dyDescent="0.2">
      <c r="B124" s="47"/>
      <c r="C124" s="47"/>
      <c r="D124" s="47"/>
      <c r="E124" s="47"/>
      <c r="F124" s="8"/>
      <c r="G124" s="17" t="s">
        <v>8</v>
      </c>
      <c r="H124" s="17"/>
      <c r="I124" s="13"/>
      <c r="J124" s="13"/>
      <c r="K124" s="43"/>
      <c r="L124" s="43"/>
      <c r="M124" s="43"/>
      <c r="N124" s="43"/>
      <c r="O124" s="43"/>
      <c r="P124" s="43"/>
      <c r="Q124" s="43"/>
      <c r="R124" s="43"/>
      <c r="S124" s="43"/>
      <c r="T124" s="43"/>
      <c r="U124" s="43"/>
      <c r="V124" s="43"/>
      <c r="W124" s="43"/>
      <c r="X124" s="43"/>
      <c r="Y124" s="43"/>
      <c r="Z124" s="43"/>
      <c r="AA124" s="43"/>
      <c r="AB124" s="81"/>
      <c r="AC124" s="43"/>
      <c r="AD124" s="43"/>
      <c r="AE124" s="43"/>
      <c r="AF124" s="43"/>
      <c r="AG124" s="43"/>
      <c r="AH124" s="43"/>
      <c r="AI124" s="43"/>
      <c r="AJ124" s="43"/>
    </row>
    <row r="125" spans="2:37" ht="15" hidden="1" customHeight="1" x14ac:dyDescent="0.2">
      <c r="B125" s="47"/>
      <c r="C125" s="47"/>
      <c r="D125" s="47"/>
      <c r="E125" s="47"/>
      <c r="F125" s="8"/>
      <c r="G125" s="17" t="s">
        <v>9</v>
      </c>
      <c r="H125" s="17"/>
      <c r="I125" s="13"/>
      <c r="J125" s="13"/>
      <c r="K125" s="35">
        <f t="shared" ref="K125:AJ125" si="17">K$116*K121</f>
        <v>0</v>
      </c>
      <c r="L125" s="35">
        <f t="shared" si="17"/>
        <v>0</v>
      </c>
      <c r="M125" s="35">
        <f t="shared" si="17"/>
        <v>0</v>
      </c>
      <c r="N125" s="35">
        <f t="shared" si="17"/>
        <v>0</v>
      </c>
      <c r="O125" s="35">
        <f t="shared" si="17"/>
        <v>0</v>
      </c>
      <c r="P125" s="35">
        <f t="shared" si="17"/>
        <v>0</v>
      </c>
      <c r="Q125" s="35">
        <f t="shared" si="17"/>
        <v>0</v>
      </c>
      <c r="R125" s="35">
        <f t="shared" si="17"/>
        <v>0</v>
      </c>
      <c r="S125" s="35">
        <f t="shared" si="17"/>
        <v>0</v>
      </c>
      <c r="T125" s="35">
        <f t="shared" si="17"/>
        <v>0</v>
      </c>
      <c r="U125" s="35">
        <f t="shared" si="17"/>
        <v>0</v>
      </c>
      <c r="V125" s="35">
        <f t="shared" si="17"/>
        <v>0</v>
      </c>
      <c r="W125" s="35">
        <f t="shared" si="17"/>
        <v>0</v>
      </c>
      <c r="X125" s="35">
        <f t="shared" si="17"/>
        <v>0</v>
      </c>
      <c r="Y125" s="35">
        <f t="shared" si="17"/>
        <v>0</v>
      </c>
      <c r="Z125" s="35">
        <f t="shared" si="17"/>
        <v>0</v>
      </c>
      <c r="AA125" s="35">
        <f t="shared" si="17"/>
        <v>0</v>
      </c>
      <c r="AB125" s="80">
        <f t="shared" si="17"/>
        <v>0</v>
      </c>
      <c r="AC125" s="35">
        <f t="shared" si="17"/>
        <v>0</v>
      </c>
      <c r="AD125" s="35">
        <f t="shared" si="17"/>
        <v>0</v>
      </c>
      <c r="AE125" s="35">
        <f t="shared" si="17"/>
        <v>0</v>
      </c>
      <c r="AF125" s="35">
        <f t="shared" si="17"/>
        <v>0</v>
      </c>
      <c r="AG125" s="35">
        <f t="shared" si="17"/>
        <v>0</v>
      </c>
      <c r="AH125" s="35">
        <f t="shared" si="17"/>
        <v>0</v>
      </c>
      <c r="AI125" s="35">
        <f t="shared" si="17"/>
        <v>0</v>
      </c>
      <c r="AJ125" s="35">
        <f t="shared" si="17"/>
        <v>0</v>
      </c>
    </row>
    <row r="126" spans="2:37" ht="15" hidden="1" customHeight="1" x14ac:dyDescent="0.2">
      <c r="B126" s="47"/>
      <c r="C126" s="47"/>
      <c r="D126" s="47"/>
      <c r="E126" s="47"/>
      <c r="F126" s="8"/>
      <c r="G126" s="17"/>
      <c r="H126" s="17"/>
      <c r="I126" s="13"/>
      <c r="J126" s="13"/>
      <c r="K126" s="35"/>
      <c r="L126" s="35"/>
      <c r="M126" s="35"/>
      <c r="N126" s="35"/>
      <c r="O126" s="35"/>
      <c r="P126" s="35"/>
      <c r="Q126" s="35"/>
      <c r="R126" s="35"/>
      <c r="S126" s="35"/>
      <c r="T126" s="35"/>
      <c r="U126" s="35"/>
      <c r="V126" s="35"/>
      <c r="W126" s="35"/>
      <c r="X126" s="35"/>
      <c r="Y126" s="35"/>
      <c r="Z126" s="35"/>
      <c r="AA126" s="35"/>
      <c r="AB126" s="80"/>
      <c r="AC126" s="35"/>
      <c r="AD126" s="35"/>
      <c r="AE126" s="35"/>
      <c r="AF126" s="35"/>
      <c r="AG126" s="35"/>
      <c r="AH126" s="35"/>
      <c r="AI126" s="35"/>
      <c r="AJ126" s="35"/>
    </row>
    <row r="127" spans="2:37" ht="15" hidden="1" customHeight="1" x14ac:dyDescent="0.2">
      <c r="B127" s="47"/>
      <c r="C127" s="47"/>
      <c r="D127" s="47"/>
      <c r="E127" s="47"/>
      <c r="F127" s="8"/>
      <c r="G127" s="17" t="s">
        <v>10</v>
      </c>
      <c r="H127" s="17"/>
      <c r="I127" s="13"/>
      <c r="J127" s="13"/>
      <c r="K127" s="80">
        <f>IF($Q$24=0,IF(K70=$Q$19,$Q$18,0),IF(K$70=$Q$19,$Q$18*K$87,IF(OR(AND($Q$19=0,K$70=$Q$19),AND(K$70&gt;=$Q$19+$Q$24,INT((K$70-$Q$19)/($Q$24))=(K$70-$Q$19)/($Q$24))),$Q$23*K$87,0)))</f>
        <v>0</v>
      </c>
      <c r="L127" s="80">
        <f t="shared" ref="L127:AJ127" si="18">IF($Q$24=0,IF(L70=$Q$19,$Q$18,0),IF(L$70=$Q$19,$Q$18*L$87,IF(OR(AND($Q$19=0,L$70=$Q$19),AND(L$70&gt;=$Q$19+$Q$24,INT((L$70-$Q$19)/($Q$24))=(L$70-$Q$19)/($Q$24))),$Q$23*L$87,0)))</f>
        <v>0</v>
      </c>
      <c r="M127" s="80">
        <f t="shared" si="18"/>
        <v>0</v>
      </c>
      <c r="N127" s="80">
        <f t="shared" si="18"/>
        <v>0</v>
      </c>
      <c r="O127" s="80">
        <f t="shared" si="18"/>
        <v>0</v>
      </c>
      <c r="P127" s="80">
        <f t="shared" si="18"/>
        <v>0</v>
      </c>
      <c r="Q127" s="80">
        <f t="shared" si="18"/>
        <v>0</v>
      </c>
      <c r="R127" s="80">
        <f t="shared" si="18"/>
        <v>0</v>
      </c>
      <c r="S127" s="80">
        <f t="shared" si="18"/>
        <v>0</v>
      </c>
      <c r="T127" s="80">
        <f t="shared" si="18"/>
        <v>0</v>
      </c>
      <c r="U127" s="80">
        <f t="shared" si="18"/>
        <v>0</v>
      </c>
      <c r="V127" s="80">
        <f t="shared" si="18"/>
        <v>0</v>
      </c>
      <c r="W127" s="80">
        <f t="shared" si="18"/>
        <v>0</v>
      </c>
      <c r="X127" s="80">
        <f t="shared" si="18"/>
        <v>0</v>
      </c>
      <c r="Y127" s="80">
        <f t="shared" si="18"/>
        <v>0</v>
      </c>
      <c r="Z127" s="80">
        <f t="shared" si="18"/>
        <v>0</v>
      </c>
      <c r="AA127" s="80">
        <f t="shared" si="18"/>
        <v>0</v>
      </c>
      <c r="AB127" s="80">
        <f t="shared" si="18"/>
        <v>0</v>
      </c>
      <c r="AC127" s="80">
        <f t="shared" si="18"/>
        <v>0</v>
      </c>
      <c r="AD127" s="80">
        <f t="shared" si="18"/>
        <v>0</v>
      </c>
      <c r="AE127" s="80">
        <f t="shared" si="18"/>
        <v>0</v>
      </c>
      <c r="AF127" s="80">
        <f t="shared" si="18"/>
        <v>0</v>
      </c>
      <c r="AG127" s="80">
        <f t="shared" si="18"/>
        <v>0</v>
      </c>
      <c r="AH127" s="80">
        <f t="shared" si="18"/>
        <v>0</v>
      </c>
      <c r="AI127" s="80">
        <f t="shared" si="18"/>
        <v>0</v>
      </c>
      <c r="AJ127" s="80">
        <f t="shared" si="18"/>
        <v>0</v>
      </c>
    </row>
    <row r="128" spans="2:37" ht="15" hidden="1" customHeight="1" x14ac:dyDescent="0.2">
      <c r="B128" s="47"/>
      <c r="C128" s="47"/>
      <c r="D128" s="47"/>
      <c r="E128" s="47"/>
      <c r="F128" s="8"/>
      <c r="G128" s="17" t="s">
        <v>458</v>
      </c>
      <c r="H128" s="17"/>
      <c r="I128" s="13"/>
      <c r="J128" s="13"/>
      <c r="K128" s="35">
        <f>IF(K$70&lt;$Q$19,($K$21*K$87)-($K$22*K$87),($Q$21*K$87)-($Q$22*K$87))</f>
        <v>0</v>
      </c>
      <c r="L128" s="35">
        <f t="shared" ref="L128:AJ128" si="19">IF(L$70&lt;$Q$19,($K$21*L$87)-($K$22*L$87),($Q$21*L$87)-($Q$22*L$87))</f>
        <v>0</v>
      </c>
      <c r="M128" s="35">
        <f t="shared" si="19"/>
        <v>0</v>
      </c>
      <c r="N128" s="35">
        <f t="shared" si="19"/>
        <v>0</v>
      </c>
      <c r="O128" s="35">
        <f t="shared" si="19"/>
        <v>0</v>
      </c>
      <c r="P128" s="35">
        <f t="shared" si="19"/>
        <v>0</v>
      </c>
      <c r="Q128" s="35">
        <f t="shared" si="19"/>
        <v>0</v>
      </c>
      <c r="R128" s="35">
        <f t="shared" si="19"/>
        <v>0</v>
      </c>
      <c r="S128" s="35">
        <f t="shared" si="19"/>
        <v>0</v>
      </c>
      <c r="T128" s="35">
        <f t="shared" si="19"/>
        <v>0</v>
      </c>
      <c r="U128" s="35">
        <f t="shared" si="19"/>
        <v>0</v>
      </c>
      <c r="V128" s="35">
        <f t="shared" si="19"/>
        <v>0</v>
      </c>
      <c r="W128" s="35">
        <f t="shared" si="19"/>
        <v>0</v>
      </c>
      <c r="X128" s="35">
        <f t="shared" si="19"/>
        <v>0</v>
      </c>
      <c r="Y128" s="35">
        <f t="shared" si="19"/>
        <v>0</v>
      </c>
      <c r="Z128" s="35">
        <f t="shared" si="19"/>
        <v>0</v>
      </c>
      <c r="AA128" s="35">
        <f t="shared" si="19"/>
        <v>0</v>
      </c>
      <c r="AB128" s="35">
        <f t="shared" si="19"/>
        <v>0</v>
      </c>
      <c r="AC128" s="35">
        <f t="shared" si="19"/>
        <v>0</v>
      </c>
      <c r="AD128" s="35">
        <f t="shared" si="19"/>
        <v>0</v>
      </c>
      <c r="AE128" s="35">
        <f t="shared" si="19"/>
        <v>0</v>
      </c>
      <c r="AF128" s="35">
        <f t="shared" si="19"/>
        <v>0</v>
      </c>
      <c r="AG128" s="35">
        <f t="shared" si="19"/>
        <v>0</v>
      </c>
      <c r="AH128" s="35">
        <f t="shared" si="19"/>
        <v>0</v>
      </c>
      <c r="AI128" s="35">
        <f t="shared" si="19"/>
        <v>0</v>
      </c>
      <c r="AJ128" s="35">
        <f t="shared" si="19"/>
        <v>0</v>
      </c>
    </row>
    <row r="129" spans="2:36" ht="15" hidden="1" customHeight="1" x14ac:dyDescent="0.2">
      <c r="B129" s="47"/>
      <c r="C129" s="47"/>
      <c r="D129" s="47"/>
      <c r="E129" s="47"/>
      <c r="F129" s="8"/>
      <c r="G129" s="17" t="s">
        <v>12</v>
      </c>
      <c r="H129" s="17"/>
      <c r="I129" s="13"/>
      <c r="J129" s="13"/>
      <c r="K129" s="35">
        <f t="shared" ref="K129:AJ129" si="20">K$117*K121</f>
        <v>0</v>
      </c>
      <c r="L129" s="35">
        <f t="shared" si="20"/>
        <v>0</v>
      </c>
      <c r="M129" s="35">
        <f t="shared" si="20"/>
        <v>0</v>
      </c>
      <c r="N129" s="35">
        <f t="shared" si="20"/>
        <v>0</v>
      </c>
      <c r="O129" s="35">
        <f t="shared" si="20"/>
        <v>0</v>
      </c>
      <c r="P129" s="35">
        <f t="shared" si="20"/>
        <v>0</v>
      </c>
      <c r="Q129" s="35">
        <f t="shared" si="20"/>
        <v>0</v>
      </c>
      <c r="R129" s="35">
        <f t="shared" si="20"/>
        <v>0</v>
      </c>
      <c r="S129" s="35">
        <f t="shared" si="20"/>
        <v>0</v>
      </c>
      <c r="T129" s="35">
        <f t="shared" si="20"/>
        <v>0</v>
      </c>
      <c r="U129" s="35">
        <f t="shared" si="20"/>
        <v>0</v>
      </c>
      <c r="V129" s="35">
        <f t="shared" si="20"/>
        <v>0</v>
      </c>
      <c r="W129" s="35">
        <f t="shared" si="20"/>
        <v>0</v>
      </c>
      <c r="X129" s="35">
        <f t="shared" si="20"/>
        <v>0</v>
      </c>
      <c r="Y129" s="35">
        <f t="shared" si="20"/>
        <v>0</v>
      </c>
      <c r="Z129" s="35">
        <f t="shared" si="20"/>
        <v>0</v>
      </c>
      <c r="AA129" s="35">
        <f t="shared" si="20"/>
        <v>0</v>
      </c>
      <c r="AB129" s="80">
        <f t="shared" si="20"/>
        <v>0</v>
      </c>
      <c r="AC129" s="35">
        <f t="shared" si="20"/>
        <v>0</v>
      </c>
      <c r="AD129" s="35">
        <f t="shared" si="20"/>
        <v>0</v>
      </c>
      <c r="AE129" s="35">
        <f t="shared" si="20"/>
        <v>0</v>
      </c>
      <c r="AF129" s="35">
        <f t="shared" si="20"/>
        <v>0</v>
      </c>
      <c r="AG129" s="35">
        <f t="shared" si="20"/>
        <v>0</v>
      </c>
      <c r="AH129" s="35">
        <f t="shared" si="20"/>
        <v>0</v>
      </c>
      <c r="AI129" s="35">
        <f t="shared" si="20"/>
        <v>0</v>
      </c>
      <c r="AJ129" s="35">
        <f t="shared" si="20"/>
        <v>0</v>
      </c>
    </row>
    <row r="130" spans="2:36" ht="15" hidden="1" customHeight="1" x14ac:dyDescent="0.2">
      <c r="B130" s="47"/>
      <c r="C130" s="47"/>
      <c r="D130" s="47"/>
      <c r="E130" s="47"/>
      <c r="F130" s="8"/>
      <c r="G130" s="17" t="s">
        <v>13</v>
      </c>
      <c r="H130" s="17"/>
      <c r="I130" s="13"/>
      <c r="J130" s="13"/>
      <c r="K130" s="35">
        <f t="shared" ref="K130:AJ130" si="21">K88*K125</f>
        <v>0</v>
      </c>
      <c r="L130" s="35">
        <f t="shared" si="21"/>
        <v>0</v>
      </c>
      <c r="M130" s="35">
        <f t="shared" si="21"/>
        <v>0</v>
      </c>
      <c r="N130" s="35">
        <f t="shared" si="21"/>
        <v>0</v>
      </c>
      <c r="O130" s="35">
        <f t="shared" si="21"/>
        <v>0</v>
      </c>
      <c r="P130" s="35">
        <f t="shared" si="21"/>
        <v>0</v>
      </c>
      <c r="Q130" s="35">
        <f t="shared" si="21"/>
        <v>0</v>
      </c>
      <c r="R130" s="35">
        <f t="shared" si="21"/>
        <v>0</v>
      </c>
      <c r="S130" s="35">
        <f t="shared" si="21"/>
        <v>0</v>
      </c>
      <c r="T130" s="35">
        <f t="shared" si="21"/>
        <v>0</v>
      </c>
      <c r="U130" s="35">
        <f t="shared" si="21"/>
        <v>0</v>
      </c>
      <c r="V130" s="35">
        <f t="shared" si="21"/>
        <v>0</v>
      </c>
      <c r="W130" s="35">
        <f t="shared" si="21"/>
        <v>0</v>
      </c>
      <c r="X130" s="35">
        <f t="shared" si="21"/>
        <v>0</v>
      </c>
      <c r="Y130" s="35">
        <f t="shared" si="21"/>
        <v>0</v>
      </c>
      <c r="Z130" s="35">
        <f t="shared" si="21"/>
        <v>0</v>
      </c>
      <c r="AA130" s="35">
        <f t="shared" si="21"/>
        <v>0</v>
      </c>
      <c r="AB130" s="80">
        <f t="shared" si="21"/>
        <v>0</v>
      </c>
      <c r="AC130" s="35">
        <f t="shared" si="21"/>
        <v>0</v>
      </c>
      <c r="AD130" s="35">
        <f t="shared" si="21"/>
        <v>0</v>
      </c>
      <c r="AE130" s="35">
        <f t="shared" si="21"/>
        <v>0</v>
      </c>
      <c r="AF130" s="35">
        <f t="shared" si="21"/>
        <v>0</v>
      </c>
      <c r="AG130" s="35">
        <f t="shared" si="21"/>
        <v>0</v>
      </c>
      <c r="AH130" s="35">
        <f t="shared" si="21"/>
        <v>0</v>
      </c>
      <c r="AI130" s="35">
        <f t="shared" si="21"/>
        <v>0</v>
      </c>
      <c r="AJ130" s="35">
        <f t="shared" si="21"/>
        <v>0</v>
      </c>
    </row>
    <row r="131" spans="2:36" ht="15" hidden="1" customHeight="1" x14ac:dyDescent="0.2">
      <c r="B131" s="47"/>
      <c r="C131" s="47"/>
      <c r="D131" s="47"/>
      <c r="E131" s="47"/>
      <c r="F131" s="8"/>
      <c r="G131" s="17"/>
      <c r="H131" s="17"/>
      <c r="I131" s="13"/>
      <c r="J131" s="13"/>
      <c r="K131" s="35"/>
      <c r="L131" s="35"/>
      <c r="M131" s="35"/>
      <c r="N131" s="35"/>
      <c r="O131" s="35"/>
      <c r="P131" s="35"/>
      <c r="Q131" s="35"/>
      <c r="R131" s="35"/>
      <c r="S131" s="35"/>
      <c r="T131" s="35"/>
      <c r="U131" s="35"/>
      <c r="V131" s="35"/>
      <c r="W131" s="35"/>
      <c r="X131" s="35"/>
      <c r="Y131" s="35"/>
      <c r="Z131" s="35"/>
      <c r="AA131" s="35"/>
      <c r="AB131" s="80"/>
      <c r="AC131" s="35"/>
      <c r="AD131" s="35"/>
      <c r="AE131" s="35"/>
      <c r="AF131" s="35"/>
      <c r="AG131" s="35"/>
      <c r="AH131" s="35"/>
      <c r="AI131" s="35"/>
      <c r="AJ131" s="35"/>
    </row>
    <row r="132" spans="2:36" ht="15" hidden="1" customHeight="1" x14ac:dyDescent="0.2">
      <c r="B132" s="47"/>
      <c r="C132" s="47"/>
      <c r="D132" s="47"/>
      <c r="E132" s="47"/>
      <c r="F132" s="8"/>
      <c r="G132" s="17" t="s">
        <v>14</v>
      </c>
      <c r="H132" s="17"/>
      <c r="I132" s="13"/>
      <c r="J132" s="13"/>
      <c r="K132" s="35">
        <f>SUM(K127:K130)</f>
        <v>0</v>
      </c>
      <c r="L132" s="35">
        <f t="shared" ref="L132:AH132" si="22">SUM(L127:L130)</f>
        <v>0</v>
      </c>
      <c r="M132" s="35">
        <f t="shared" si="22"/>
        <v>0</v>
      </c>
      <c r="N132" s="35">
        <f t="shared" si="22"/>
        <v>0</v>
      </c>
      <c r="O132" s="35">
        <f t="shared" si="22"/>
        <v>0</v>
      </c>
      <c r="P132" s="35">
        <f t="shared" si="22"/>
        <v>0</v>
      </c>
      <c r="Q132" s="35">
        <f t="shared" si="22"/>
        <v>0</v>
      </c>
      <c r="R132" s="35">
        <f t="shared" si="22"/>
        <v>0</v>
      </c>
      <c r="S132" s="35">
        <f t="shared" si="22"/>
        <v>0</v>
      </c>
      <c r="T132" s="35">
        <f t="shared" si="22"/>
        <v>0</v>
      </c>
      <c r="U132" s="35">
        <f t="shared" si="22"/>
        <v>0</v>
      </c>
      <c r="V132" s="35">
        <f t="shared" si="22"/>
        <v>0</v>
      </c>
      <c r="W132" s="35">
        <f t="shared" si="22"/>
        <v>0</v>
      </c>
      <c r="X132" s="35">
        <f t="shared" si="22"/>
        <v>0</v>
      </c>
      <c r="Y132" s="35">
        <f t="shared" si="22"/>
        <v>0</v>
      </c>
      <c r="Z132" s="35">
        <f t="shared" si="22"/>
        <v>0</v>
      </c>
      <c r="AA132" s="35">
        <f t="shared" si="22"/>
        <v>0</v>
      </c>
      <c r="AB132" s="80">
        <f t="shared" si="22"/>
        <v>0</v>
      </c>
      <c r="AC132" s="35">
        <f t="shared" si="22"/>
        <v>0</v>
      </c>
      <c r="AD132" s="35">
        <f t="shared" si="22"/>
        <v>0</v>
      </c>
      <c r="AE132" s="35">
        <f t="shared" si="22"/>
        <v>0</v>
      </c>
      <c r="AF132" s="35">
        <f t="shared" si="22"/>
        <v>0</v>
      </c>
      <c r="AG132" s="35">
        <f t="shared" si="22"/>
        <v>0</v>
      </c>
      <c r="AH132" s="35">
        <f t="shared" si="22"/>
        <v>0</v>
      </c>
      <c r="AI132" s="35">
        <f>SUM(AI127:AI130)</f>
        <v>0</v>
      </c>
      <c r="AJ132" s="35">
        <f>SUM(AJ127:AJ130)</f>
        <v>0</v>
      </c>
    </row>
    <row r="133" spans="2:36" ht="15" hidden="1" customHeight="1" x14ac:dyDescent="0.2">
      <c r="B133" s="47"/>
      <c r="C133" s="47"/>
      <c r="D133" s="47"/>
      <c r="E133" s="47"/>
      <c r="F133" s="8"/>
      <c r="G133" s="17" t="s">
        <v>435</v>
      </c>
      <c r="H133" s="17"/>
      <c r="I133" s="13"/>
      <c r="J133" s="13"/>
      <c r="K133" s="35">
        <f>K132</f>
        <v>0</v>
      </c>
      <c r="L133" s="35">
        <f t="shared" ref="L133:AJ133" si="23">K133+L132</f>
        <v>0</v>
      </c>
      <c r="M133" s="35">
        <f t="shared" si="23"/>
        <v>0</v>
      </c>
      <c r="N133" s="35">
        <f t="shared" si="23"/>
        <v>0</v>
      </c>
      <c r="O133" s="35">
        <f t="shared" si="23"/>
        <v>0</v>
      </c>
      <c r="P133" s="35">
        <f t="shared" si="23"/>
        <v>0</v>
      </c>
      <c r="Q133" s="35">
        <f t="shared" si="23"/>
        <v>0</v>
      </c>
      <c r="R133" s="35">
        <f t="shared" si="23"/>
        <v>0</v>
      </c>
      <c r="S133" s="35">
        <f t="shared" si="23"/>
        <v>0</v>
      </c>
      <c r="T133" s="35">
        <f t="shared" si="23"/>
        <v>0</v>
      </c>
      <c r="U133" s="35">
        <f t="shared" si="23"/>
        <v>0</v>
      </c>
      <c r="V133" s="35">
        <f t="shared" si="23"/>
        <v>0</v>
      </c>
      <c r="W133" s="35">
        <f t="shared" si="23"/>
        <v>0</v>
      </c>
      <c r="X133" s="35">
        <f t="shared" si="23"/>
        <v>0</v>
      </c>
      <c r="Y133" s="35">
        <f t="shared" si="23"/>
        <v>0</v>
      </c>
      <c r="Z133" s="35">
        <f t="shared" si="23"/>
        <v>0</v>
      </c>
      <c r="AA133" s="35">
        <f t="shared" si="23"/>
        <v>0</v>
      </c>
      <c r="AB133" s="80">
        <f t="shared" si="23"/>
        <v>0</v>
      </c>
      <c r="AC133" s="35">
        <f t="shared" si="23"/>
        <v>0</v>
      </c>
      <c r="AD133" s="35">
        <f t="shared" si="23"/>
        <v>0</v>
      </c>
      <c r="AE133" s="35">
        <f t="shared" si="23"/>
        <v>0</v>
      </c>
      <c r="AF133" s="35">
        <f t="shared" si="23"/>
        <v>0</v>
      </c>
      <c r="AG133" s="35">
        <f t="shared" si="23"/>
        <v>0</v>
      </c>
      <c r="AH133" s="35">
        <f t="shared" si="23"/>
        <v>0</v>
      </c>
      <c r="AI133" s="35">
        <f t="shared" si="23"/>
        <v>0</v>
      </c>
      <c r="AJ133" s="35">
        <f t="shared" si="23"/>
        <v>0</v>
      </c>
    </row>
    <row r="134" spans="2:36" ht="15" hidden="1" customHeight="1" x14ac:dyDescent="0.2">
      <c r="B134" s="47"/>
      <c r="C134" s="47"/>
      <c r="D134" s="47"/>
      <c r="E134" s="47"/>
      <c r="F134" s="8"/>
      <c r="G134" s="17"/>
      <c r="H134" s="17"/>
      <c r="I134" s="13"/>
      <c r="J134" s="13"/>
      <c r="K134" s="17"/>
      <c r="L134" s="17"/>
      <c r="M134" s="17"/>
      <c r="N134" s="17"/>
      <c r="O134" s="17"/>
      <c r="P134" s="17"/>
      <c r="Q134" s="17"/>
      <c r="R134" s="17"/>
      <c r="S134" s="17"/>
      <c r="T134" s="17"/>
      <c r="U134" s="17"/>
      <c r="V134" s="17"/>
      <c r="W134" s="17"/>
      <c r="X134" s="17"/>
      <c r="Y134" s="17"/>
      <c r="Z134" s="17"/>
      <c r="AA134" s="17"/>
      <c r="AB134" s="82"/>
      <c r="AC134" s="17"/>
      <c r="AD134" s="17"/>
      <c r="AE134" s="17"/>
      <c r="AF134" s="17"/>
      <c r="AG134" s="17"/>
      <c r="AH134" s="17"/>
      <c r="AI134" s="17"/>
      <c r="AJ134" s="17"/>
    </row>
    <row r="135" spans="2:36" ht="15" hidden="1" customHeight="1" x14ac:dyDescent="0.2">
      <c r="B135" s="47"/>
      <c r="C135" s="47"/>
      <c r="D135" s="47"/>
      <c r="E135" s="47"/>
      <c r="F135" s="8"/>
      <c r="G135" s="17" t="s">
        <v>17</v>
      </c>
      <c r="H135" s="17"/>
      <c r="I135" s="13"/>
      <c r="J135" s="13"/>
      <c r="K135" s="35">
        <f>K132/(((Data!$P$186/100)+1)^K$70)</f>
        <v>0</v>
      </c>
      <c r="L135" s="35">
        <f>L132/(((Data!$P$186/100)+1)^L$70)</f>
        <v>0</v>
      </c>
      <c r="M135" s="35">
        <f>M132/(((Data!$P$186/100)+1)^M$70)</f>
        <v>0</v>
      </c>
      <c r="N135" s="35">
        <f>N132/(((Data!$P$186/100)+1)^N$70)</f>
        <v>0</v>
      </c>
      <c r="O135" s="35">
        <f>O132/(((Data!$P$186/100)+1)^O$70)</f>
        <v>0</v>
      </c>
      <c r="P135" s="35">
        <f>P132/(((Data!$P$186/100)+1)^P$70)</f>
        <v>0</v>
      </c>
      <c r="Q135" s="35">
        <f>Q132/(((Data!$P$186/100)+1)^Q$70)</f>
        <v>0</v>
      </c>
      <c r="R135" s="35">
        <f>R132/(((Data!$P$186/100)+1)^R$70)</f>
        <v>0</v>
      </c>
      <c r="S135" s="35">
        <f>S132/(((Data!$P$186/100)+1)^S$70)</f>
        <v>0</v>
      </c>
      <c r="T135" s="35">
        <f>T132/(((Data!$P$186/100)+1)^T$70)</f>
        <v>0</v>
      </c>
      <c r="U135" s="35">
        <f>U132/(((Data!$P$186/100)+1)^U$70)</f>
        <v>0</v>
      </c>
      <c r="V135" s="35">
        <f>V132/(((Data!$P$186/100)+1)^V$70)</f>
        <v>0</v>
      </c>
      <c r="W135" s="35">
        <f>W132/(((Data!$P$186/100)+1)^W$70)</f>
        <v>0</v>
      </c>
      <c r="X135" s="35">
        <f>X132/(((Data!$P$186/100)+1)^X$70)</f>
        <v>0</v>
      </c>
      <c r="Y135" s="35">
        <f>Y132/(((Data!$P$186/100)+1)^Y$70)</f>
        <v>0</v>
      </c>
      <c r="Z135" s="35">
        <f>Z132/(((Data!$P$186/100)+1)^Z$70)</f>
        <v>0</v>
      </c>
      <c r="AA135" s="35">
        <f>AA132/(((Data!$P$186/100)+1)^AA$70)</f>
        <v>0</v>
      </c>
      <c r="AB135" s="80">
        <f>AB132/(((Data!$P$186/100)+1)^AB$70)</f>
        <v>0</v>
      </c>
      <c r="AC135" s="35">
        <f>AC132/(((Data!$P$186/100)+1)^AC$70)</f>
        <v>0</v>
      </c>
      <c r="AD135" s="35">
        <f>AD132/(((Data!$P$186/100)+1)^AD$70)</f>
        <v>0</v>
      </c>
      <c r="AE135" s="35">
        <f>AE132/(((Data!$P$186/100)+1)^AE$70)</f>
        <v>0</v>
      </c>
      <c r="AF135" s="35">
        <f>AF132/(((Data!$P$186/100)+1)^AF$70)</f>
        <v>0</v>
      </c>
      <c r="AG135" s="35">
        <f>AG132/(((Data!$P$186/100)+1)^AG$70)</f>
        <v>0</v>
      </c>
      <c r="AH135" s="35">
        <f>AH132/(((Data!$P$186/100)+1)^AH$70)</f>
        <v>0</v>
      </c>
      <c r="AI135" s="35">
        <f>AI132/(((Data!$P$186/100)+1)^AI$70)</f>
        <v>0</v>
      </c>
      <c r="AJ135" s="35">
        <f>AJ132/(((Data!$P$186/100)+1)^AJ$70)</f>
        <v>0</v>
      </c>
    </row>
    <row r="136" spans="2:36" ht="15" hidden="1" customHeight="1" x14ac:dyDescent="0.2">
      <c r="B136" s="47"/>
      <c r="C136" s="47"/>
      <c r="D136" s="47"/>
      <c r="E136" s="47"/>
      <c r="F136" s="8"/>
      <c r="G136" s="15" t="s">
        <v>184</v>
      </c>
      <c r="H136" s="15"/>
      <c r="I136" s="13"/>
      <c r="J136" s="13"/>
      <c r="K136" s="36">
        <f>K135</f>
        <v>0</v>
      </c>
      <c r="L136" s="36">
        <f t="shared" ref="L136:AJ136" si="24">K136+L135</f>
        <v>0</v>
      </c>
      <c r="M136" s="36">
        <f t="shared" si="24"/>
        <v>0</v>
      </c>
      <c r="N136" s="36">
        <f t="shared" si="24"/>
        <v>0</v>
      </c>
      <c r="O136" s="36">
        <f t="shared" si="24"/>
        <v>0</v>
      </c>
      <c r="P136" s="36">
        <f t="shared" si="24"/>
        <v>0</v>
      </c>
      <c r="Q136" s="36">
        <f t="shared" si="24"/>
        <v>0</v>
      </c>
      <c r="R136" s="36">
        <f t="shared" si="24"/>
        <v>0</v>
      </c>
      <c r="S136" s="36">
        <f t="shared" si="24"/>
        <v>0</v>
      </c>
      <c r="T136" s="36">
        <f t="shared" si="24"/>
        <v>0</v>
      </c>
      <c r="U136" s="36">
        <f t="shared" si="24"/>
        <v>0</v>
      </c>
      <c r="V136" s="36">
        <f t="shared" si="24"/>
        <v>0</v>
      </c>
      <c r="W136" s="36">
        <f t="shared" si="24"/>
        <v>0</v>
      </c>
      <c r="X136" s="36">
        <f t="shared" si="24"/>
        <v>0</v>
      </c>
      <c r="Y136" s="36">
        <f t="shared" si="24"/>
        <v>0</v>
      </c>
      <c r="Z136" s="36">
        <f t="shared" si="24"/>
        <v>0</v>
      </c>
      <c r="AA136" s="36">
        <f t="shared" si="24"/>
        <v>0</v>
      </c>
      <c r="AB136" s="83">
        <f t="shared" si="24"/>
        <v>0</v>
      </c>
      <c r="AC136" s="36">
        <f t="shared" si="24"/>
        <v>0</v>
      </c>
      <c r="AD136" s="36">
        <f t="shared" si="24"/>
        <v>0</v>
      </c>
      <c r="AE136" s="36">
        <f t="shared" si="24"/>
        <v>0</v>
      </c>
      <c r="AF136" s="36">
        <f t="shared" si="24"/>
        <v>0</v>
      </c>
      <c r="AG136" s="36">
        <f t="shared" si="24"/>
        <v>0</v>
      </c>
      <c r="AH136" s="36">
        <f t="shared" si="24"/>
        <v>0</v>
      </c>
      <c r="AI136" s="36">
        <f t="shared" si="24"/>
        <v>0</v>
      </c>
      <c r="AJ136" s="36">
        <f t="shared" si="24"/>
        <v>0</v>
      </c>
    </row>
    <row r="137" spans="2:36" ht="15" hidden="1" customHeight="1" x14ac:dyDescent="0.2">
      <c r="B137" s="47"/>
      <c r="C137" s="47"/>
      <c r="D137" s="47"/>
      <c r="E137" s="47"/>
      <c r="F137" s="8"/>
      <c r="G137" s="64"/>
      <c r="H137" s="64"/>
      <c r="I137" s="8"/>
      <c r="J137" s="8"/>
      <c r="K137" s="99"/>
      <c r="L137" s="99"/>
      <c r="M137" s="99"/>
      <c r="N137" s="99"/>
      <c r="O137" s="99"/>
      <c r="P137" s="99"/>
      <c r="Q137" s="99"/>
      <c r="R137" s="99"/>
      <c r="S137" s="99"/>
      <c r="T137" s="99"/>
      <c r="U137" s="99"/>
      <c r="V137" s="99"/>
      <c r="W137" s="99"/>
      <c r="X137" s="99"/>
      <c r="Y137" s="99"/>
      <c r="Z137" s="99"/>
      <c r="AA137" s="99"/>
      <c r="AB137" s="100"/>
      <c r="AC137" s="99"/>
      <c r="AD137" s="99"/>
      <c r="AE137" s="99"/>
      <c r="AF137" s="99"/>
      <c r="AG137" s="99"/>
      <c r="AH137" s="99"/>
      <c r="AI137" s="99"/>
      <c r="AJ137" s="99"/>
    </row>
    <row r="138" spans="2:36" ht="15" hidden="1" customHeight="1" x14ac:dyDescent="0.2">
      <c r="B138" s="47"/>
      <c r="C138" s="47"/>
      <c r="D138" s="47"/>
      <c r="E138" s="47"/>
      <c r="F138" s="8"/>
      <c r="G138" s="906" t="s">
        <v>530</v>
      </c>
      <c r="H138" s="839"/>
      <c r="I138" s="839"/>
      <c r="J138" s="839"/>
      <c r="K138" s="917"/>
      <c r="L138" s="917"/>
      <c r="M138" s="917"/>
      <c r="N138" s="917"/>
      <c r="O138" s="917"/>
      <c r="P138" s="917"/>
      <c r="Q138" s="917"/>
      <c r="R138" s="917"/>
      <c r="S138" s="917"/>
      <c r="T138" s="917"/>
      <c r="U138" s="917"/>
      <c r="V138" s="917"/>
      <c r="W138" s="917"/>
      <c r="X138" s="917"/>
      <c r="Y138" s="917"/>
      <c r="Z138" s="917"/>
      <c r="AA138" s="917"/>
      <c r="AB138" s="918"/>
      <c r="AC138" s="917"/>
      <c r="AD138" s="917"/>
      <c r="AE138" s="917"/>
      <c r="AF138" s="917"/>
      <c r="AG138" s="917"/>
      <c r="AH138" s="917"/>
      <c r="AI138" s="917"/>
      <c r="AJ138" s="917"/>
    </row>
    <row r="139" spans="2:36" ht="15" hidden="1" customHeight="1" x14ac:dyDescent="0.2">
      <c r="B139" s="47"/>
      <c r="C139" s="47"/>
      <c r="D139" s="47"/>
      <c r="E139" s="47"/>
      <c r="F139" s="8"/>
      <c r="G139" s="839"/>
      <c r="H139" s="839"/>
      <c r="I139" s="839"/>
      <c r="J139" s="839"/>
      <c r="K139" s="917"/>
      <c r="L139" s="917"/>
      <c r="M139" s="917"/>
      <c r="N139" s="917"/>
      <c r="O139" s="917"/>
      <c r="P139" s="917"/>
      <c r="Q139" s="917"/>
      <c r="R139" s="917"/>
      <c r="S139" s="917"/>
      <c r="T139" s="917"/>
      <c r="U139" s="917"/>
      <c r="V139" s="917"/>
      <c r="W139" s="917"/>
      <c r="X139" s="917"/>
      <c r="Y139" s="917"/>
      <c r="Z139" s="917"/>
      <c r="AA139" s="917"/>
      <c r="AB139" s="918"/>
      <c r="AC139" s="917"/>
      <c r="AD139" s="917"/>
      <c r="AE139" s="917"/>
      <c r="AF139" s="917"/>
      <c r="AG139" s="917"/>
      <c r="AH139" s="917"/>
      <c r="AI139" s="917"/>
      <c r="AJ139" s="917"/>
    </row>
    <row r="140" spans="2:36" ht="15" hidden="1" customHeight="1" x14ac:dyDescent="0.2">
      <c r="B140" s="47"/>
      <c r="C140" s="47"/>
      <c r="D140" s="47"/>
      <c r="E140" s="47"/>
      <c r="F140" s="8"/>
      <c r="G140" s="839" t="s">
        <v>478</v>
      </c>
      <c r="H140" s="864"/>
      <c r="I140" s="864"/>
      <c r="J140" s="864"/>
      <c r="K140" s="919">
        <f>IF(K$70&lt;$Q$37,VLOOKUP($I$15,$G$75:$AJ$79,K$70+5,FALSE),VLOOKUP($O$33,$G$75:$AJ$79,K$70+5,FALSE))</f>
        <v>0.19338</v>
      </c>
      <c r="L140" s="919">
        <f t="shared" ref="L140:AI140" si="25">IF(L$70&lt;$Q$37,VLOOKUP($I$15,$G$75:$AJ$79,L$70+5,FALSE),VLOOKUP($O$33,$G$75:$AJ$79,L$70+5,FALSE))</f>
        <v>0.18757859999999998</v>
      </c>
      <c r="M140" s="919">
        <f t="shared" si="25"/>
        <v>0.18195124199999999</v>
      </c>
      <c r="N140" s="919">
        <f t="shared" si="25"/>
        <v>0.17649270473999998</v>
      </c>
      <c r="O140" s="919">
        <f t="shared" si="25"/>
        <v>0.17119792359779998</v>
      </c>
      <c r="P140" s="919">
        <f t="shared" si="25"/>
        <v>0.16606198588986598</v>
      </c>
      <c r="Q140" s="919">
        <f t="shared" si="25"/>
        <v>0.16108012631317001</v>
      </c>
      <c r="R140" s="919">
        <f t="shared" si="25"/>
        <v>0.15624772252377489</v>
      </c>
      <c r="S140" s="919">
        <f t="shared" si="25"/>
        <v>0.15156029084806164</v>
      </c>
      <c r="T140" s="919">
        <f t="shared" si="25"/>
        <v>0.14701348212261978</v>
      </c>
      <c r="U140" s="919">
        <f t="shared" si="25"/>
        <v>0.14260307765894117</v>
      </c>
      <c r="V140" s="919">
        <f t="shared" si="25"/>
        <v>0.13832498532917292</v>
      </c>
      <c r="W140" s="919">
        <f t="shared" si="25"/>
        <v>0.13417523576929774</v>
      </c>
      <c r="X140" s="919">
        <f t="shared" si="25"/>
        <v>0.1301499786962188</v>
      </c>
      <c r="Y140" s="919">
        <f t="shared" si="25"/>
        <v>0.12624547933533223</v>
      </c>
      <c r="Z140" s="919">
        <f t="shared" si="25"/>
        <v>0.12245811495527226</v>
      </c>
      <c r="AA140" s="919">
        <f t="shared" si="25"/>
        <v>0.11878437150661408</v>
      </c>
      <c r="AB140" s="919">
        <f t="shared" si="25"/>
        <v>0.11522084036141565</v>
      </c>
      <c r="AC140" s="919">
        <f t="shared" si="25"/>
        <v>0.11176421515057318</v>
      </c>
      <c r="AD140" s="919">
        <f t="shared" si="25"/>
        <v>0.10841128869605599</v>
      </c>
      <c r="AE140" s="919">
        <f t="shared" si="25"/>
        <v>0.10515895003517431</v>
      </c>
      <c r="AF140" s="919">
        <f t="shared" si="25"/>
        <v>0.10200418153411908</v>
      </c>
      <c r="AG140" s="919">
        <f t="shared" si="25"/>
        <v>9.8944056088095506E-2</v>
      </c>
      <c r="AH140" s="919">
        <f t="shared" si="25"/>
        <v>9.5975734405452637E-2</v>
      </c>
      <c r="AI140" s="919">
        <f t="shared" si="25"/>
        <v>9.3096462373289057E-2</v>
      </c>
      <c r="AJ140" s="919">
        <f>IF(AJ$70&lt;$Q$37,VLOOKUP($I$15,$G$75:$AJ$79,AJ$70+5,FALSE),VLOOKUP($O$33,$G$75:$AJ$79,AJ$70+5,FALSE))</f>
        <v>9.0303568502090384E-2</v>
      </c>
    </row>
    <row r="141" spans="2:36" ht="15" hidden="1" customHeight="1" x14ac:dyDescent="0.2">
      <c r="B141" s="47"/>
      <c r="C141" s="47"/>
      <c r="D141" s="47"/>
      <c r="E141" s="47"/>
      <c r="F141" s="8"/>
      <c r="G141" s="839" t="s">
        <v>479</v>
      </c>
      <c r="H141" s="864"/>
      <c r="I141" s="864"/>
      <c r="J141" s="864"/>
      <c r="K141" s="919">
        <f>IF(K$70&lt;$Q$37,VLOOKUP($I$15,$G$81:$AJ$85,K$70+5,FALSE),VLOOKUP($O$33,$G$81:$AJ$85,K$70+5,FALSE))</f>
        <v>0.31</v>
      </c>
      <c r="L141" s="919">
        <f t="shared" ref="L141:AJ141" si="26">IF(L$70&lt;$Q$37,VLOOKUP($I$15,$G$81:$AJ$85,L$70+5,FALSE),VLOOKUP($O$33,$G$81:$AJ$85,L$70+5,FALSE))</f>
        <v>0.34100000000000003</v>
      </c>
      <c r="M141" s="919">
        <f t="shared" si="26"/>
        <v>0.37510000000000004</v>
      </c>
      <c r="N141" s="919">
        <f t="shared" si="26"/>
        <v>0.41261000000000009</v>
      </c>
      <c r="O141" s="919">
        <f t="shared" si="26"/>
        <v>0.45387100000000014</v>
      </c>
      <c r="P141" s="919">
        <f t="shared" si="26"/>
        <v>0.4992581000000002</v>
      </c>
      <c r="Q141" s="919">
        <f t="shared" si="26"/>
        <v>0.54918391000000022</v>
      </c>
      <c r="R141" s="919">
        <f t="shared" si="26"/>
        <v>0.60410230100000029</v>
      </c>
      <c r="S141" s="919">
        <f t="shared" si="26"/>
        <v>0.66451253110000041</v>
      </c>
      <c r="T141" s="919">
        <f t="shared" si="26"/>
        <v>0.73096378421000052</v>
      </c>
      <c r="U141" s="919">
        <f t="shared" si="26"/>
        <v>0.80406016263100066</v>
      </c>
      <c r="V141" s="919">
        <f t="shared" si="26"/>
        <v>0.88446617889410084</v>
      </c>
      <c r="W141" s="919">
        <f t="shared" si="26"/>
        <v>0.97291279678351106</v>
      </c>
      <c r="X141" s="919">
        <f t="shared" si="26"/>
        <v>1.0702040764618623</v>
      </c>
      <c r="Y141" s="919">
        <f t="shared" si="26"/>
        <v>1.1772244841080486</v>
      </c>
      <c r="Z141" s="919">
        <f t="shared" si="26"/>
        <v>1.2949469325188536</v>
      </c>
      <c r="AA141" s="919">
        <f t="shared" si="26"/>
        <v>1.4244416257707391</v>
      </c>
      <c r="AB141" s="919">
        <f t="shared" si="26"/>
        <v>1.5668857883478131</v>
      </c>
      <c r="AC141" s="919">
        <f t="shared" si="26"/>
        <v>1.7235743671825945</v>
      </c>
      <c r="AD141" s="919">
        <f t="shared" si="26"/>
        <v>1.8959318039008541</v>
      </c>
      <c r="AE141" s="919">
        <f t="shared" si="26"/>
        <v>2.0855249842909398</v>
      </c>
      <c r="AF141" s="919">
        <f t="shared" si="26"/>
        <v>2.2940774827200339</v>
      </c>
      <c r="AG141" s="919">
        <f t="shared" si="26"/>
        <v>2.5234852309920375</v>
      </c>
      <c r="AH141" s="919">
        <f t="shared" si="26"/>
        <v>2.7758337540912414</v>
      </c>
      <c r="AI141" s="919">
        <f t="shared" si="26"/>
        <v>3.053417129500366</v>
      </c>
      <c r="AJ141" s="919">
        <f t="shared" si="26"/>
        <v>3.3587588424504031</v>
      </c>
    </row>
    <row r="142" spans="2:36" ht="15" hidden="1" customHeight="1" x14ac:dyDescent="0.2">
      <c r="B142" s="47"/>
      <c r="C142" s="47"/>
      <c r="D142" s="47"/>
      <c r="E142" s="47"/>
      <c r="F142" s="8"/>
      <c r="G142" s="839"/>
      <c r="H142" s="839"/>
      <c r="I142" s="839"/>
      <c r="J142" s="839"/>
      <c r="K142" s="917"/>
      <c r="L142" s="917"/>
      <c r="M142" s="917"/>
      <c r="N142" s="917"/>
      <c r="O142" s="917"/>
      <c r="P142" s="917"/>
      <c r="Q142" s="917"/>
      <c r="R142" s="917"/>
      <c r="S142" s="917"/>
      <c r="T142" s="917"/>
      <c r="U142" s="917"/>
      <c r="V142" s="917"/>
      <c r="W142" s="917"/>
      <c r="X142" s="917"/>
      <c r="Y142" s="917"/>
      <c r="Z142" s="917"/>
      <c r="AA142" s="917"/>
      <c r="AB142" s="918"/>
      <c r="AC142" s="917"/>
      <c r="AD142" s="917"/>
      <c r="AE142" s="917"/>
      <c r="AF142" s="917"/>
      <c r="AG142" s="917"/>
      <c r="AH142" s="917"/>
      <c r="AI142" s="917"/>
      <c r="AJ142" s="917"/>
    </row>
    <row r="143" spans="2:36" ht="15" hidden="1" customHeight="1" x14ac:dyDescent="0.2">
      <c r="B143" s="47"/>
      <c r="C143" s="47"/>
      <c r="D143" s="47"/>
      <c r="E143" s="47"/>
      <c r="F143" s="8"/>
      <c r="G143" s="839" t="s">
        <v>4</v>
      </c>
      <c r="H143" s="839"/>
      <c r="I143" s="839"/>
      <c r="J143" s="839"/>
      <c r="K143" s="920"/>
      <c r="L143" s="920"/>
      <c r="M143" s="920"/>
      <c r="N143" s="920"/>
      <c r="O143" s="920"/>
      <c r="P143" s="920"/>
      <c r="Q143" s="920"/>
      <c r="R143" s="920"/>
      <c r="S143" s="920"/>
      <c r="T143" s="920"/>
      <c r="U143" s="920"/>
      <c r="V143" s="920"/>
      <c r="W143" s="920"/>
      <c r="X143" s="920"/>
      <c r="Y143" s="920"/>
      <c r="Z143" s="920"/>
      <c r="AA143" s="920"/>
      <c r="AB143" s="921"/>
      <c r="AC143" s="920"/>
      <c r="AD143" s="920"/>
      <c r="AE143" s="920"/>
      <c r="AF143" s="920"/>
      <c r="AG143" s="920"/>
      <c r="AH143" s="920"/>
      <c r="AI143" s="920"/>
      <c r="AJ143" s="920"/>
    </row>
    <row r="144" spans="2:36" ht="15" hidden="1" customHeight="1" x14ac:dyDescent="0.2">
      <c r="B144" s="47"/>
      <c r="C144" s="47"/>
      <c r="D144" s="47"/>
      <c r="E144" s="47"/>
      <c r="F144" s="8"/>
      <c r="G144" s="839" t="s">
        <v>5</v>
      </c>
      <c r="H144" s="839"/>
      <c r="I144" s="839"/>
      <c r="J144" s="839"/>
      <c r="K144" s="920"/>
      <c r="L144" s="920"/>
      <c r="M144" s="920"/>
      <c r="N144" s="920"/>
      <c r="O144" s="920"/>
      <c r="P144" s="920"/>
      <c r="Q144" s="920"/>
      <c r="R144" s="920"/>
      <c r="S144" s="920"/>
      <c r="T144" s="920"/>
      <c r="U144" s="920"/>
      <c r="V144" s="920"/>
      <c r="W144" s="920"/>
      <c r="X144" s="920"/>
      <c r="Y144" s="920"/>
      <c r="Z144" s="920"/>
      <c r="AA144" s="920"/>
      <c r="AB144" s="921"/>
      <c r="AC144" s="920"/>
      <c r="AD144" s="920"/>
      <c r="AE144" s="920"/>
      <c r="AF144" s="920"/>
      <c r="AG144" s="920"/>
      <c r="AH144" s="920"/>
      <c r="AI144" s="920"/>
      <c r="AJ144" s="920"/>
    </row>
    <row r="145" spans="2:36" ht="15" hidden="1" customHeight="1" x14ac:dyDescent="0.2">
      <c r="B145" s="47"/>
      <c r="C145" s="47"/>
      <c r="D145" s="47"/>
      <c r="E145" s="47"/>
      <c r="F145" s="8"/>
      <c r="G145" s="839" t="s">
        <v>6</v>
      </c>
      <c r="H145" s="839"/>
      <c r="I145" s="839"/>
      <c r="J145" s="839"/>
      <c r="K145" s="917">
        <f>IF(K$70&lt;$Q$37,$J$11,$Q$30)</f>
        <v>0</v>
      </c>
      <c r="L145" s="917">
        <f t="shared" ref="L145:AJ145" si="27">IF(L$70&lt;$Q$37,$J$11,$Q$30)</f>
        <v>0</v>
      </c>
      <c r="M145" s="917">
        <f t="shared" si="27"/>
        <v>0</v>
      </c>
      <c r="N145" s="917">
        <f t="shared" si="27"/>
        <v>0</v>
      </c>
      <c r="O145" s="917">
        <f t="shared" si="27"/>
        <v>0</v>
      </c>
      <c r="P145" s="917">
        <f t="shared" si="27"/>
        <v>0</v>
      </c>
      <c r="Q145" s="917">
        <f t="shared" si="27"/>
        <v>0</v>
      </c>
      <c r="R145" s="917">
        <f t="shared" si="27"/>
        <v>0</v>
      </c>
      <c r="S145" s="917">
        <f t="shared" si="27"/>
        <v>0</v>
      </c>
      <c r="T145" s="917">
        <f t="shared" si="27"/>
        <v>0</v>
      </c>
      <c r="U145" s="917">
        <f t="shared" si="27"/>
        <v>0</v>
      </c>
      <c r="V145" s="917">
        <f t="shared" si="27"/>
        <v>0</v>
      </c>
      <c r="W145" s="917">
        <f t="shared" si="27"/>
        <v>0</v>
      </c>
      <c r="X145" s="917">
        <f t="shared" si="27"/>
        <v>0</v>
      </c>
      <c r="Y145" s="917">
        <f t="shared" si="27"/>
        <v>0</v>
      </c>
      <c r="Z145" s="917">
        <f t="shared" si="27"/>
        <v>0</v>
      </c>
      <c r="AA145" s="917">
        <f t="shared" si="27"/>
        <v>0</v>
      </c>
      <c r="AB145" s="917">
        <f t="shared" si="27"/>
        <v>0</v>
      </c>
      <c r="AC145" s="917">
        <f t="shared" si="27"/>
        <v>0</v>
      </c>
      <c r="AD145" s="917">
        <f t="shared" si="27"/>
        <v>0</v>
      </c>
      <c r="AE145" s="917">
        <f t="shared" si="27"/>
        <v>0</v>
      </c>
      <c r="AF145" s="917">
        <f t="shared" si="27"/>
        <v>0</v>
      </c>
      <c r="AG145" s="917">
        <f t="shared" si="27"/>
        <v>0</v>
      </c>
      <c r="AH145" s="917">
        <f t="shared" si="27"/>
        <v>0</v>
      </c>
      <c r="AI145" s="917">
        <f t="shared" si="27"/>
        <v>0</v>
      </c>
      <c r="AJ145" s="917">
        <f t="shared" si="27"/>
        <v>0</v>
      </c>
    </row>
    <row r="146" spans="2:36" ht="15" hidden="1" customHeight="1" x14ac:dyDescent="0.2">
      <c r="B146" s="47"/>
      <c r="C146" s="47"/>
      <c r="D146" s="47"/>
      <c r="E146" s="47"/>
      <c r="F146" s="8"/>
      <c r="G146" s="839"/>
      <c r="H146" s="839"/>
      <c r="I146" s="839"/>
      <c r="J146" s="839"/>
      <c r="K146" s="917"/>
      <c r="L146" s="917"/>
      <c r="M146" s="917"/>
      <c r="N146" s="917"/>
      <c r="O146" s="917"/>
      <c r="P146" s="917"/>
      <c r="Q146" s="917"/>
      <c r="R146" s="917"/>
      <c r="S146" s="917"/>
      <c r="T146" s="917"/>
      <c r="U146" s="917"/>
      <c r="V146" s="917"/>
      <c r="W146" s="917"/>
      <c r="X146" s="917"/>
      <c r="Y146" s="917"/>
      <c r="Z146" s="917"/>
      <c r="AA146" s="917"/>
      <c r="AB146" s="918"/>
      <c r="AC146" s="917"/>
      <c r="AD146" s="917"/>
      <c r="AE146" s="917"/>
      <c r="AF146" s="917"/>
      <c r="AG146" s="917"/>
      <c r="AH146" s="917"/>
      <c r="AI146" s="917"/>
      <c r="AJ146" s="917"/>
    </row>
    <row r="147" spans="2:36" ht="15" hidden="1" customHeight="1" x14ac:dyDescent="0.2">
      <c r="B147" s="47"/>
      <c r="C147" s="47"/>
      <c r="D147" s="47"/>
      <c r="E147" s="47"/>
      <c r="F147" s="8"/>
      <c r="G147" s="839" t="s">
        <v>7</v>
      </c>
      <c r="H147" s="839"/>
      <c r="I147" s="839"/>
      <c r="J147" s="839"/>
      <c r="K147" s="920"/>
      <c r="L147" s="920"/>
      <c r="M147" s="920"/>
      <c r="N147" s="920"/>
      <c r="O147" s="920"/>
      <c r="P147" s="920"/>
      <c r="Q147" s="920"/>
      <c r="R147" s="920"/>
      <c r="S147" s="920"/>
      <c r="T147" s="920"/>
      <c r="U147" s="920"/>
      <c r="V147" s="920"/>
      <c r="W147" s="920"/>
      <c r="X147" s="920"/>
      <c r="Y147" s="920"/>
      <c r="Z147" s="920"/>
      <c r="AA147" s="920"/>
      <c r="AB147" s="921"/>
      <c r="AC147" s="920"/>
      <c r="AD147" s="920"/>
      <c r="AE147" s="920"/>
      <c r="AF147" s="920"/>
      <c r="AG147" s="920"/>
      <c r="AH147" s="920"/>
      <c r="AI147" s="920"/>
      <c r="AJ147" s="920"/>
    </row>
    <row r="148" spans="2:36" ht="15" hidden="1" customHeight="1" x14ac:dyDescent="0.2">
      <c r="B148" s="47"/>
      <c r="C148" s="47"/>
      <c r="D148" s="47"/>
      <c r="E148" s="47"/>
      <c r="F148" s="8"/>
      <c r="G148" s="839" t="s">
        <v>8</v>
      </c>
      <c r="H148" s="839"/>
      <c r="I148" s="839"/>
      <c r="J148" s="839"/>
      <c r="K148" s="920"/>
      <c r="L148" s="920"/>
      <c r="M148" s="920"/>
      <c r="N148" s="920"/>
      <c r="O148" s="920"/>
      <c r="P148" s="920"/>
      <c r="Q148" s="920"/>
      <c r="R148" s="920"/>
      <c r="S148" s="920"/>
      <c r="T148" s="920"/>
      <c r="U148" s="920"/>
      <c r="V148" s="920"/>
      <c r="W148" s="920"/>
      <c r="X148" s="920"/>
      <c r="Y148" s="920"/>
      <c r="Z148" s="920"/>
      <c r="AA148" s="920"/>
      <c r="AB148" s="921"/>
      <c r="AC148" s="920"/>
      <c r="AD148" s="920"/>
      <c r="AE148" s="920"/>
      <c r="AF148" s="920"/>
      <c r="AG148" s="920"/>
      <c r="AH148" s="920"/>
      <c r="AI148" s="920"/>
      <c r="AJ148" s="920"/>
    </row>
    <row r="149" spans="2:36" ht="15" hidden="1" customHeight="1" x14ac:dyDescent="0.2">
      <c r="B149" s="47"/>
      <c r="C149" s="47"/>
      <c r="D149" s="47"/>
      <c r="E149" s="47"/>
      <c r="F149" s="8"/>
      <c r="G149" s="839" t="s">
        <v>9</v>
      </c>
      <c r="H149" s="839"/>
      <c r="I149" s="839"/>
      <c r="J149" s="839"/>
      <c r="K149" s="917">
        <f>K$140*K145</f>
        <v>0</v>
      </c>
      <c r="L149" s="917">
        <f t="shared" ref="L149:AJ149" si="28">L$140*L145</f>
        <v>0</v>
      </c>
      <c r="M149" s="917">
        <f t="shared" si="28"/>
        <v>0</v>
      </c>
      <c r="N149" s="917">
        <f t="shared" si="28"/>
        <v>0</v>
      </c>
      <c r="O149" s="917">
        <f t="shared" si="28"/>
        <v>0</v>
      </c>
      <c r="P149" s="917">
        <f t="shared" si="28"/>
        <v>0</v>
      </c>
      <c r="Q149" s="917">
        <f t="shared" si="28"/>
        <v>0</v>
      </c>
      <c r="R149" s="917">
        <f t="shared" si="28"/>
        <v>0</v>
      </c>
      <c r="S149" s="917">
        <f t="shared" si="28"/>
        <v>0</v>
      </c>
      <c r="T149" s="917">
        <f t="shared" si="28"/>
        <v>0</v>
      </c>
      <c r="U149" s="917">
        <f t="shared" si="28"/>
        <v>0</v>
      </c>
      <c r="V149" s="917">
        <f t="shared" si="28"/>
        <v>0</v>
      </c>
      <c r="W149" s="917">
        <f t="shared" si="28"/>
        <v>0</v>
      </c>
      <c r="X149" s="917">
        <f t="shared" si="28"/>
        <v>0</v>
      </c>
      <c r="Y149" s="917">
        <f t="shared" si="28"/>
        <v>0</v>
      </c>
      <c r="Z149" s="917">
        <f t="shared" si="28"/>
        <v>0</v>
      </c>
      <c r="AA149" s="917">
        <f t="shared" si="28"/>
        <v>0</v>
      </c>
      <c r="AB149" s="917">
        <f t="shared" si="28"/>
        <v>0</v>
      </c>
      <c r="AC149" s="917">
        <f t="shared" si="28"/>
        <v>0</v>
      </c>
      <c r="AD149" s="917">
        <f t="shared" si="28"/>
        <v>0</v>
      </c>
      <c r="AE149" s="917">
        <f t="shared" si="28"/>
        <v>0</v>
      </c>
      <c r="AF149" s="917">
        <f t="shared" si="28"/>
        <v>0</v>
      </c>
      <c r="AG149" s="917">
        <f t="shared" si="28"/>
        <v>0</v>
      </c>
      <c r="AH149" s="917">
        <f t="shared" si="28"/>
        <v>0</v>
      </c>
      <c r="AI149" s="917">
        <f t="shared" si="28"/>
        <v>0</v>
      </c>
      <c r="AJ149" s="917">
        <f t="shared" si="28"/>
        <v>0</v>
      </c>
    </row>
    <row r="150" spans="2:36" ht="15" hidden="1" customHeight="1" x14ac:dyDescent="0.2">
      <c r="B150" s="47"/>
      <c r="C150" s="47"/>
      <c r="D150" s="47"/>
      <c r="E150" s="47"/>
      <c r="F150" s="8"/>
      <c r="G150" s="839"/>
      <c r="H150" s="839"/>
      <c r="I150" s="839"/>
      <c r="J150" s="839"/>
      <c r="K150" s="917"/>
      <c r="L150" s="917"/>
      <c r="M150" s="917"/>
      <c r="N150" s="917"/>
      <c r="O150" s="917"/>
      <c r="P150" s="917"/>
      <c r="Q150" s="917"/>
      <c r="R150" s="917"/>
      <c r="S150" s="917"/>
      <c r="T150" s="917"/>
      <c r="U150" s="917"/>
      <c r="V150" s="917"/>
      <c r="W150" s="917"/>
      <c r="X150" s="917"/>
      <c r="Y150" s="917"/>
      <c r="Z150" s="917"/>
      <c r="AA150" s="917"/>
      <c r="AB150" s="918"/>
      <c r="AC150" s="917"/>
      <c r="AD150" s="917"/>
      <c r="AE150" s="917"/>
      <c r="AF150" s="917"/>
      <c r="AG150" s="917"/>
      <c r="AH150" s="917"/>
      <c r="AI150" s="917"/>
      <c r="AJ150" s="917"/>
    </row>
    <row r="151" spans="2:36" ht="15" hidden="1" customHeight="1" x14ac:dyDescent="0.2">
      <c r="B151" s="47"/>
      <c r="C151" s="47"/>
      <c r="D151" s="47"/>
      <c r="E151" s="47"/>
      <c r="F151" s="8"/>
      <c r="G151" s="839" t="s">
        <v>10</v>
      </c>
      <c r="H151" s="839"/>
      <c r="I151" s="839"/>
      <c r="J151" s="839"/>
      <c r="K151" s="918">
        <f>IF($Q$42=0,IF(K70=$Q$37,$Q$36,0),IF(K$70=$Q$37,$Q$36*K$87,IF(OR(AND($Q$37=0,K$70=$Q$37),AND(K$70&gt;=$Q$37+$Q$42,INT((K$70-$Q$37)/($Q$42))=(K$70-$Q$37)/($Q$42))),$Q$41*K$87,0)))</f>
        <v>0</v>
      </c>
      <c r="L151" s="918">
        <f t="shared" ref="L151:AJ151" si="29">IF($Q$42=0,IF(L70=$Q$37,$Q$36,0),IF(L$70=$Q$37,$Q$36*L$87,IF(OR(AND($Q$37=0,L$70=$Q$37),AND(L$70&gt;=$Q$37+$Q$42,INT((L$70-$Q$37)/($Q$42))=(L$70-$Q$37)/($Q$42))),$Q$41*L$87,0)))</f>
        <v>0</v>
      </c>
      <c r="M151" s="918">
        <f t="shared" si="29"/>
        <v>0</v>
      </c>
      <c r="N151" s="918">
        <f t="shared" si="29"/>
        <v>0</v>
      </c>
      <c r="O151" s="918">
        <f t="shared" si="29"/>
        <v>0</v>
      </c>
      <c r="P151" s="918">
        <f t="shared" si="29"/>
        <v>0</v>
      </c>
      <c r="Q151" s="918">
        <f t="shared" si="29"/>
        <v>0</v>
      </c>
      <c r="R151" s="918">
        <f t="shared" si="29"/>
        <v>0</v>
      </c>
      <c r="S151" s="918">
        <f t="shared" si="29"/>
        <v>0</v>
      </c>
      <c r="T151" s="918">
        <f t="shared" si="29"/>
        <v>0</v>
      </c>
      <c r="U151" s="918">
        <f t="shared" si="29"/>
        <v>0</v>
      </c>
      <c r="V151" s="918">
        <f t="shared" si="29"/>
        <v>0</v>
      </c>
      <c r="W151" s="918">
        <f t="shared" si="29"/>
        <v>0</v>
      </c>
      <c r="X151" s="918">
        <f t="shared" si="29"/>
        <v>0</v>
      </c>
      <c r="Y151" s="918">
        <f t="shared" si="29"/>
        <v>0</v>
      </c>
      <c r="Z151" s="918">
        <f t="shared" si="29"/>
        <v>0</v>
      </c>
      <c r="AA151" s="918">
        <f t="shared" si="29"/>
        <v>0</v>
      </c>
      <c r="AB151" s="918">
        <f t="shared" si="29"/>
        <v>0</v>
      </c>
      <c r="AC151" s="918">
        <f t="shared" si="29"/>
        <v>0</v>
      </c>
      <c r="AD151" s="918">
        <f t="shared" si="29"/>
        <v>0</v>
      </c>
      <c r="AE151" s="918">
        <f t="shared" si="29"/>
        <v>0</v>
      </c>
      <c r="AF151" s="918">
        <f t="shared" si="29"/>
        <v>0</v>
      </c>
      <c r="AG151" s="918">
        <f t="shared" si="29"/>
        <v>0</v>
      </c>
      <c r="AH151" s="918">
        <f t="shared" si="29"/>
        <v>0</v>
      </c>
      <c r="AI151" s="918">
        <f t="shared" si="29"/>
        <v>0</v>
      </c>
      <c r="AJ151" s="918">
        <f t="shared" si="29"/>
        <v>0</v>
      </c>
    </row>
    <row r="152" spans="2:36" ht="15" hidden="1" customHeight="1" x14ac:dyDescent="0.2">
      <c r="B152" s="47"/>
      <c r="C152" s="47"/>
      <c r="D152" s="47"/>
      <c r="E152" s="47"/>
      <c r="F152" s="8"/>
      <c r="G152" s="839" t="s">
        <v>458</v>
      </c>
      <c r="H152" s="839"/>
      <c r="I152" s="839"/>
      <c r="J152" s="839"/>
      <c r="K152" s="917">
        <f>IF(K$70&lt;$Q$37,($K$21*K$87)-($K$22*K$87),($Q$39*K$87)-($Q$40*K$87))</f>
        <v>0</v>
      </c>
      <c r="L152" s="917">
        <f t="shared" ref="L152:AJ152" si="30">IF(L$70&lt;$Q$37,($K$21*L$87)-($K$22*L$87),($Q$39*L$87)-($Q$40*L$87))</f>
        <v>0</v>
      </c>
      <c r="M152" s="917">
        <f t="shared" si="30"/>
        <v>0</v>
      </c>
      <c r="N152" s="917">
        <f t="shared" si="30"/>
        <v>0</v>
      </c>
      <c r="O152" s="917">
        <f t="shared" si="30"/>
        <v>0</v>
      </c>
      <c r="P152" s="917">
        <f t="shared" si="30"/>
        <v>0</v>
      </c>
      <c r="Q152" s="917">
        <f t="shared" si="30"/>
        <v>0</v>
      </c>
      <c r="R152" s="917">
        <f t="shared" si="30"/>
        <v>0</v>
      </c>
      <c r="S152" s="917">
        <f t="shared" si="30"/>
        <v>0</v>
      </c>
      <c r="T152" s="917">
        <f t="shared" si="30"/>
        <v>0</v>
      </c>
      <c r="U152" s="917">
        <f t="shared" si="30"/>
        <v>0</v>
      </c>
      <c r="V152" s="917">
        <f t="shared" si="30"/>
        <v>0</v>
      </c>
      <c r="W152" s="917">
        <f t="shared" si="30"/>
        <v>0</v>
      </c>
      <c r="X152" s="917">
        <f t="shared" si="30"/>
        <v>0</v>
      </c>
      <c r="Y152" s="917">
        <f t="shared" si="30"/>
        <v>0</v>
      </c>
      <c r="Z152" s="917">
        <f t="shared" si="30"/>
        <v>0</v>
      </c>
      <c r="AA152" s="917">
        <f t="shared" si="30"/>
        <v>0</v>
      </c>
      <c r="AB152" s="917">
        <f t="shared" si="30"/>
        <v>0</v>
      </c>
      <c r="AC152" s="917">
        <f t="shared" si="30"/>
        <v>0</v>
      </c>
      <c r="AD152" s="917">
        <f t="shared" si="30"/>
        <v>0</v>
      </c>
      <c r="AE152" s="917">
        <f t="shared" si="30"/>
        <v>0</v>
      </c>
      <c r="AF152" s="917">
        <f t="shared" si="30"/>
        <v>0</v>
      </c>
      <c r="AG152" s="917">
        <f t="shared" si="30"/>
        <v>0</v>
      </c>
      <c r="AH152" s="917">
        <f t="shared" si="30"/>
        <v>0</v>
      </c>
      <c r="AI152" s="917">
        <f t="shared" si="30"/>
        <v>0</v>
      </c>
      <c r="AJ152" s="917">
        <f t="shared" si="30"/>
        <v>0</v>
      </c>
    </row>
    <row r="153" spans="2:36" ht="15" hidden="1" customHeight="1" x14ac:dyDescent="0.2">
      <c r="B153" s="47"/>
      <c r="C153" s="47"/>
      <c r="D153" s="47"/>
      <c r="E153" s="47"/>
      <c r="F153" s="8"/>
      <c r="G153" s="839" t="s">
        <v>12</v>
      </c>
      <c r="H153" s="839"/>
      <c r="I153" s="839"/>
      <c r="J153" s="839"/>
      <c r="K153" s="917">
        <f>K$141*K145</f>
        <v>0</v>
      </c>
      <c r="L153" s="917">
        <f t="shared" ref="L153:AJ153" si="31">L$141*L145</f>
        <v>0</v>
      </c>
      <c r="M153" s="917">
        <f t="shared" si="31"/>
        <v>0</v>
      </c>
      <c r="N153" s="917">
        <f t="shared" si="31"/>
        <v>0</v>
      </c>
      <c r="O153" s="917">
        <f t="shared" si="31"/>
        <v>0</v>
      </c>
      <c r="P153" s="917">
        <f t="shared" si="31"/>
        <v>0</v>
      </c>
      <c r="Q153" s="917">
        <f t="shared" si="31"/>
        <v>0</v>
      </c>
      <c r="R153" s="917">
        <f t="shared" si="31"/>
        <v>0</v>
      </c>
      <c r="S153" s="917">
        <f t="shared" si="31"/>
        <v>0</v>
      </c>
      <c r="T153" s="917">
        <f t="shared" si="31"/>
        <v>0</v>
      </c>
      <c r="U153" s="917">
        <f t="shared" si="31"/>
        <v>0</v>
      </c>
      <c r="V153" s="917">
        <f t="shared" si="31"/>
        <v>0</v>
      </c>
      <c r="W153" s="917">
        <f t="shared" si="31"/>
        <v>0</v>
      </c>
      <c r="X153" s="917">
        <f t="shared" si="31"/>
        <v>0</v>
      </c>
      <c r="Y153" s="917">
        <f t="shared" si="31"/>
        <v>0</v>
      </c>
      <c r="Z153" s="917">
        <f t="shared" si="31"/>
        <v>0</v>
      </c>
      <c r="AA153" s="917">
        <f t="shared" si="31"/>
        <v>0</v>
      </c>
      <c r="AB153" s="917">
        <f t="shared" si="31"/>
        <v>0</v>
      </c>
      <c r="AC153" s="917">
        <f t="shared" si="31"/>
        <v>0</v>
      </c>
      <c r="AD153" s="917">
        <f t="shared" si="31"/>
        <v>0</v>
      </c>
      <c r="AE153" s="917">
        <f t="shared" si="31"/>
        <v>0</v>
      </c>
      <c r="AF153" s="917">
        <f t="shared" si="31"/>
        <v>0</v>
      </c>
      <c r="AG153" s="917">
        <f t="shared" si="31"/>
        <v>0</v>
      </c>
      <c r="AH153" s="917">
        <f t="shared" si="31"/>
        <v>0</v>
      </c>
      <c r="AI153" s="917">
        <f t="shared" si="31"/>
        <v>0</v>
      </c>
      <c r="AJ153" s="917">
        <f t="shared" si="31"/>
        <v>0</v>
      </c>
    </row>
    <row r="154" spans="2:36" ht="15" hidden="1" customHeight="1" x14ac:dyDescent="0.2">
      <c r="B154" s="47"/>
      <c r="C154" s="47"/>
      <c r="D154" s="47"/>
      <c r="E154" s="47"/>
      <c r="F154" s="8"/>
      <c r="G154" s="839" t="s">
        <v>13</v>
      </c>
      <c r="H154" s="839"/>
      <c r="I154" s="839"/>
      <c r="J154" s="839"/>
      <c r="K154" s="917">
        <f t="shared" ref="K154:AJ154" si="32">K88*K149</f>
        <v>0</v>
      </c>
      <c r="L154" s="917">
        <f t="shared" si="32"/>
        <v>0</v>
      </c>
      <c r="M154" s="917">
        <f t="shared" si="32"/>
        <v>0</v>
      </c>
      <c r="N154" s="917">
        <f t="shared" si="32"/>
        <v>0</v>
      </c>
      <c r="O154" s="917">
        <f t="shared" si="32"/>
        <v>0</v>
      </c>
      <c r="P154" s="917">
        <f t="shared" si="32"/>
        <v>0</v>
      </c>
      <c r="Q154" s="917">
        <f t="shared" si="32"/>
        <v>0</v>
      </c>
      <c r="R154" s="917">
        <f t="shared" si="32"/>
        <v>0</v>
      </c>
      <c r="S154" s="917">
        <f t="shared" si="32"/>
        <v>0</v>
      </c>
      <c r="T154" s="917">
        <f t="shared" si="32"/>
        <v>0</v>
      </c>
      <c r="U154" s="917">
        <f t="shared" si="32"/>
        <v>0</v>
      </c>
      <c r="V154" s="917">
        <f t="shared" si="32"/>
        <v>0</v>
      </c>
      <c r="W154" s="917">
        <f t="shared" si="32"/>
        <v>0</v>
      </c>
      <c r="X154" s="917">
        <f t="shared" si="32"/>
        <v>0</v>
      </c>
      <c r="Y154" s="917">
        <f t="shared" si="32"/>
        <v>0</v>
      </c>
      <c r="Z154" s="917">
        <f t="shared" si="32"/>
        <v>0</v>
      </c>
      <c r="AA154" s="917">
        <f t="shared" si="32"/>
        <v>0</v>
      </c>
      <c r="AB154" s="917">
        <f t="shared" si="32"/>
        <v>0</v>
      </c>
      <c r="AC154" s="917">
        <f t="shared" si="32"/>
        <v>0</v>
      </c>
      <c r="AD154" s="917">
        <f t="shared" si="32"/>
        <v>0</v>
      </c>
      <c r="AE154" s="917">
        <f t="shared" si="32"/>
        <v>0</v>
      </c>
      <c r="AF154" s="917">
        <f t="shared" si="32"/>
        <v>0</v>
      </c>
      <c r="AG154" s="917">
        <f t="shared" si="32"/>
        <v>0</v>
      </c>
      <c r="AH154" s="917">
        <f t="shared" si="32"/>
        <v>0</v>
      </c>
      <c r="AI154" s="917">
        <f t="shared" si="32"/>
        <v>0</v>
      </c>
      <c r="AJ154" s="917">
        <f t="shared" si="32"/>
        <v>0</v>
      </c>
    </row>
    <row r="155" spans="2:36" ht="15" hidden="1" customHeight="1" x14ac:dyDescent="0.2">
      <c r="B155" s="47"/>
      <c r="C155" s="47"/>
      <c r="D155" s="47"/>
      <c r="E155" s="47"/>
      <c r="F155" s="8"/>
      <c r="G155" s="839"/>
      <c r="H155" s="839"/>
      <c r="I155" s="839"/>
      <c r="J155" s="839"/>
      <c r="K155" s="917"/>
      <c r="L155" s="917"/>
      <c r="M155" s="917"/>
      <c r="N155" s="917"/>
      <c r="O155" s="917"/>
      <c r="P155" s="917"/>
      <c r="Q155" s="917"/>
      <c r="R155" s="917"/>
      <c r="S155" s="917"/>
      <c r="T155" s="917"/>
      <c r="U155" s="917"/>
      <c r="V155" s="917"/>
      <c r="W155" s="917"/>
      <c r="X155" s="917"/>
      <c r="Y155" s="917"/>
      <c r="Z155" s="917"/>
      <c r="AA155" s="917"/>
      <c r="AB155" s="918"/>
      <c r="AC155" s="917"/>
      <c r="AD155" s="917"/>
      <c r="AE155" s="917"/>
      <c r="AF155" s="917"/>
      <c r="AG155" s="917"/>
      <c r="AH155" s="917"/>
      <c r="AI155" s="917"/>
      <c r="AJ155" s="917"/>
    </row>
    <row r="156" spans="2:36" ht="15" hidden="1" customHeight="1" x14ac:dyDescent="0.2">
      <c r="B156" s="47"/>
      <c r="C156" s="47"/>
      <c r="D156" s="47"/>
      <c r="E156" s="47"/>
      <c r="F156" s="8"/>
      <c r="G156" s="839" t="s">
        <v>14</v>
      </c>
      <c r="H156" s="839"/>
      <c r="I156" s="839"/>
      <c r="J156" s="839"/>
      <c r="K156" s="917">
        <f>SUM(K151:K154)</f>
        <v>0</v>
      </c>
      <c r="L156" s="917">
        <f t="shared" ref="L156:AH156" si="33">SUM(L151:L154)</f>
        <v>0</v>
      </c>
      <c r="M156" s="917">
        <f t="shared" si="33"/>
        <v>0</v>
      </c>
      <c r="N156" s="917">
        <f t="shared" si="33"/>
        <v>0</v>
      </c>
      <c r="O156" s="917">
        <f t="shared" si="33"/>
        <v>0</v>
      </c>
      <c r="P156" s="917">
        <f t="shared" si="33"/>
        <v>0</v>
      </c>
      <c r="Q156" s="917">
        <f t="shared" si="33"/>
        <v>0</v>
      </c>
      <c r="R156" s="917">
        <f t="shared" si="33"/>
        <v>0</v>
      </c>
      <c r="S156" s="917">
        <f t="shared" si="33"/>
        <v>0</v>
      </c>
      <c r="T156" s="917">
        <f t="shared" si="33"/>
        <v>0</v>
      </c>
      <c r="U156" s="917">
        <f t="shared" si="33"/>
        <v>0</v>
      </c>
      <c r="V156" s="917">
        <f t="shared" si="33"/>
        <v>0</v>
      </c>
      <c r="W156" s="917">
        <f t="shared" si="33"/>
        <v>0</v>
      </c>
      <c r="X156" s="917">
        <f t="shared" si="33"/>
        <v>0</v>
      </c>
      <c r="Y156" s="917">
        <f t="shared" si="33"/>
        <v>0</v>
      </c>
      <c r="Z156" s="917">
        <f t="shared" si="33"/>
        <v>0</v>
      </c>
      <c r="AA156" s="917">
        <f t="shared" si="33"/>
        <v>0</v>
      </c>
      <c r="AB156" s="918">
        <f t="shared" si="33"/>
        <v>0</v>
      </c>
      <c r="AC156" s="917">
        <f t="shared" si="33"/>
        <v>0</v>
      </c>
      <c r="AD156" s="917">
        <f t="shared" si="33"/>
        <v>0</v>
      </c>
      <c r="AE156" s="917">
        <f t="shared" si="33"/>
        <v>0</v>
      </c>
      <c r="AF156" s="917">
        <f t="shared" si="33"/>
        <v>0</v>
      </c>
      <c r="AG156" s="917">
        <f t="shared" si="33"/>
        <v>0</v>
      </c>
      <c r="AH156" s="917">
        <f t="shared" si="33"/>
        <v>0</v>
      </c>
      <c r="AI156" s="917">
        <f>SUM(AI151:AI154)</f>
        <v>0</v>
      </c>
      <c r="AJ156" s="917">
        <f>SUM(AJ151:AJ154)</f>
        <v>0</v>
      </c>
    </row>
    <row r="157" spans="2:36" ht="15" hidden="1" customHeight="1" x14ac:dyDescent="0.2">
      <c r="B157" s="47"/>
      <c r="C157" s="47"/>
      <c r="D157" s="47"/>
      <c r="E157" s="47"/>
      <c r="F157" s="8"/>
      <c r="G157" s="839" t="s">
        <v>435</v>
      </c>
      <c r="H157" s="839"/>
      <c r="I157" s="839"/>
      <c r="J157" s="839"/>
      <c r="K157" s="917">
        <f>K156</f>
        <v>0</v>
      </c>
      <c r="L157" s="917">
        <f t="shared" ref="L157:AJ157" si="34">K157+L156</f>
        <v>0</v>
      </c>
      <c r="M157" s="917">
        <f t="shared" si="34"/>
        <v>0</v>
      </c>
      <c r="N157" s="917">
        <f t="shared" si="34"/>
        <v>0</v>
      </c>
      <c r="O157" s="917">
        <f t="shared" si="34"/>
        <v>0</v>
      </c>
      <c r="P157" s="917">
        <f t="shared" si="34"/>
        <v>0</v>
      </c>
      <c r="Q157" s="917">
        <f t="shared" si="34"/>
        <v>0</v>
      </c>
      <c r="R157" s="917">
        <f t="shared" si="34"/>
        <v>0</v>
      </c>
      <c r="S157" s="917">
        <f t="shared" si="34"/>
        <v>0</v>
      </c>
      <c r="T157" s="917">
        <f t="shared" si="34"/>
        <v>0</v>
      </c>
      <c r="U157" s="917">
        <f t="shared" si="34"/>
        <v>0</v>
      </c>
      <c r="V157" s="917">
        <f t="shared" si="34"/>
        <v>0</v>
      </c>
      <c r="W157" s="917">
        <f t="shared" si="34"/>
        <v>0</v>
      </c>
      <c r="X157" s="917">
        <f t="shared" si="34"/>
        <v>0</v>
      </c>
      <c r="Y157" s="917">
        <f t="shared" si="34"/>
        <v>0</v>
      </c>
      <c r="Z157" s="917">
        <f t="shared" si="34"/>
        <v>0</v>
      </c>
      <c r="AA157" s="917">
        <f t="shared" si="34"/>
        <v>0</v>
      </c>
      <c r="AB157" s="918">
        <f t="shared" si="34"/>
        <v>0</v>
      </c>
      <c r="AC157" s="917">
        <f t="shared" si="34"/>
        <v>0</v>
      </c>
      <c r="AD157" s="917">
        <f t="shared" si="34"/>
        <v>0</v>
      </c>
      <c r="AE157" s="917">
        <f t="shared" si="34"/>
        <v>0</v>
      </c>
      <c r="AF157" s="917">
        <f t="shared" si="34"/>
        <v>0</v>
      </c>
      <c r="AG157" s="917">
        <f t="shared" si="34"/>
        <v>0</v>
      </c>
      <c r="AH157" s="917">
        <f t="shared" si="34"/>
        <v>0</v>
      </c>
      <c r="AI157" s="917">
        <f t="shared" si="34"/>
        <v>0</v>
      </c>
      <c r="AJ157" s="917">
        <f t="shared" si="34"/>
        <v>0</v>
      </c>
    </row>
    <row r="158" spans="2:36" ht="15" hidden="1" customHeight="1" x14ac:dyDescent="0.2">
      <c r="B158" s="47"/>
      <c r="C158" s="47"/>
      <c r="D158" s="47"/>
      <c r="E158" s="47"/>
      <c r="F158" s="8"/>
      <c r="G158" s="839"/>
      <c r="H158" s="839"/>
      <c r="I158" s="839"/>
      <c r="J158" s="839"/>
      <c r="K158" s="839"/>
      <c r="L158" s="839"/>
      <c r="M158" s="839"/>
      <c r="N158" s="839"/>
      <c r="O158" s="839"/>
      <c r="P158" s="839"/>
      <c r="Q158" s="839"/>
      <c r="R158" s="839"/>
      <c r="S158" s="839"/>
      <c r="T158" s="839"/>
      <c r="U158" s="839"/>
      <c r="V158" s="839"/>
      <c r="W158" s="839"/>
      <c r="X158" s="839"/>
      <c r="Y158" s="839"/>
      <c r="Z158" s="839"/>
      <c r="AA158" s="839"/>
      <c r="AB158" s="922"/>
      <c r="AC158" s="839"/>
      <c r="AD158" s="839"/>
      <c r="AE158" s="839"/>
      <c r="AF158" s="839"/>
      <c r="AG158" s="839"/>
      <c r="AH158" s="839"/>
      <c r="AI158" s="839"/>
      <c r="AJ158" s="839"/>
    </row>
    <row r="159" spans="2:36" ht="15" hidden="1" customHeight="1" x14ac:dyDescent="0.2">
      <c r="B159" s="47"/>
      <c r="C159" s="47"/>
      <c r="D159" s="47"/>
      <c r="E159" s="47"/>
      <c r="F159" s="8"/>
      <c r="G159" s="839" t="s">
        <v>17</v>
      </c>
      <c r="H159" s="839"/>
      <c r="I159" s="839"/>
      <c r="J159" s="839"/>
      <c r="K159" s="917">
        <f>K156/(((Data!$P$186/100)+1)^K$70)</f>
        <v>0</v>
      </c>
      <c r="L159" s="917">
        <f>L156/(((Data!$P$186/100)+1)^L$70)</f>
        <v>0</v>
      </c>
      <c r="M159" s="917">
        <f>M156/(((Data!$P$186/100)+1)^M$70)</f>
        <v>0</v>
      </c>
      <c r="N159" s="917">
        <f>N156/(((Data!$P$186/100)+1)^N$70)</f>
        <v>0</v>
      </c>
      <c r="O159" s="917">
        <f>O156/(((Data!$P$186/100)+1)^O$70)</f>
        <v>0</v>
      </c>
      <c r="P159" s="917">
        <f>P156/(((Data!$P$186/100)+1)^P$70)</f>
        <v>0</v>
      </c>
      <c r="Q159" s="917">
        <f>Q156/(((Data!$P$186/100)+1)^Q$70)</f>
        <v>0</v>
      </c>
      <c r="R159" s="917">
        <f>R156/(((Data!$P$186/100)+1)^R$70)</f>
        <v>0</v>
      </c>
      <c r="S159" s="917">
        <f>S156/(((Data!$P$186/100)+1)^S$70)</f>
        <v>0</v>
      </c>
      <c r="T159" s="917">
        <f>T156/(((Data!$P$186/100)+1)^T$70)</f>
        <v>0</v>
      </c>
      <c r="U159" s="917">
        <f>U156/(((Data!$P$186/100)+1)^U$70)</f>
        <v>0</v>
      </c>
      <c r="V159" s="917">
        <f>V156/(((Data!$P$186/100)+1)^V$70)</f>
        <v>0</v>
      </c>
      <c r="W159" s="917">
        <f>W156/(((Data!$P$186/100)+1)^W$70)</f>
        <v>0</v>
      </c>
      <c r="X159" s="917">
        <f>X156/(((Data!$P$186/100)+1)^X$70)</f>
        <v>0</v>
      </c>
      <c r="Y159" s="917">
        <f>Y156/(((Data!$P$186/100)+1)^Y$70)</f>
        <v>0</v>
      </c>
      <c r="Z159" s="917">
        <f>Z156/(((Data!$P$186/100)+1)^Z$70)</f>
        <v>0</v>
      </c>
      <c r="AA159" s="917">
        <f>AA156/(((Data!$P$186/100)+1)^AA$70)</f>
        <v>0</v>
      </c>
      <c r="AB159" s="918">
        <f>AB156/(((Data!$P$186/100)+1)^AB$70)</f>
        <v>0</v>
      </c>
      <c r="AC159" s="917">
        <f>AC156/(((Data!$P$186/100)+1)^AC$70)</f>
        <v>0</v>
      </c>
      <c r="AD159" s="917">
        <f>AD156/(((Data!$P$186/100)+1)^AD$70)</f>
        <v>0</v>
      </c>
      <c r="AE159" s="917">
        <f>AE156/(((Data!$P$186/100)+1)^AE$70)</f>
        <v>0</v>
      </c>
      <c r="AF159" s="917">
        <f>AF156/(((Data!$P$186/100)+1)^AF$70)</f>
        <v>0</v>
      </c>
      <c r="AG159" s="917">
        <f>AG156/(((Data!$P$186/100)+1)^AG$70)</f>
        <v>0</v>
      </c>
      <c r="AH159" s="917">
        <f>AH156/(((Data!$P$186/100)+1)^AH$70)</f>
        <v>0</v>
      </c>
      <c r="AI159" s="917">
        <f>AI156/(((Data!$P$186/100)+1)^AI$70)</f>
        <v>0</v>
      </c>
      <c r="AJ159" s="917">
        <f>AJ156/(((Data!$P$186/100)+1)^AJ$70)</f>
        <v>0</v>
      </c>
    </row>
    <row r="160" spans="2:36" ht="15" hidden="1" customHeight="1" x14ac:dyDescent="0.2">
      <c r="B160" s="47"/>
      <c r="C160" s="47"/>
      <c r="D160" s="47"/>
      <c r="E160" s="47"/>
      <c r="F160" s="8"/>
      <c r="G160" s="859" t="s">
        <v>184</v>
      </c>
      <c r="H160" s="859"/>
      <c r="I160" s="839"/>
      <c r="J160" s="839"/>
      <c r="K160" s="923">
        <f>K159</f>
        <v>0</v>
      </c>
      <c r="L160" s="923">
        <f t="shared" ref="L160:AJ160" si="35">K160+L159</f>
        <v>0</v>
      </c>
      <c r="M160" s="923">
        <f t="shared" si="35"/>
        <v>0</v>
      </c>
      <c r="N160" s="923">
        <f t="shared" si="35"/>
        <v>0</v>
      </c>
      <c r="O160" s="923">
        <f t="shared" si="35"/>
        <v>0</v>
      </c>
      <c r="P160" s="923">
        <f t="shared" si="35"/>
        <v>0</v>
      </c>
      <c r="Q160" s="923">
        <f t="shared" si="35"/>
        <v>0</v>
      </c>
      <c r="R160" s="923">
        <f t="shared" si="35"/>
        <v>0</v>
      </c>
      <c r="S160" s="923">
        <f t="shared" si="35"/>
        <v>0</v>
      </c>
      <c r="T160" s="923">
        <f t="shared" si="35"/>
        <v>0</v>
      </c>
      <c r="U160" s="923">
        <f t="shared" si="35"/>
        <v>0</v>
      </c>
      <c r="V160" s="923">
        <f t="shared" si="35"/>
        <v>0</v>
      </c>
      <c r="W160" s="923">
        <f t="shared" si="35"/>
        <v>0</v>
      </c>
      <c r="X160" s="923">
        <f t="shared" si="35"/>
        <v>0</v>
      </c>
      <c r="Y160" s="923">
        <f t="shared" si="35"/>
        <v>0</v>
      </c>
      <c r="Z160" s="923">
        <f t="shared" si="35"/>
        <v>0</v>
      </c>
      <c r="AA160" s="923">
        <f t="shared" si="35"/>
        <v>0</v>
      </c>
      <c r="AB160" s="924">
        <f t="shared" si="35"/>
        <v>0</v>
      </c>
      <c r="AC160" s="923">
        <f t="shared" si="35"/>
        <v>0</v>
      </c>
      <c r="AD160" s="923">
        <f t="shared" si="35"/>
        <v>0</v>
      </c>
      <c r="AE160" s="923">
        <f t="shared" si="35"/>
        <v>0</v>
      </c>
      <c r="AF160" s="923">
        <f t="shared" si="35"/>
        <v>0</v>
      </c>
      <c r="AG160" s="923">
        <f t="shared" si="35"/>
        <v>0</v>
      </c>
      <c r="AH160" s="923">
        <f t="shared" si="35"/>
        <v>0</v>
      </c>
      <c r="AI160" s="923">
        <f t="shared" si="35"/>
        <v>0</v>
      </c>
      <c r="AJ160" s="923">
        <f t="shared" si="35"/>
        <v>0</v>
      </c>
    </row>
    <row r="161" spans="2:36" ht="15" customHeight="1" x14ac:dyDescent="0.2">
      <c r="B161" s="47"/>
      <c r="C161" s="47"/>
      <c r="D161" s="47"/>
      <c r="E161" s="47"/>
      <c r="F161" s="8"/>
      <c r="G161" s="8"/>
      <c r="H161" s="8"/>
      <c r="I161" s="8"/>
      <c r="J161" s="8"/>
      <c r="K161" s="99"/>
      <c r="L161" s="67"/>
      <c r="M161" s="99"/>
      <c r="N161" s="99"/>
      <c r="O161" s="99"/>
      <c r="P161" s="99"/>
      <c r="Q161" s="99"/>
      <c r="R161" s="99"/>
      <c r="S161" s="67"/>
      <c r="T161" s="99"/>
      <c r="U161" s="99"/>
      <c r="V161" s="99"/>
      <c r="W161" s="99"/>
      <c r="X161" s="99"/>
      <c r="Y161" s="99"/>
      <c r="Z161" s="67"/>
      <c r="AA161" s="99"/>
      <c r="AB161" s="99"/>
      <c r="AC161" s="99"/>
      <c r="AD161" s="99"/>
      <c r="AE161" s="99"/>
      <c r="AF161" s="99"/>
      <c r="AG161" s="99"/>
      <c r="AH161" s="99"/>
      <c r="AI161" s="99"/>
      <c r="AJ161" s="99"/>
    </row>
    <row r="162" spans="2:36" ht="15" customHeight="1" x14ac:dyDescent="0.2">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row>
  </sheetData>
  <mergeCells count="6">
    <mergeCell ref="G33:K43"/>
    <mergeCell ref="S10:W10"/>
    <mergeCell ref="A1:E3"/>
    <mergeCell ref="G5:H7"/>
    <mergeCell ref="B7:D7"/>
    <mergeCell ref="H31:K31"/>
  </mergeCells>
  <conditionalFormatting sqref="G10">
    <cfRule type="expression" dxfId="419" priority="15">
      <formula>#REF!="No"</formula>
    </cfRule>
  </conditionalFormatting>
  <conditionalFormatting sqref="G18">
    <cfRule type="expression" dxfId="418" priority="45">
      <formula>#REF!="No"</formula>
    </cfRule>
  </conditionalFormatting>
  <conditionalFormatting sqref="G21">
    <cfRule type="expression" dxfId="417" priority="46">
      <formula>#REF!="No"</formula>
    </cfRule>
  </conditionalFormatting>
  <conditionalFormatting sqref="G22">
    <cfRule type="expression" dxfId="416" priority="35">
      <formula>#REF!="No"</formula>
    </cfRule>
  </conditionalFormatting>
  <conditionalFormatting sqref="G24">
    <cfRule type="expression" dxfId="415" priority="8">
      <formula>#REF!="No"</formula>
    </cfRule>
  </conditionalFormatting>
  <conditionalFormatting sqref="G29">
    <cfRule type="expression" dxfId="414" priority="12">
      <formula>#REF!="No"</formula>
    </cfRule>
  </conditionalFormatting>
  <conditionalFormatting sqref="G90">
    <cfRule type="expression" dxfId="413" priority="34">
      <formula>#REF!="No"</formula>
    </cfRule>
  </conditionalFormatting>
  <conditionalFormatting sqref="G114">
    <cfRule type="expression" dxfId="412" priority="33">
      <formula>#REF!="No"</formula>
    </cfRule>
  </conditionalFormatting>
  <conditionalFormatting sqref="G138">
    <cfRule type="expression" dxfId="411" priority="22">
      <formula>#REF!="No"</formula>
    </cfRule>
  </conditionalFormatting>
  <conditionalFormatting sqref="M10">
    <cfRule type="expression" dxfId="410" priority="14">
      <formula>#REF!="No"</formula>
    </cfRule>
  </conditionalFormatting>
  <conditionalFormatting sqref="M13">
    <cfRule type="expression" dxfId="409" priority="37">
      <formula>#REF!="No"</formula>
    </cfRule>
  </conditionalFormatting>
  <conditionalFormatting sqref="M18">
    <cfRule type="expression" dxfId="408" priority="42">
      <formula>#REF!="No"</formula>
    </cfRule>
  </conditionalFormatting>
  <conditionalFormatting sqref="M21:M22">
    <cfRule type="expression" dxfId="407" priority="17">
      <formula>#REF!="No"</formula>
    </cfRule>
  </conditionalFormatting>
  <conditionalFormatting sqref="M24">
    <cfRule type="expression" dxfId="406" priority="41">
      <formula>#REF!="No"</formula>
    </cfRule>
  </conditionalFormatting>
  <conditionalFormatting sqref="M29">
    <cfRule type="expression" dxfId="405" priority="9">
      <formula>#REF!="No"</formula>
    </cfRule>
  </conditionalFormatting>
  <conditionalFormatting sqref="M31">
    <cfRule type="expression" dxfId="404" priority="29">
      <formula>#REF!="No"</formula>
    </cfRule>
  </conditionalFormatting>
  <conditionalFormatting sqref="M36">
    <cfRule type="expression" dxfId="403" priority="6">
      <formula>#REF!="No"</formula>
    </cfRule>
  </conditionalFormatting>
  <conditionalFormatting sqref="M39:M40">
    <cfRule type="expression" dxfId="402" priority="10">
      <formula>#REF!="No"</formula>
    </cfRule>
  </conditionalFormatting>
  <conditionalFormatting sqref="M42">
    <cfRule type="expression" dxfId="401" priority="7">
      <formula>#REF!="No"</formula>
    </cfRule>
  </conditionalFormatting>
  <conditionalFormatting sqref="S10">
    <cfRule type="expression" dxfId="400" priority="1">
      <formula>#REF!="No"</formula>
    </cfRule>
  </conditionalFormatting>
  <conditionalFormatting sqref="S11:S13 S15">
    <cfRule type="expression" dxfId="399" priority="44">
      <formula>#REF!="No"</formula>
    </cfRule>
  </conditionalFormatting>
  <conditionalFormatting sqref="S41:S43">
    <cfRule type="expression" dxfId="398" priority="4">
      <formula>#REF!="No"</formula>
    </cfRule>
  </conditionalFormatting>
  <conditionalFormatting sqref="V42:W43">
    <cfRule type="expression" dxfId="397" priority="2">
      <formula>#REF!="No"</formula>
    </cfRule>
  </conditionalFormatting>
  <conditionalFormatting sqref="W40">
    <cfRule type="expression" dxfId="396" priority="20">
      <formula>#REF!="No"</formula>
    </cfRule>
  </conditionalFormatting>
  <conditionalFormatting sqref="AF10">
    <cfRule type="expression" dxfId="395" priority="13">
      <formula>#REF!="No"</formula>
    </cfRule>
  </conditionalFormatting>
  <conditionalFormatting sqref="AF36:AF39">
    <cfRule type="expression" dxfId="394" priority="23">
      <formula>#REF!="No"</formula>
    </cfRule>
  </conditionalFormatting>
  <conditionalFormatting sqref="AF46:AF47 AF49 AF52:AF65">
    <cfRule type="expression" dxfId="393" priority="36">
      <formula>#REF!="No"</formula>
    </cfRule>
  </conditionalFormatting>
  <conditionalFormatting sqref="AF67">
    <cfRule type="expression" dxfId="392" priority="38">
      <formula>#REF!="No"</formula>
    </cfRule>
  </conditionalFormatting>
  <dataValidations count="1">
    <dataValidation type="list" allowBlank="1" showInputMessage="1" showErrorMessage="1" sqref="AH15" xr:uid="{00000000-0002-0000-0400-000000000000}">
      <formula1>$G$181:$G$184</formula1>
    </dataValidation>
  </dataValidations>
  <hyperlinks>
    <hyperlink ref="G5:H7" location="SimpleStep2!A1" display="Done" xr:uid="{00000000-0004-0000-0400-000000000000}"/>
  </hyperlinks>
  <pageMargins left="0.25" right="0.25" top="0.75" bottom="0.75" header="0.3" footer="0.3"/>
  <pageSetup paperSize="9" scale="23" orientation="landscape" r:id="rId1"/>
  <rowBreaks count="1" manualBreakCount="1">
    <brk id="161" max="1638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Data!$G$171:$G$174</xm:f>
          </x14:formula1>
          <xm:sqref>I15 O15 O33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162"/>
  <sheetViews>
    <sheetView showGridLines="0" zoomScale="70" zoomScaleNormal="70" zoomScaleSheetLayoutView="55" workbookViewId="0">
      <selection sqref="A1:E3"/>
    </sheetView>
  </sheetViews>
  <sheetFormatPr defaultColWidth="8.7109375" defaultRowHeight="15" customHeight="1" x14ac:dyDescent="0.2"/>
  <cols>
    <col min="1" max="1" width="3.7109375" style="47" customWidth="1"/>
    <col min="2" max="2" width="8.85546875" style="62" bestFit="1" customWidth="1"/>
    <col min="3" max="3" width="8.7109375" style="481" customWidth="1"/>
    <col min="4" max="4" width="8.7109375" style="49" customWidth="1"/>
    <col min="5" max="5" width="3.7109375" style="48" customWidth="1"/>
    <col min="6" max="8" width="8.7109375" style="1"/>
    <col min="9" max="9" width="25.7109375" style="1" customWidth="1"/>
    <col min="10" max="11" width="12.7109375" style="1" customWidth="1"/>
    <col min="12" max="14" width="8.7109375" style="1"/>
    <col min="15" max="15" width="25.7109375" style="1" customWidth="1"/>
    <col min="16" max="17" width="12.7109375" style="1" customWidth="1"/>
    <col min="18" max="18" width="8.7109375" style="5"/>
    <col min="19" max="26" width="8.7109375" style="1"/>
    <col min="27" max="27" width="25.7109375" style="1" customWidth="1"/>
    <col min="28" max="33" width="8.7109375" style="1"/>
    <col min="34" max="34" width="8.7109375" style="1" customWidth="1"/>
    <col min="35" max="37" width="8.7109375" style="1"/>
    <col min="38" max="38" width="8.7109375" style="986"/>
    <col min="39" max="16384" width="8.7109375" style="1"/>
  </cols>
  <sheetData>
    <row r="1" spans="1:36" ht="15" customHeight="1" x14ac:dyDescent="0.2">
      <c r="A1" s="1022"/>
      <c r="B1" s="1022"/>
      <c r="C1" s="1022"/>
      <c r="D1" s="1022"/>
      <c r="E1" s="1022"/>
    </row>
    <row r="2" spans="1:36" ht="15" customHeight="1" x14ac:dyDescent="0.2">
      <c r="A2" s="1022"/>
      <c r="B2" s="1022"/>
      <c r="C2" s="1022"/>
      <c r="D2" s="1022"/>
      <c r="E2" s="1022"/>
      <c r="H2" s="2"/>
      <c r="I2" s="2"/>
      <c r="J2" s="2"/>
      <c r="K2" s="3"/>
      <c r="L2" s="70"/>
      <c r="M2" s="3"/>
      <c r="N2" s="2"/>
      <c r="O2" s="2"/>
      <c r="P2" s="2"/>
      <c r="Q2" s="4"/>
    </row>
    <row r="3" spans="1:36" ht="15" customHeight="1" x14ac:dyDescent="0.2">
      <c r="A3" s="1022"/>
      <c r="B3" s="1022"/>
      <c r="C3" s="1022"/>
      <c r="D3" s="1022"/>
      <c r="E3" s="1022"/>
    </row>
    <row r="4" spans="1:36" ht="15" customHeight="1" x14ac:dyDescent="0.2">
      <c r="A4" s="618"/>
      <c r="B4" s="618"/>
      <c r="C4" s="618"/>
      <c r="D4" s="618"/>
      <c r="E4" s="618"/>
    </row>
    <row r="5" spans="1:36" ht="15" customHeight="1" x14ac:dyDescent="0.2">
      <c r="A5" s="669"/>
      <c r="B5" s="62" t="s">
        <v>251</v>
      </c>
      <c r="C5" s="669"/>
      <c r="D5" s="669"/>
      <c r="E5" s="669"/>
      <c r="G5" s="1020" t="s">
        <v>201</v>
      </c>
      <c r="H5" s="1020"/>
    </row>
    <row r="6" spans="1:36" ht="15" customHeight="1" x14ac:dyDescent="0.2">
      <c r="A6" s="669"/>
      <c r="C6" s="48"/>
      <c r="E6" s="669"/>
      <c r="F6" s="8"/>
      <c r="G6" s="1020"/>
      <c r="H6" s="1020"/>
      <c r="I6" s="8"/>
      <c r="J6" s="8"/>
      <c r="K6" s="8"/>
      <c r="L6" s="10"/>
      <c r="M6" s="8"/>
      <c r="N6" s="8"/>
      <c r="O6" s="8"/>
      <c r="P6" s="8"/>
      <c r="U6" s="8"/>
      <c r="V6" s="8"/>
      <c r="Y6" s="8"/>
      <c r="Z6" s="10"/>
      <c r="AA6" s="8"/>
      <c r="AB6" s="8"/>
      <c r="AC6" s="8"/>
      <c r="AD6" s="8"/>
      <c r="AE6" s="8"/>
      <c r="AF6" s="8"/>
      <c r="AG6" s="8"/>
      <c r="AH6" s="8"/>
      <c r="AI6" s="8"/>
      <c r="AJ6" s="8"/>
    </row>
    <row r="7" spans="1:36" ht="15" customHeight="1" x14ac:dyDescent="0.2">
      <c r="A7" s="669"/>
      <c r="B7" s="1023" t="str">
        <f>IF(Step1!K12="New building",Step1!Q12,Step1!K15)</f>
        <v>1-19 Torrington Place</v>
      </c>
      <c r="C7" s="1023"/>
      <c r="D7" s="1023"/>
      <c r="E7" s="669"/>
      <c r="F7" s="8"/>
      <c r="G7" s="1020"/>
      <c r="H7" s="1020"/>
      <c r="I7" s="22"/>
      <c r="J7" s="22"/>
      <c r="K7" s="8"/>
      <c r="L7" s="10"/>
      <c r="M7" s="8"/>
      <c r="N7" s="8"/>
      <c r="O7" s="8"/>
      <c r="P7" s="8"/>
      <c r="U7" s="8"/>
      <c r="V7" s="8"/>
      <c r="Y7" s="8"/>
      <c r="Z7" s="10"/>
      <c r="AA7" s="8"/>
      <c r="AB7" s="8"/>
      <c r="AC7" s="8"/>
      <c r="AD7" s="8"/>
      <c r="AE7" s="8"/>
      <c r="AF7" s="8"/>
      <c r="AG7" s="8"/>
      <c r="AH7" s="8"/>
      <c r="AI7" s="8"/>
      <c r="AJ7" s="8"/>
    </row>
    <row r="8" spans="1:36" ht="15" customHeight="1" x14ac:dyDescent="0.2">
      <c r="B8" s="89"/>
      <c r="C8" s="48"/>
      <c r="F8" s="8"/>
      <c r="G8" s="20"/>
      <c r="H8" s="8"/>
      <c r="I8" s="8"/>
      <c r="J8" s="8"/>
      <c r="K8" s="8"/>
      <c r="L8" s="10"/>
      <c r="M8" s="8"/>
      <c r="N8" s="8"/>
      <c r="O8" s="8"/>
      <c r="P8" s="8"/>
      <c r="Q8" s="8"/>
      <c r="R8" s="9"/>
      <c r="S8" s="10"/>
      <c r="T8" s="8"/>
      <c r="U8" s="8"/>
      <c r="V8" s="8"/>
      <c r="W8" s="8"/>
      <c r="X8" s="8"/>
      <c r="Y8" s="8"/>
      <c r="Z8" s="10"/>
      <c r="AA8" s="8"/>
      <c r="AB8" s="8"/>
      <c r="AC8" s="8"/>
      <c r="AD8" s="8"/>
      <c r="AE8" s="8"/>
      <c r="AF8" s="8"/>
      <c r="AG8" s="8"/>
      <c r="AH8" s="8"/>
      <c r="AI8" s="8"/>
      <c r="AJ8" s="8"/>
    </row>
    <row r="9" spans="1:36" ht="15" customHeight="1" x14ac:dyDescent="0.2">
      <c r="B9" s="89"/>
      <c r="C9" s="48"/>
      <c r="F9" s="8"/>
      <c r="G9" s="20"/>
      <c r="H9" s="8"/>
      <c r="I9" s="8"/>
      <c r="J9" s="8"/>
      <c r="K9" s="8"/>
      <c r="L9" s="10"/>
      <c r="M9" s="8"/>
      <c r="N9" s="8"/>
      <c r="O9" s="8"/>
      <c r="P9" s="8"/>
      <c r="Q9" s="8"/>
      <c r="R9" s="9"/>
      <c r="S9" s="10"/>
      <c r="T9" s="8"/>
      <c r="U9" s="8"/>
      <c r="V9" s="8"/>
      <c r="W9" s="8"/>
      <c r="X9" s="8"/>
      <c r="Y9" s="8"/>
      <c r="Z9" s="10"/>
      <c r="AA9" s="8"/>
      <c r="AB9" s="8"/>
      <c r="AC9" s="8"/>
      <c r="AD9" s="8"/>
      <c r="AE9" s="8"/>
      <c r="AF9" s="8"/>
      <c r="AG9" s="8"/>
      <c r="AH9" s="8"/>
      <c r="AI9" s="8"/>
      <c r="AJ9" s="8"/>
    </row>
    <row r="10" spans="1:36" ht="15" customHeight="1" x14ac:dyDescent="0.2">
      <c r="B10" s="480"/>
      <c r="C10" s="48"/>
      <c r="F10" s="8"/>
      <c r="G10" s="817" t="s">
        <v>573</v>
      </c>
      <c r="H10" s="297"/>
      <c r="I10" s="297"/>
      <c r="J10" s="297"/>
      <c r="K10" s="298"/>
      <c r="M10" s="339" t="s">
        <v>525</v>
      </c>
      <c r="N10" s="299"/>
      <c r="O10" s="299"/>
      <c r="P10" s="299"/>
      <c r="Q10" s="300"/>
      <c r="R10" s="9"/>
      <c r="S10" s="1019" t="s">
        <v>496</v>
      </c>
      <c r="T10" s="1019"/>
      <c r="U10" s="1019"/>
      <c r="V10" s="1019"/>
      <c r="W10" s="1019"/>
      <c r="X10" s="8"/>
      <c r="Y10" s="8"/>
      <c r="Z10" s="8"/>
      <c r="AA10" s="8"/>
      <c r="AB10" s="8"/>
      <c r="AC10" s="8"/>
      <c r="AD10" s="8"/>
      <c r="AE10" s="8"/>
      <c r="AF10" s="521"/>
      <c r="AG10" s="8"/>
      <c r="AH10" s="8"/>
      <c r="AI10" s="8"/>
      <c r="AJ10" s="250"/>
    </row>
    <row r="11" spans="1:36" ht="15" customHeight="1" thickBot="1" x14ac:dyDescent="0.25">
      <c r="B11" s="195"/>
      <c r="C11" s="48"/>
      <c r="F11" s="8"/>
      <c r="G11" s="818" t="s">
        <v>381</v>
      </c>
      <c r="H11" s="220"/>
      <c r="I11" s="220"/>
      <c r="J11" s="304">
        <v>0</v>
      </c>
      <c r="K11" s="244">
        <f>J11</f>
        <v>0</v>
      </c>
      <c r="M11" s="232" t="s">
        <v>381</v>
      </c>
      <c r="N11" s="220"/>
      <c r="O11" s="220"/>
      <c r="P11" s="305">
        <v>0</v>
      </c>
      <c r="Q11" s="244">
        <f>P11</f>
        <v>0</v>
      </c>
      <c r="R11" s="9"/>
      <c r="S11" s="7"/>
      <c r="T11" s="8"/>
      <c r="U11" s="8"/>
      <c r="V11" s="8"/>
      <c r="W11" s="11"/>
      <c r="X11" s="8"/>
      <c r="Y11" s="8"/>
      <c r="Z11" s="10"/>
      <c r="AA11" s="8"/>
      <c r="AB11" s="8"/>
      <c r="AC11" s="8"/>
      <c r="AD11" s="8"/>
      <c r="AE11" s="8"/>
    </row>
    <row r="12" spans="1:36" ht="15" customHeight="1" thickBot="1" x14ac:dyDescent="0.25">
      <c r="B12" s="480"/>
      <c r="F12" s="8"/>
      <c r="G12" s="889"/>
      <c r="H12" s="188"/>
      <c r="I12" s="188"/>
      <c r="J12" s="188"/>
      <c r="K12" s="522"/>
      <c r="M12" s="188"/>
      <c r="N12" s="188"/>
      <c r="O12" s="188"/>
      <c r="P12" s="188"/>
      <c r="Q12" s="522"/>
      <c r="R12" s="9"/>
      <c r="S12" s="10"/>
      <c r="T12" s="8"/>
      <c r="U12" s="8"/>
      <c r="V12" s="8"/>
      <c r="W12" s="11"/>
      <c r="X12" s="8"/>
      <c r="Y12" s="8"/>
      <c r="Z12" s="10"/>
      <c r="AA12" s="8"/>
      <c r="AB12" s="8"/>
      <c r="AC12" s="8"/>
      <c r="AD12" s="8"/>
      <c r="AE12" s="8"/>
    </row>
    <row r="13" spans="1:36" ht="15" customHeight="1" thickBot="1" x14ac:dyDescent="0.25">
      <c r="B13" s="119"/>
      <c r="C13" s="114"/>
      <c r="F13" s="8"/>
      <c r="G13" s="889"/>
      <c r="H13" s="188"/>
      <c r="I13" s="188"/>
      <c r="J13" s="188"/>
      <c r="K13" s="522"/>
      <c r="M13" s="167" t="s">
        <v>0</v>
      </c>
      <c r="N13" s="171"/>
      <c r="O13" s="171"/>
      <c r="P13" s="188"/>
      <c r="Q13" s="1008" t="e">
        <f>1-Q11/K11</f>
        <v>#DIV/0!</v>
      </c>
      <c r="R13" s="9"/>
      <c r="S13" s="7"/>
      <c r="T13" s="8"/>
      <c r="U13" s="8"/>
      <c r="V13" s="8"/>
      <c r="W13" s="11"/>
      <c r="X13" s="8"/>
      <c r="Y13" s="8"/>
      <c r="Z13" s="10"/>
      <c r="AA13" s="8"/>
      <c r="AB13" s="8"/>
      <c r="AC13" s="8"/>
      <c r="AD13" s="8"/>
      <c r="AE13" s="8"/>
    </row>
    <row r="14" spans="1:36" ht="15" customHeight="1" x14ac:dyDescent="0.2">
      <c r="B14" s="484"/>
      <c r="C14" s="48"/>
      <c r="F14" s="8"/>
      <c r="G14" s="866"/>
      <c r="H14" s="523"/>
      <c r="I14" s="523"/>
      <c r="J14" s="523"/>
      <c r="K14" s="524"/>
      <c r="M14" s="523"/>
      <c r="N14" s="523"/>
      <c r="O14" s="523"/>
      <c r="P14" s="523"/>
      <c r="Q14" s="524"/>
      <c r="R14" s="9"/>
      <c r="S14" s="10"/>
      <c r="T14" s="8"/>
      <c r="U14" s="8"/>
      <c r="V14" s="8"/>
      <c r="W14" s="11"/>
      <c r="X14" s="8"/>
      <c r="Y14" s="8"/>
      <c r="Z14" s="10"/>
      <c r="AA14" s="8"/>
      <c r="AB14" s="8"/>
      <c r="AC14" s="8"/>
      <c r="AD14" s="8"/>
      <c r="AE14" s="8"/>
    </row>
    <row r="15" spans="1:36" ht="15" customHeight="1" thickBot="1" x14ac:dyDescent="0.25">
      <c r="B15" s="120"/>
      <c r="C15" s="48"/>
      <c r="F15" s="8"/>
      <c r="G15" s="826" t="s">
        <v>283</v>
      </c>
      <c r="H15" s="60"/>
      <c r="I15" s="357" t="s">
        <v>252</v>
      </c>
      <c r="J15" s="637"/>
      <c r="K15" s="525"/>
      <c r="M15" s="17" t="s">
        <v>283</v>
      </c>
      <c r="N15" s="60"/>
      <c r="O15" s="357" t="s">
        <v>252</v>
      </c>
      <c r="P15" s="637"/>
      <c r="Q15" s="525"/>
      <c r="R15" s="9"/>
      <c r="S15" s="10"/>
      <c r="T15" s="8"/>
      <c r="U15" s="8"/>
      <c r="V15" s="8"/>
      <c r="W15" s="11"/>
      <c r="X15" s="8"/>
      <c r="Y15" s="8"/>
      <c r="Z15" s="10"/>
      <c r="AA15" s="8"/>
      <c r="AB15" s="8"/>
      <c r="AC15" s="8"/>
      <c r="AD15" s="8"/>
      <c r="AE15" s="8"/>
    </row>
    <row r="16" spans="1:36" ht="15" customHeight="1" x14ac:dyDescent="0.2">
      <c r="B16" s="120"/>
      <c r="C16" s="48"/>
      <c r="F16" s="8"/>
      <c r="G16" s="896"/>
      <c r="H16" s="526"/>
      <c r="I16" s="526"/>
      <c r="J16" s="526"/>
      <c r="K16" s="527"/>
      <c r="M16" s="526"/>
      <c r="N16" s="526"/>
      <c r="O16" s="526"/>
      <c r="P16" s="526"/>
      <c r="Q16" s="527"/>
      <c r="R16" s="9"/>
      <c r="S16" s="10"/>
      <c r="T16" s="8"/>
      <c r="U16" s="8"/>
      <c r="V16" s="8"/>
      <c r="W16" s="8"/>
      <c r="X16" s="8"/>
      <c r="Y16" s="8"/>
      <c r="Z16" s="10"/>
      <c r="AA16" s="8"/>
      <c r="AB16" s="8"/>
      <c r="AC16" s="8"/>
      <c r="AD16" s="8"/>
      <c r="AE16" s="8"/>
    </row>
    <row r="17" spans="2:36" ht="15" customHeight="1" thickBot="1" x14ac:dyDescent="0.25">
      <c r="B17" s="120"/>
      <c r="C17" s="48"/>
      <c r="F17" s="8"/>
      <c r="G17" s="818" t="s">
        <v>386</v>
      </c>
      <c r="H17" s="310"/>
      <c r="I17" s="310"/>
      <c r="J17" s="310"/>
      <c r="K17" s="528"/>
      <c r="M17" s="232" t="s">
        <v>386</v>
      </c>
      <c r="N17" s="310"/>
      <c r="O17" s="310"/>
      <c r="P17" s="310"/>
      <c r="Q17" s="528"/>
      <c r="U17" s="8"/>
      <c r="V17" s="8"/>
      <c r="AC17" s="8"/>
      <c r="AD17" s="8"/>
      <c r="AE17" s="8"/>
    </row>
    <row r="18" spans="2:36" ht="15" customHeight="1" thickBot="1" x14ac:dyDescent="0.25">
      <c r="B18" s="120"/>
      <c r="C18" s="48"/>
      <c r="F18" s="8"/>
      <c r="G18" s="819" t="s">
        <v>205</v>
      </c>
      <c r="H18" s="171"/>
      <c r="I18" s="175"/>
      <c r="J18" s="184">
        <v>0</v>
      </c>
      <c r="K18" s="247">
        <f>J18</f>
        <v>0</v>
      </c>
      <c r="M18" s="170" t="s">
        <v>205</v>
      </c>
      <c r="N18" s="171"/>
      <c r="O18" s="175"/>
      <c r="P18" s="184">
        <v>0</v>
      </c>
      <c r="Q18" s="247">
        <f>P18</f>
        <v>0</v>
      </c>
      <c r="U18" s="8"/>
      <c r="V18" s="8"/>
      <c r="AC18" s="8"/>
      <c r="AD18" s="8"/>
      <c r="AE18" s="8"/>
    </row>
    <row r="19" spans="2:36" ht="15" customHeight="1" thickBot="1" x14ac:dyDescent="0.25">
      <c r="B19" s="120"/>
      <c r="C19" s="48"/>
      <c r="F19" s="8"/>
      <c r="G19" s="819" t="s">
        <v>531</v>
      </c>
      <c r="H19" s="171"/>
      <c r="I19" s="175"/>
      <c r="J19" s="172">
        <v>0</v>
      </c>
      <c r="K19" s="243">
        <f>J19</f>
        <v>0</v>
      </c>
      <c r="M19" s="170" t="s">
        <v>531</v>
      </c>
      <c r="N19" s="171"/>
      <c r="O19" s="188"/>
      <c r="P19" s="174">
        <v>0</v>
      </c>
      <c r="Q19" s="243">
        <f>P19</f>
        <v>0</v>
      </c>
      <c r="U19" s="8"/>
      <c r="V19" s="8"/>
      <c r="AC19" s="8"/>
      <c r="AD19" s="8"/>
      <c r="AE19" s="8"/>
    </row>
    <row r="20" spans="2:36" ht="15" customHeight="1" thickBot="1" x14ac:dyDescent="0.25">
      <c r="B20" s="120"/>
      <c r="C20" s="48"/>
      <c r="F20" s="8"/>
      <c r="G20" s="872"/>
      <c r="H20" s="60"/>
      <c r="I20" s="60"/>
      <c r="J20" s="60"/>
      <c r="K20" s="60"/>
      <c r="M20" s="60"/>
      <c r="N20" s="60"/>
      <c r="O20" s="60"/>
      <c r="P20" s="60"/>
      <c r="Q20" s="60"/>
      <c r="U20" s="8"/>
      <c r="V20" s="8"/>
      <c r="AC20" s="8"/>
      <c r="AD20" s="8"/>
      <c r="AE20" s="8"/>
    </row>
    <row r="21" spans="2:36" ht="15" customHeight="1" thickBot="1" x14ac:dyDescent="0.25">
      <c r="B21" s="120"/>
      <c r="C21" s="48"/>
      <c r="F21" s="8"/>
      <c r="G21" s="819" t="s">
        <v>16</v>
      </c>
      <c r="H21" s="171"/>
      <c r="I21" s="177"/>
      <c r="J21" s="172">
        <v>0</v>
      </c>
      <c r="K21" s="243">
        <f>J21</f>
        <v>0</v>
      </c>
      <c r="M21" s="170" t="s">
        <v>16</v>
      </c>
      <c r="N21" s="171"/>
      <c r="O21" s="177"/>
      <c r="P21" s="174">
        <v>0</v>
      </c>
      <c r="Q21" s="243">
        <f>P21</f>
        <v>0</v>
      </c>
      <c r="U21" s="8"/>
      <c r="V21" s="8"/>
      <c r="AC21" s="8"/>
      <c r="AD21" s="8"/>
      <c r="AE21" s="8"/>
    </row>
    <row r="22" spans="2:36" ht="15" customHeight="1" thickBot="1" x14ac:dyDescent="0.25">
      <c r="F22" s="8"/>
      <c r="G22" s="819" t="s">
        <v>425</v>
      </c>
      <c r="H22" s="171"/>
      <c r="I22" s="171"/>
      <c r="J22" s="172">
        <v>0</v>
      </c>
      <c r="K22" s="243">
        <f>J22</f>
        <v>0</v>
      </c>
      <c r="M22" s="170" t="s">
        <v>425</v>
      </c>
      <c r="N22" s="171"/>
      <c r="O22" s="171"/>
      <c r="P22" s="172">
        <v>0</v>
      </c>
      <c r="Q22" s="243">
        <f>P22</f>
        <v>0</v>
      </c>
      <c r="U22" s="8"/>
      <c r="V22" s="8"/>
      <c r="AC22" s="8"/>
      <c r="AD22" s="8"/>
      <c r="AE22" s="8"/>
    </row>
    <row r="23" spans="2:36" ht="15" customHeight="1" thickBot="1" x14ac:dyDescent="0.25">
      <c r="F23" s="8"/>
      <c r="G23" s="872" t="s">
        <v>385</v>
      </c>
      <c r="H23" s="60"/>
      <c r="I23" s="60"/>
      <c r="J23" s="658">
        <v>0</v>
      </c>
      <c r="K23" s="243">
        <f>J23</f>
        <v>0</v>
      </c>
      <c r="M23" s="397" t="s">
        <v>385</v>
      </c>
      <c r="N23" s="60"/>
      <c r="O23" s="60"/>
      <c r="P23" s="658">
        <v>0</v>
      </c>
      <c r="Q23" s="243">
        <f>P23</f>
        <v>0</v>
      </c>
      <c r="U23" s="8"/>
      <c r="V23" s="8"/>
      <c r="AC23" s="8"/>
      <c r="AD23" s="8"/>
      <c r="AE23" s="8"/>
    </row>
    <row r="24" spans="2:36" ht="15" customHeight="1" thickBot="1" x14ac:dyDescent="0.25">
      <c r="B24" s="119"/>
      <c r="C24" s="114"/>
      <c r="F24" s="8"/>
      <c r="G24" s="819" t="s">
        <v>532</v>
      </c>
      <c r="H24" s="641"/>
      <c r="I24" s="643"/>
      <c r="J24" s="649">
        <v>0</v>
      </c>
      <c r="K24" s="642">
        <f>J24</f>
        <v>0</v>
      </c>
      <c r="M24" s="170" t="s">
        <v>532</v>
      </c>
      <c r="N24" s="171"/>
      <c r="O24" s="175"/>
      <c r="P24" s="174">
        <v>0</v>
      </c>
      <c r="Q24" s="243">
        <f>P24</f>
        <v>0</v>
      </c>
      <c r="U24" s="8"/>
      <c r="V24" s="8"/>
      <c r="AC24" s="8"/>
      <c r="AD24" s="8"/>
      <c r="AE24" s="8"/>
    </row>
    <row r="25" spans="2:36" ht="15" customHeight="1" thickBot="1" x14ac:dyDescent="0.25">
      <c r="B25" s="484"/>
      <c r="C25" s="114"/>
      <c r="F25" s="8"/>
      <c r="G25" s="891"/>
      <c r="H25" s="176"/>
      <c r="I25" s="340"/>
      <c r="J25" s="171"/>
      <c r="K25" s="341"/>
      <c r="M25" s="243"/>
      <c r="N25" s="176"/>
      <c r="O25" s="340"/>
      <c r="P25" s="356"/>
      <c r="Q25" s="341"/>
      <c r="U25" s="8"/>
      <c r="V25" s="8"/>
      <c r="AC25" s="8"/>
      <c r="AD25" s="8"/>
      <c r="AE25" s="8"/>
    </row>
    <row r="26" spans="2:36" ht="15" customHeight="1" x14ac:dyDescent="0.2">
      <c r="B26" s="89"/>
      <c r="C26" s="48"/>
      <c r="F26" s="8"/>
      <c r="K26" s="529"/>
      <c r="Q26" s="529"/>
      <c r="U26" s="8"/>
      <c r="V26" s="8"/>
      <c r="AC26" s="8"/>
      <c r="AD26" s="8"/>
      <c r="AE26" s="8"/>
    </row>
    <row r="27" spans="2:36" ht="15" customHeight="1" x14ac:dyDescent="0.2">
      <c r="B27" s="89"/>
      <c r="C27" s="48"/>
      <c r="F27" s="8"/>
      <c r="G27" s="10"/>
      <c r="H27" s="8"/>
      <c r="I27" s="8"/>
      <c r="J27" s="96"/>
      <c r="K27" s="250"/>
      <c r="Q27" s="529"/>
      <c r="U27" s="8"/>
      <c r="V27" s="8"/>
      <c r="AC27" s="8"/>
      <c r="AD27" s="8"/>
      <c r="AE27" s="8"/>
    </row>
    <row r="28" spans="2:36" ht="15" customHeight="1" thickBot="1" x14ac:dyDescent="0.25">
      <c r="B28" s="89"/>
      <c r="C28" s="48"/>
      <c r="F28" s="8"/>
      <c r="K28" s="529"/>
      <c r="O28" s="574"/>
      <c r="Q28" s="529"/>
      <c r="U28" s="8"/>
      <c r="V28" s="8"/>
      <c r="AC28" s="8"/>
      <c r="AD28" s="8"/>
      <c r="AE28" s="8"/>
      <c r="AF28" s="66"/>
      <c r="AG28" s="8"/>
      <c r="AH28" s="8"/>
      <c r="AI28" s="96"/>
      <c r="AJ28" s="10"/>
    </row>
    <row r="29" spans="2:36" ht="15" customHeight="1" thickBot="1" x14ac:dyDescent="0.25">
      <c r="B29" s="89"/>
      <c r="C29" s="89"/>
      <c r="D29" s="89"/>
      <c r="F29" s="8"/>
      <c r="G29" s="339" t="s">
        <v>489</v>
      </c>
      <c r="H29" s="297"/>
      <c r="I29" s="297"/>
      <c r="J29" s="297"/>
      <c r="K29" s="298"/>
      <c r="M29" s="873" t="s">
        <v>530</v>
      </c>
      <c r="N29" s="405"/>
      <c r="O29" s="406"/>
      <c r="P29" s="406"/>
      <c r="Q29" s="337"/>
      <c r="U29" s="8"/>
      <c r="V29" s="8"/>
      <c r="AC29" s="8"/>
      <c r="AD29" s="8"/>
      <c r="AE29" s="8"/>
    </row>
    <row r="30" spans="2:36" ht="15" customHeight="1" thickBot="1" x14ac:dyDescent="0.25">
      <c r="B30" s="89"/>
      <c r="C30" s="89"/>
      <c r="D30" s="89"/>
      <c r="F30" s="8"/>
      <c r="G30" s="69"/>
      <c r="H30" s="644"/>
      <c r="I30" s="644"/>
      <c r="J30" s="644"/>
      <c r="K30" s="644"/>
      <c r="M30" s="830" t="s">
        <v>381</v>
      </c>
      <c r="N30" s="220"/>
      <c r="O30" s="171"/>
      <c r="P30" s="305">
        <v>0</v>
      </c>
      <c r="Q30" s="244">
        <f>P30</f>
        <v>0</v>
      </c>
      <c r="U30" s="8"/>
      <c r="V30" s="8"/>
      <c r="AC30" s="8"/>
      <c r="AD30" s="8"/>
      <c r="AE30" s="8"/>
    </row>
    <row r="31" spans="2:36" ht="15" customHeight="1" thickBot="1" x14ac:dyDescent="0.25">
      <c r="B31" s="89"/>
      <c r="C31" s="89"/>
      <c r="D31" s="89"/>
      <c r="F31" s="8"/>
      <c r="G31" s="69" t="s">
        <v>527</v>
      </c>
      <c r="H31" s="1057" t="s">
        <v>534</v>
      </c>
      <c r="I31" s="1057"/>
      <c r="J31" s="1057"/>
      <c r="K31" s="1057"/>
      <c r="M31" s="832" t="s">
        <v>0</v>
      </c>
      <c r="N31" s="171"/>
      <c r="O31" s="171"/>
      <c r="P31" s="188"/>
      <c r="Q31" s="257" t="e">
        <f>1-Q30/K11</f>
        <v>#DIV/0!</v>
      </c>
      <c r="U31" s="8"/>
      <c r="V31" s="8"/>
      <c r="AC31" s="8"/>
      <c r="AD31" s="8"/>
      <c r="AE31" s="8"/>
      <c r="AF31" s="8"/>
      <c r="AG31" s="8"/>
      <c r="AH31" s="530"/>
      <c r="AI31" s="8"/>
      <c r="AJ31" s="10"/>
    </row>
    <row r="32" spans="2:36" ht="15" customHeight="1" x14ac:dyDescent="0.2">
      <c r="B32" s="89"/>
      <c r="C32" s="89"/>
      <c r="D32" s="89"/>
      <c r="E32" s="55"/>
      <c r="F32" s="8"/>
      <c r="G32" s="69"/>
      <c r="H32" s="644"/>
      <c r="I32" s="644"/>
      <c r="J32" s="644"/>
      <c r="K32" s="644"/>
      <c r="M32" s="885"/>
      <c r="N32" s="523"/>
      <c r="O32" s="523"/>
      <c r="P32" s="523"/>
      <c r="Q32" s="524"/>
      <c r="U32" s="8"/>
      <c r="V32" s="8"/>
      <c r="AC32" s="8"/>
      <c r="AD32" s="8"/>
      <c r="AE32" s="8"/>
      <c r="AH32" s="530"/>
    </row>
    <row r="33" spans="2:36" ht="15" customHeight="1" thickBot="1" x14ac:dyDescent="0.25">
      <c r="B33" s="89"/>
      <c r="C33" s="89"/>
      <c r="D33" s="89"/>
      <c r="F33" s="8"/>
      <c r="G33" s="1057" t="s">
        <v>533</v>
      </c>
      <c r="H33" s="1057"/>
      <c r="I33" s="1057"/>
      <c r="J33" s="1057"/>
      <c r="K33" s="1057"/>
      <c r="M33" s="839" t="s">
        <v>283</v>
      </c>
      <c r="N33" s="60"/>
      <c r="O33" s="357" t="s">
        <v>252</v>
      </c>
      <c r="P33" s="637"/>
      <c r="Q33" s="525"/>
      <c r="U33" s="8"/>
      <c r="V33" s="8"/>
      <c r="AC33" s="8"/>
      <c r="AD33" s="8"/>
      <c r="AE33" s="8"/>
    </row>
    <row r="34" spans="2:36" ht="15" customHeight="1" x14ac:dyDescent="0.2">
      <c r="B34" s="89"/>
      <c r="C34" s="89"/>
      <c r="D34" s="89"/>
      <c r="F34" s="8"/>
      <c r="G34" s="1057"/>
      <c r="H34" s="1057"/>
      <c r="I34" s="1057"/>
      <c r="J34" s="1057"/>
      <c r="K34" s="1057"/>
      <c r="M34" s="888"/>
      <c r="N34" s="526"/>
      <c r="O34" s="526"/>
      <c r="P34" s="526"/>
      <c r="Q34" s="527"/>
      <c r="U34" s="8"/>
      <c r="V34" s="8"/>
      <c r="AC34" s="8"/>
      <c r="AD34" s="8"/>
      <c r="AE34" s="8"/>
      <c r="AF34" s="66"/>
      <c r="AG34" s="10"/>
      <c r="AH34" s="10"/>
      <c r="AI34" s="8"/>
      <c r="AJ34" s="10"/>
    </row>
    <row r="35" spans="2:36" ht="15" customHeight="1" thickBot="1" x14ac:dyDescent="0.25">
      <c r="B35" s="89"/>
      <c r="C35" s="89"/>
      <c r="D35" s="89"/>
      <c r="F35" s="8"/>
      <c r="G35" s="1057"/>
      <c r="H35" s="1057"/>
      <c r="I35" s="1057"/>
      <c r="J35" s="1057"/>
      <c r="K35" s="1057"/>
      <c r="M35" s="830" t="s">
        <v>386</v>
      </c>
      <c r="N35" s="310"/>
      <c r="O35" s="221"/>
      <c r="P35" s="310"/>
      <c r="Q35" s="528"/>
      <c r="U35" s="8"/>
      <c r="V35" s="8"/>
      <c r="AC35" s="8"/>
      <c r="AD35" s="8"/>
      <c r="AE35" s="8"/>
      <c r="AF35" s="8"/>
      <c r="AG35" s="8"/>
      <c r="AI35" s="8"/>
      <c r="AJ35" s="10"/>
    </row>
    <row r="36" spans="2:36" ht="15" customHeight="1" thickBot="1" x14ac:dyDescent="0.25">
      <c r="B36" s="89"/>
      <c r="C36" s="89"/>
      <c r="D36" s="89"/>
      <c r="E36" s="55"/>
      <c r="F36" s="8"/>
      <c r="G36" s="1057"/>
      <c r="H36" s="1057"/>
      <c r="I36" s="1057"/>
      <c r="J36" s="1057"/>
      <c r="K36" s="1057"/>
      <c r="M36" s="837" t="s">
        <v>205</v>
      </c>
      <c r="N36" s="171"/>
      <c r="O36" s="175"/>
      <c r="P36" s="184">
        <v>0</v>
      </c>
      <c r="Q36" s="247">
        <f>P36</f>
        <v>0</v>
      </c>
      <c r="U36" s="8"/>
      <c r="V36" s="8"/>
      <c r="AC36" s="8"/>
      <c r="AD36" s="8"/>
      <c r="AE36" s="8"/>
      <c r="AF36" s="66"/>
      <c r="AG36" s="8"/>
      <c r="AH36" s="8"/>
      <c r="AI36" s="8"/>
      <c r="AJ36" s="93"/>
    </row>
    <row r="37" spans="2:36" ht="15" customHeight="1" thickBot="1" x14ac:dyDescent="0.25">
      <c r="B37" s="89"/>
      <c r="C37" s="89"/>
      <c r="D37" s="89"/>
      <c r="F37" s="8"/>
      <c r="G37" s="1057"/>
      <c r="H37" s="1057"/>
      <c r="I37" s="1057"/>
      <c r="J37" s="1057"/>
      <c r="K37" s="1057"/>
      <c r="M37" s="837" t="s">
        <v>531</v>
      </c>
      <c r="N37" s="171"/>
      <c r="O37" s="175"/>
      <c r="P37" s="174">
        <v>0</v>
      </c>
      <c r="Q37" s="243">
        <f>P37</f>
        <v>0</v>
      </c>
      <c r="R37" s="9"/>
      <c r="S37" s="10"/>
      <c r="T37" s="8"/>
      <c r="U37" s="8"/>
      <c r="V37" s="8"/>
      <c r="AB37" s="8"/>
      <c r="AC37" s="8"/>
      <c r="AD37" s="8"/>
      <c r="AE37" s="8"/>
      <c r="AF37" s="66"/>
      <c r="AG37" s="8"/>
      <c r="AH37" s="8"/>
      <c r="AI37" s="8"/>
      <c r="AJ37" s="93"/>
    </row>
    <row r="38" spans="2:36" ht="15" customHeight="1" thickBot="1" x14ac:dyDescent="0.25">
      <c r="B38" s="89"/>
      <c r="C38" s="89"/>
      <c r="D38" s="89"/>
      <c r="F38" s="8"/>
      <c r="G38" s="1057"/>
      <c r="H38" s="1057"/>
      <c r="I38" s="1057"/>
      <c r="J38" s="1057"/>
      <c r="K38" s="1057"/>
      <c r="M38" s="864"/>
      <c r="N38" s="60"/>
      <c r="O38" s="60"/>
      <c r="P38" s="60"/>
      <c r="Q38" s="60"/>
      <c r="R38" s="9"/>
      <c r="S38" s="10"/>
      <c r="T38" s="8"/>
      <c r="U38" s="8"/>
      <c r="V38" s="8"/>
      <c r="AB38" s="8"/>
      <c r="AC38" s="8"/>
      <c r="AD38" s="8"/>
      <c r="AE38" s="8"/>
      <c r="AF38" s="66"/>
      <c r="AG38" s="8"/>
      <c r="AH38" s="8"/>
      <c r="AI38" s="8"/>
      <c r="AJ38" s="93"/>
    </row>
    <row r="39" spans="2:36" ht="15" customHeight="1" thickBot="1" x14ac:dyDescent="0.25">
      <c r="B39" s="89"/>
      <c r="C39" s="89"/>
      <c r="D39" s="89"/>
      <c r="F39" s="8"/>
      <c r="G39" s="1057"/>
      <c r="H39" s="1057"/>
      <c r="I39" s="1057"/>
      <c r="J39" s="1057"/>
      <c r="K39" s="1057"/>
      <c r="L39" s="10"/>
      <c r="M39" s="837" t="s">
        <v>16</v>
      </c>
      <c r="N39" s="171"/>
      <c r="O39" s="177"/>
      <c r="P39" s="174">
        <v>0</v>
      </c>
      <c r="Q39" s="243">
        <f>P39</f>
        <v>0</v>
      </c>
      <c r="R39" s="9"/>
      <c r="S39" s="10"/>
      <c r="T39" s="8"/>
      <c r="U39" s="8"/>
      <c r="V39" s="8"/>
      <c r="AB39" s="8"/>
      <c r="AC39" s="8"/>
      <c r="AD39" s="8"/>
      <c r="AE39" s="8"/>
      <c r="AF39" s="66"/>
      <c r="AG39" s="8"/>
      <c r="AH39" s="8"/>
      <c r="AI39" s="8"/>
      <c r="AJ39" s="93"/>
    </row>
    <row r="40" spans="2:36" ht="15" customHeight="1" thickBot="1" x14ac:dyDescent="0.25">
      <c r="B40" s="89"/>
      <c r="C40" s="89"/>
      <c r="D40" s="89"/>
      <c r="F40" s="8"/>
      <c r="G40" s="1057"/>
      <c r="H40" s="1057"/>
      <c r="I40" s="1057"/>
      <c r="J40" s="1057"/>
      <c r="K40" s="1057"/>
      <c r="M40" s="837" t="s">
        <v>425</v>
      </c>
      <c r="N40" s="171"/>
      <c r="O40" s="171"/>
      <c r="P40" s="172">
        <v>0</v>
      </c>
      <c r="Q40" s="243">
        <f>P40</f>
        <v>0</v>
      </c>
      <c r="R40" s="9"/>
      <c r="S40" s="10"/>
      <c r="T40" s="8"/>
      <c r="U40" s="8"/>
      <c r="V40" s="8"/>
      <c r="W40" s="531"/>
      <c r="AB40" s="8"/>
      <c r="AC40" s="8"/>
      <c r="AD40" s="8"/>
      <c r="AE40" s="8"/>
      <c r="AF40" s="8"/>
      <c r="AG40" s="8"/>
      <c r="AH40" s="8"/>
      <c r="AI40" s="68"/>
      <c r="AJ40" s="10"/>
    </row>
    <row r="41" spans="2:36" ht="15" customHeight="1" thickBot="1" x14ac:dyDescent="0.25">
      <c r="B41" s="89"/>
      <c r="C41" s="89"/>
      <c r="D41" s="89"/>
      <c r="F41" s="8"/>
      <c r="G41" s="1057"/>
      <c r="H41" s="1057"/>
      <c r="I41" s="1057"/>
      <c r="J41" s="1057"/>
      <c r="K41" s="1057"/>
      <c r="M41" s="864" t="s">
        <v>385</v>
      </c>
      <c r="N41" s="60"/>
      <c r="O41" s="60"/>
      <c r="P41" s="658">
        <v>0</v>
      </c>
      <c r="Q41" s="243">
        <f>P41</f>
        <v>0</v>
      </c>
      <c r="R41" s="9"/>
      <c r="S41" s="899" t="s">
        <v>316</v>
      </c>
      <c r="T41" s="659"/>
      <c r="U41" s="659"/>
      <c r="V41" s="659"/>
      <c r="W41" s="659"/>
      <c r="AB41" s="8"/>
      <c r="AC41" s="8"/>
      <c r="AD41" s="8"/>
      <c r="AE41" s="8"/>
    </row>
    <row r="42" spans="2:36" ht="15" customHeight="1" thickBot="1" x14ac:dyDescent="0.25">
      <c r="B42" s="89"/>
      <c r="C42" s="89"/>
      <c r="D42" s="89"/>
      <c r="F42" s="8"/>
      <c r="G42" s="1057"/>
      <c r="H42" s="1057"/>
      <c r="I42" s="1057"/>
      <c r="J42" s="1057"/>
      <c r="K42" s="1057"/>
      <c r="L42" s="10"/>
      <c r="M42" s="837" t="s">
        <v>532</v>
      </c>
      <c r="N42" s="171"/>
      <c r="O42" s="175"/>
      <c r="P42" s="174">
        <v>0</v>
      </c>
      <c r="Q42" s="243">
        <f>P42</f>
        <v>0</v>
      </c>
      <c r="R42" s="9"/>
      <c r="S42" s="532" t="s">
        <v>541</v>
      </c>
      <c r="T42" s="60"/>
      <c r="U42" s="13"/>
      <c r="V42" s="661" t="e">
        <f>J72</f>
        <v>#N/A</v>
      </c>
      <c r="W42" s="662" t="s">
        <v>542</v>
      </c>
      <c r="AB42" s="8"/>
      <c r="AC42" s="8"/>
      <c r="AD42" s="8"/>
      <c r="AE42" s="8"/>
    </row>
    <row r="43" spans="2:36" ht="15" customHeight="1" thickBot="1" x14ac:dyDescent="0.25">
      <c r="C43" s="486"/>
      <c r="D43" s="486"/>
      <c r="F43" s="8"/>
      <c r="G43" s="1057"/>
      <c r="H43" s="1057"/>
      <c r="I43" s="1057"/>
      <c r="J43" s="1057"/>
      <c r="K43" s="1057"/>
      <c r="L43" s="10"/>
      <c r="M43" s="895"/>
      <c r="N43" s="176"/>
      <c r="O43" s="340"/>
      <c r="P43" s="171"/>
      <c r="Q43" s="341"/>
      <c r="R43" s="9"/>
      <c r="S43" s="906" t="s">
        <v>594</v>
      </c>
      <c r="T43" s="864"/>
      <c r="U43" s="864"/>
      <c r="V43" s="907" t="e">
        <f>J73</f>
        <v>#N/A</v>
      </c>
      <c r="W43" s="908" t="s">
        <v>542</v>
      </c>
      <c r="AB43" s="8"/>
      <c r="AC43" s="8"/>
      <c r="AD43" s="8"/>
      <c r="AE43" s="8"/>
      <c r="AF43" s="9"/>
      <c r="AG43" s="9"/>
      <c r="AH43" s="9"/>
      <c r="AI43" s="9"/>
      <c r="AJ43" s="9"/>
    </row>
    <row r="44" spans="2:36" ht="15" customHeight="1" x14ac:dyDescent="0.2">
      <c r="B44" s="89"/>
      <c r="C44" s="48"/>
      <c r="F44" s="8"/>
      <c r="G44" s="10"/>
      <c r="H44" s="8"/>
      <c r="I44" s="8"/>
      <c r="J44" s="8"/>
      <c r="K44" s="45"/>
      <c r="L44" s="10"/>
      <c r="M44" s="46"/>
      <c r="N44" s="46"/>
      <c r="O44" s="8"/>
      <c r="P44" s="8"/>
      <c r="Q44" s="46"/>
      <c r="R44" s="9"/>
      <c r="S44" s="10"/>
      <c r="T44" s="8"/>
      <c r="U44" s="8"/>
      <c r="V44" s="8"/>
      <c r="AB44" s="8"/>
      <c r="AC44" s="8"/>
      <c r="AD44" s="8"/>
      <c r="AE44" s="8"/>
      <c r="AF44" s="9"/>
      <c r="AG44" s="9"/>
      <c r="AH44" s="9"/>
      <c r="AI44" s="9"/>
      <c r="AJ44" s="9"/>
    </row>
    <row r="45" spans="2:36" ht="15" customHeight="1" x14ac:dyDescent="0.2">
      <c r="B45" s="89"/>
      <c r="C45" s="48"/>
      <c r="F45" s="8"/>
      <c r="G45" s="8"/>
      <c r="H45" s="8"/>
      <c r="I45" s="8"/>
      <c r="J45" s="8"/>
      <c r="K45" s="8"/>
      <c r="L45" s="10"/>
      <c r="M45" s="8"/>
      <c r="N45" s="8"/>
      <c r="O45" s="8"/>
      <c r="P45" s="8"/>
      <c r="Q45" s="8"/>
      <c r="R45" s="9"/>
      <c r="S45" s="10"/>
      <c r="T45" s="8"/>
      <c r="U45" s="8"/>
      <c r="V45" s="8"/>
      <c r="AB45" s="8"/>
      <c r="AC45" s="8"/>
      <c r="AD45" s="8"/>
      <c r="AE45" s="8"/>
      <c r="AF45" s="9"/>
      <c r="AG45" s="9"/>
      <c r="AH45" s="9"/>
      <c r="AI45" s="9"/>
      <c r="AJ45" s="9"/>
    </row>
    <row r="46" spans="2:36" ht="15" customHeight="1" x14ac:dyDescent="0.2">
      <c r="B46" s="89"/>
      <c r="C46" s="48"/>
      <c r="F46" s="8"/>
      <c r="G46" s="7"/>
      <c r="H46" s="8"/>
      <c r="I46" s="8"/>
      <c r="J46" s="8"/>
      <c r="K46" s="67"/>
      <c r="T46" s="12"/>
      <c r="U46" s="8"/>
      <c r="AC46" s="8"/>
      <c r="AD46" s="8"/>
      <c r="AE46" s="8"/>
      <c r="AF46" s="87"/>
      <c r="AG46" s="9"/>
      <c r="AH46" s="9"/>
      <c r="AI46" s="9"/>
      <c r="AJ46" s="98"/>
    </row>
    <row r="47" spans="2:36" ht="15" customHeight="1" x14ac:dyDescent="0.2">
      <c r="B47" s="89"/>
      <c r="C47" s="48"/>
      <c r="F47" s="8"/>
      <c r="G47" s="7"/>
      <c r="H47" s="8"/>
      <c r="I47" s="8"/>
      <c r="J47" s="8"/>
      <c r="K47" s="67"/>
      <c r="T47" s="12"/>
      <c r="U47" s="8"/>
      <c r="AC47" s="8"/>
      <c r="AD47" s="8"/>
      <c r="AE47" s="8"/>
      <c r="AF47" s="87"/>
      <c r="AG47" s="9"/>
      <c r="AH47" s="9"/>
      <c r="AI47" s="9"/>
      <c r="AJ47" s="98"/>
    </row>
    <row r="48" spans="2:36" ht="15" customHeight="1" x14ac:dyDescent="0.2">
      <c r="B48" s="89"/>
      <c r="C48" s="48"/>
      <c r="F48" s="8"/>
      <c r="G48" s="7"/>
      <c r="H48" s="8"/>
      <c r="I48" s="8"/>
      <c r="J48" s="8"/>
      <c r="K48" s="67"/>
      <c r="R48" s="1"/>
    </row>
    <row r="49" spans="2:36" ht="15" customHeight="1" x14ac:dyDescent="0.2">
      <c r="B49" s="89"/>
      <c r="C49" s="48"/>
      <c r="F49" s="8"/>
      <c r="G49" s="7"/>
      <c r="H49" s="8"/>
      <c r="I49" s="8"/>
      <c r="J49" s="8"/>
      <c r="K49" s="67"/>
      <c r="T49" s="12"/>
      <c r="U49" s="8"/>
      <c r="AC49" s="8"/>
      <c r="AD49" s="8"/>
      <c r="AE49" s="8"/>
      <c r="AF49" s="87"/>
      <c r="AG49" s="9"/>
      <c r="AH49" s="9"/>
      <c r="AI49" s="9"/>
      <c r="AJ49" s="98"/>
    </row>
    <row r="50" spans="2:36" ht="15" customHeight="1" x14ac:dyDescent="0.2">
      <c r="B50" s="89"/>
      <c r="C50" s="48"/>
      <c r="F50" s="8"/>
      <c r="G50" s="7"/>
      <c r="H50" s="8"/>
      <c r="I50" s="8"/>
      <c r="J50" s="8"/>
      <c r="K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row>
    <row r="51" spans="2:36" ht="15" customHeight="1" x14ac:dyDescent="0.2">
      <c r="B51" s="89"/>
      <c r="C51" s="48"/>
      <c r="F51" s="8"/>
      <c r="G51" s="7"/>
      <c r="H51" s="8"/>
      <c r="I51" s="8"/>
      <c r="J51" s="8"/>
      <c r="K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row>
    <row r="52" spans="2:36" ht="15" customHeight="1" x14ac:dyDescent="0.2">
      <c r="B52" s="89"/>
      <c r="C52" s="48"/>
      <c r="F52" s="8"/>
      <c r="G52" s="7"/>
      <c r="H52" s="8"/>
      <c r="I52" s="8"/>
      <c r="J52" s="8"/>
      <c r="K52" s="67"/>
      <c r="T52" s="12"/>
      <c r="U52" s="8"/>
      <c r="AC52" s="8"/>
      <c r="AD52" s="8"/>
      <c r="AE52" s="8"/>
      <c r="AF52" s="87"/>
      <c r="AG52" s="9"/>
      <c r="AH52" s="9"/>
      <c r="AI52" s="9"/>
      <c r="AJ52" s="98"/>
    </row>
    <row r="53" spans="2:36" ht="15" customHeight="1" x14ac:dyDescent="0.2">
      <c r="B53" s="89"/>
      <c r="C53" s="48"/>
      <c r="F53" s="8"/>
      <c r="G53" s="7"/>
      <c r="H53" s="8"/>
      <c r="I53" s="8"/>
      <c r="J53" s="8"/>
      <c r="K53" s="67"/>
      <c r="T53" s="12"/>
      <c r="U53" s="8"/>
      <c r="AC53" s="8"/>
      <c r="AD53" s="8"/>
      <c r="AE53" s="8"/>
      <c r="AF53" s="87"/>
      <c r="AG53" s="9"/>
      <c r="AH53" s="9"/>
      <c r="AI53" s="9"/>
      <c r="AJ53" s="98"/>
    </row>
    <row r="54" spans="2:36" ht="15" customHeight="1" x14ac:dyDescent="0.2">
      <c r="B54" s="89"/>
      <c r="C54" s="48"/>
      <c r="F54" s="8"/>
      <c r="G54" s="7"/>
      <c r="H54" s="8"/>
      <c r="I54" s="8"/>
      <c r="J54" s="8"/>
      <c r="K54" s="67"/>
      <c r="T54" s="12"/>
      <c r="U54" s="8"/>
      <c r="AC54" s="8"/>
      <c r="AD54" s="8"/>
      <c r="AE54" s="8"/>
      <c r="AF54" s="87"/>
      <c r="AG54" s="9"/>
      <c r="AH54" s="9"/>
      <c r="AI54" s="9"/>
      <c r="AJ54" s="98"/>
    </row>
    <row r="55" spans="2:36" ht="15" customHeight="1" x14ac:dyDescent="0.2">
      <c r="B55" s="89"/>
      <c r="C55" s="48"/>
      <c r="F55" s="8"/>
      <c r="G55" s="7"/>
      <c r="H55" s="8"/>
      <c r="I55" s="8"/>
      <c r="J55" s="8"/>
      <c r="K55" s="67"/>
      <c r="T55" s="12"/>
      <c r="U55" s="8"/>
      <c r="AC55" s="8"/>
      <c r="AD55" s="8"/>
      <c r="AE55" s="8"/>
      <c r="AF55" s="87"/>
      <c r="AG55" s="9"/>
      <c r="AH55" s="9"/>
      <c r="AI55" s="9"/>
      <c r="AJ55" s="98"/>
    </row>
    <row r="56" spans="2:36" ht="15" customHeight="1" x14ac:dyDescent="0.2">
      <c r="B56" s="89"/>
      <c r="C56" s="48"/>
      <c r="F56" s="8"/>
      <c r="G56" s="7"/>
      <c r="H56" s="8"/>
      <c r="I56" s="8"/>
      <c r="J56" s="8"/>
      <c r="K56" s="67"/>
      <c r="T56" s="12"/>
      <c r="U56" s="8"/>
      <c r="AC56" s="8"/>
      <c r="AD56" s="8"/>
      <c r="AE56" s="8"/>
      <c r="AF56" s="87"/>
      <c r="AG56" s="9"/>
      <c r="AH56" s="9"/>
      <c r="AI56" s="9"/>
      <c r="AJ56" s="98"/>
    </row>
    <row r="57" spans="2:36" ht="15" customHeight="1" x14ac:dyDescent="0.2">
      <c r="B57" s="89"/>
      <c r="C57" s="48"/>
      <c r="F57" s="8"/>
      <c r="G57" s="7"/>
      <c r="H57" s="8"/>
      <c r="I57" s="8"/>
      <c r="J57" s="8"/>
      <c r="K57" s="67"/>
      <c r="T57" s="12"/>
      <c r="U57" s="8"/>
      <c r="AC57" s="8"/>
      <c r="AD57" s="8"/>
      <c r="AE57" s="8"/>
      <c r="AF57" s="87"/>
      <c r="AG57" s="9"/>
      <c r="AH57" s="9"/>
      <c r="AI57" s="9"/>
      <c r="AJ57" s="98"/>
    </row>
    <row r="58" spans="2:36" ht="15" customHeight="1" x14ac:dyDescent="0.2">
      <c r="B58" s="89"/>
      <c r="C58" s="48"/>
      <c r="F58" s="8"/>
      <c r="G58" s="7"/>
      <c r="H58" s="8"/>
      <c r="I58" s="8"/>
      <c r="J58" s="8"/>
      <c r="K58" s="67"/>
      <c r="T58" s="12"/>
      <c r="U58" s="8"/>
      <c r="AC58" s="8"/>
      <c r="AD58" s="8"/>
      <c r="AE58" s="8"/>
      <c r="AF58" s="87"/>
      <c r="AG58" s="9"/>
      <c r="AH58" s="9"/>
      <c r="AI58" s="9"/>
      <c r="AJ58" s="98"/>
    </row>
    <row r="59" spans="2:36" ht="15" customHeight="1" x14ac:dyDescent="0.2">
      <c r="B59" s="89"/>
      <c r="C59" s="48"/>
      <c r="F59" s="8"/>
      <c r="G59" s="7"/>
      <c r="H59" s="8"/>
      <c r="I59" s="8"/>
      <c r="J59" s="8"/>
      <c r="K59" s="67"/>
      <c r="T59" s="12"/>
      <c r="U59" s="8"/>
      <c r="AC59" s="8"/>
      <c r="AD59" s="8"/>
      <c r="AE59" s="8"/>
      <c r="AF59" s="87"/>
      <c r="AG59" s="9"/>
      <c r="AH59" s="9"/>
      <c r="AI59" s="9"/>
      <c r="AJ59" s="98"/>
    </row>
    <row r="60" spans="2:36" ht="15" customHeight="1" x14ac:dyDescent="0.2">
      <c r="B60" s="89"/>
      <c r="C60" s="48"/>
      <c r="F60" s="8"/>
      <c r="G60" s="7"/>
      <c r="H60" s="8"/>
      <c r="I60" s="8"/>
      <c r="J60" s="8"/>
      <c r="K60" s="67"/>
      <c r="T60" s="12"/>
      <c r="U60" s="8"/>
      <c r="AC60" s="8"/>
      <c r="AD60" s="8"/>
      <c r="AE60" s="8"/>
      <c r="AF60" s="87"/>
      <c r="AG60" s="9"/>
      <c r="AH60" s="9"/>
      <c r="AI60" s="9"/>
      <c r="AJ60" s="98"/>
    </row>
    <row r="61" spans="2:36" ht="15" customHeight="1" x14ac:dyDescent="0.2">
      <c r="B61" s="89"/>
      <c r="C61" s="48"/>
      <c r="F61" s="8"/>
      <c r="G61" s="7"/>
      <c r="H61" s="8"/>
      <c r="I61" s="8"/>
      <c r="J61" s="8"/>
      <c r="K61" s="67"/>
      <c r="T61" s="12"/>
      <c r="U61" s="8"/>
      <c r="AC61" s="8"/>
      <c r="AD61" s="8"/>
      <c r="AE61" s="8"/>
      <c r="AF61" s="87"/>
      <c r="AG61" s="9"/>
      <c r="AH61" s="9"/>
      <c r="AI61" s="9"/>
      <c r="AJ61" s="98"/>
    </row>
    <row r="62" spans="2:36" ht="15" customHeight="1" x14ac:dyDescent="0.2">
      <c r="B62" s="89"/>
      <c r="C62" s="48"/>
      <c r="F62" s="8"/>
      <c r="G62" s="7"/>
      <c r="H62" s="8"/>
      <c r="I62" s="8"/>
      <c r="J62" s="8"/>
      <c r="K62" s="67"/>
      <c r="T62" s="12"/>
      <c r="U62" s="8"/>
      <c r="AC62" s="8"/>
      <c r="AD62" s="8"/>
      <c r="AE62" s="8"/>
      <c r="AF62" s="87"/>
      <c r="AG62" s="9"/>
      <c r="AH62" s="9"/>
      <c r="AI62" s="9"/>
      <c r="AJ62" s="98"/>
    </row>
    <row r="63" spans="2:36" ht="15" customHeight="1" x14ac:dyDescent="0.2">
      <c r="B63" s="89"/>
      <c r="C63" s="48"/>
      <c r="F63" s="8"/>
      <c r="G63" s="7"/>
      <c r="H63" s="8"/>
      <c r="I63" s="8"/>
      <c r="J63" s="8"/>
      <c r="K63" s="67"/>
      <c r="T63" s="12"/>
      <c r="U63" s="8"/>
      <c r="AC63" s="8"/>
      <c r="AD63" s="8"/>
      <c r="AE63" s="8"/>
      <c r="AF63" s="87"/>
      <c r="AG63" s="9"/>
      <c r="AH63" s="9"/>
      <c r="AI63" s="9"/>
      <c r="AJ63" s="98"/>
    </row>
    <row r="64" spans="2:36" ht="15" customHeight="1" x14ac:dyDescent="0.2">
      <c r="B64" s="89"/>
      <c r="C64" s="48"/>
      <c r="F64" s="8"/>
      <c r="G64" s="7"/>
      <c r="H64" s="8"/>
      <c r="I64" s="8"/>
      <c r="J64" s="8"/>
      <c r="K64" s="67"/>
      <c r="T64" s="12"/>
      <c r="U64" s="8"/>
      <c r="AC64" s="8"/>
      <c r="AD64" s="8"/>
      <c r="AE64" s="8"/>
      <c r="AF64" s="87"/>
      <c r="AG64" s="9"/>
      <c r="AH64" s="9"/>
      <c r="AI64" s="9"/>
      <c r="AJ64" s="98"/>
    </row>
    <row r="65" spans="2:36" ht="15" customHeight="1" x14ac:dyDescent="0.2">
      <c r="B65" s="89"/>
      <c r="C65" s="48"/>
      <c r="F65" s="8"/>
      <c r="G65" s="7"/>
      <c r="H65" s="8"/>
      <c r="I65" s="8"/>
      <c r="J65" s="8"/>
      <c r="K65" s="67"/>
      <c r="T65" s="12"/>
      <c r="U65" s="8"/>
      <c r="AC65" s="8"/>
      <c r="AD65" s="8"/>
      <c r="AE65" s="8"/>
      <c r="AF65" s="87"/>
      <c r="AG65" s="9"/>
      <c r="AH65" s="9"/>
      <c r="AI65" s="9"/>
      <c r="AJ65" s="98"/>
    </row>
    <row r="66" spans="2:36" ht="15" customHeight="1" x14ac:dyDescent="0.2">
      <c r="B66" s="89"/>
      <c r="C66" s="48"/>
      <c r="F66" s="8"/>
      <c r="G66" s="7"/>
      <c r="H66" s="8"/>
      <c r="I66" s="8"/>
      <c r="J66" s="8"/>
      <c r="K66" s="663"/>
      <c r="L66" s="663"/>
      <c r="M66" s="663"/>
      <c r="N66" s="663"/>
      <c r="O66" s="663"/>
      <c r="P66" s="663"/>
      <c r="Q66" s="663"/>
      <c r="R66" s="663"/>
      <c r="S66" s="663"/>
      <c r="T66" s="663"/>
      <c r="U66" s="663"/>
      <c r="V66" s="663"/>
      <c r="W66" s="663"/>
      <c r="X66" s="663"/>
      <c r="Y66" s="663"/>
      <c r="Z66" s="663"/>
      <c r="AA66" s="663"/>
      <c r="AB66" s="663"/>
      <c r="AC66" s="663"/>
      <c r="AD66" s="663"/>
      <c r="AE66" s="663"/>
      <c r="AF66" s="663"/>
      <c r="AG66" s="663"/>
      <c r="AH66" s="663"/>
      <c r="AI66" s="663"/>
      <c r="AJ66" s="663"/>
    </row>
    <row r="67" spans="2:36" ht="15" customHeight="1" x14ac:dyDescent="0.2">
      <c r="F67" s="8"/>
      <c r="G67" s="8"/>
      <c r="H67" s="8"/>
      <c r="I67" s="8"/>
      <c r="J67" s="8"/>
      <c r="K67" s="8"/>
      <c r="T67" s="93"/>
      <c r="U67" s="8"/>
      <c r="V67" s="8"/>
      <c r="AC67" s="8"/>
      <c r="AD67" s="8"/>
      <c r="AE67" s="8"/>
      <c r="AF67" s="87"/>
      <c r="AG67" s="9"/>
      <c r="AH67" s="9"/>
      <c r="AI67" s="9"/>
      <c r="AJ67" s="97"/>
    </row>
    <row r="68" spans="2:36" ht="15" customHeight="1" x14ac:dyDescent="0.2">
      <c r="F68" s="8"/>
      <c r="G68" s="8"/>
      <c r="H68" s="8"/>
      <c r="I68" s="8"/>
      <c r="J68" s="8"/>
      <c r="K68" s="8"/>
      <c r="L68" s="10"/>
      <c r="M68" s="8"/>
      <c r="N68" s="8"/>
      <c r="O68" s="8"/>
      <c r="P68" s="8"/>
      <c r="Q68" s="8"/>
      <c r="R68" s="9"/>
      <c r="S68" s="10"/>
      <c r="T68" s="8"/>
      <c r="U68" s="8"/>
      <c r="V68" s="8"/>
      <c r="W68" s="8"/>
      <c r="X68" s="8"/>
      <c r="Y68" s="8"/>
      <c r="Z68" s="10"/>
      <c r="AA68" s="8"/>
      <c r="AB68" s="8"/>
      <c r="AC68" s="8"/>
      <c r="AD68" s="8"/>
      <c r="AE68" s="8"/>
      <c r="AF68" s="8"/>
      <c r="AG68" s="8"/>
      <c r="AH68" s="8"/>
      <c r="AI68" s="8"/>
      <c r="AJ68" s="8"/>
    </row>
    <row r="69" spans="2:36" ht="15" customHeight="1" x14ac:dyDescent="0.2">
      <c r="F69" s="8"/>
      <c r="G69" s="8"/>
      <c r="H69" s="8"/>
      <c r="I69" s="8"/>
      <c r="J69" s="8"/>
      <c r="K69" s="8"/>
      <c r="L69" s="10"/>
      <c r="M69" s="8"/>
      <c r="N69" s="8"/>
      <c r="O69" s="8"/>
      <c r="P69" s="8"/>
      <c r="Q69" s="8"/>
      <c r="R69" s="9"/>
      <c r="S69" s="10"/>
      <c r="T69" s="8"/>
      <c r="U69" s="8"/>
      <c r="V69" s="8"/>
      <c r="W69" s="8"/>
      <c r="X69" s="8"/>
      <c r="Y69" s="8"/>
      <c r="Z69" s="10"/>
      <c r="AA69" s="8"/>
      <c r="AB69" s="8"/>
      <c r="AC69" s="8"/>
      <c r="AD69" s="8"/>
      <c r="AE69" s="8"/>
      <c r="AF69" s="8"/>
      <c r="AG69" s="8"/>
      <c r="AH69" s="8"/>
      <c r="AI69" s="8"/>
      <c r="AJ69" s="8"/>
    </row>
    <row r="70" spans="2:36" ht="15" hidden="1" customHeight="1" x14ac:dyDescent="0.2">
      <c r="F70" s="8"/>
      <c r="G70" s="30"/>
      <c r="H70" s="14"/>
      <c r="I70" s="14"/>
      <c r="J70" s="14"/>
      <c r="K70" s="40">
        <v>0</v>
      </c>
      <c r="L70" s="40">
        <v>1</v>
      </c>
      <c r="M70" s="40">
        <v>2</v>
      </c>
      <c r="N70" s="40">
        <v>3</v>
      </c>
      <c r="O70" s="40">
        <v>4</v>
      </c>
      <c r="P70" s="40">
        <v>5</v>
      </c>
      <c r="Q70" s="40">
        <v>6</v>
      </c>
      <c r="R70" s="40">
        <v>7</v>
      </c>
      <c r="S70" s="40">
        <v>8</v>
      </c>
      <c r="T70" s="40">
        <v>9</v>
      </c>
      <c r="U70" s="40">
        <v>10</v>
      </c>
      <c r="V70" s="40">
        <v>11</v>
      </c>
      <c r="W70" s="40">
        <v>12</v>
      </c>
      <c r="X70" s="40">
        <v>13</v>
      </c>
      <c r="Y70" s="40">
        <v>14</v>
      </c>
      <c r="Z70" s="40">
        <v>15</v>
      </c>
      <c r="AA70" s="40">
        <v>16</v>
      </c>
      <c r="AB70" s="40">
        <v>17</v>
      </c>
      <c r="AC70" s="40">
        <v>18</v>
      </c>
      <c r="AD70" s="40">
        <v>19</v>
      </c>
      <c r="AE70" s="40">
        <v>20</v>
      </c>
      <c r="AF70" s="40">
        <v>21</v>
      </c>
      <c r="AG70" s="40">
        <v>22</v>
      </c>
      <c r="AH70" s="40">
        <v>23</v>
      </c>
      <c r="AI70" s="40">
        <v>24</v>
      </c>
      <c r="AJ70" s="40">
        <v>25</v>
      </c>
    </row>
    <row r="71" spans="2:36" ht="15" hidden="1" customHeight="1" x14ac:dyDescent="0.2">
      <c r="B71" s="47"/>
      <c r="C71" s="47"/>
      <c r="D71" s="47"/>
      <c r="E71" s="47"/>
      <c r="F71" s="8"/>
      <c r="G71" s="14" t="s">
        <v>183</v>
      </c>
      <c r="H71" s="14"/>
      <c r="I71" s="14"/>
      <c r="J71" s="14">
        <v>0</v>
      </c>
      <c r="K71" s="41">
        <v>1</v>
      </c>
      <c r="L71" s="41">
        <f>K71+1</f>
        <v>2</v>
      </c>
      <c r="M71" s="41">
        <f t="shared" ref="M71:AJ71" si="0">L71+1</f>
        <v>3</v>
      </c>
      <c r="N71" s="41">
        <f t="shared" si="0"/>
        <v>4</v>
      </c>
      <c r="O71" s="41">
        <f t="shared" si="0"/>
        <v>5</v>
      </c>
      <c r="P71" s="41">
        <f t="shared" si="0"/>
        <v>6</v>
      </c>
      <c r="Q71" s="41">
        <f t="shared" si="0"/>
        <v>7</v>
      </c>
      <c r="R71" s="41">
        <f t="shared" si="0"/>
        <v>8</v>
      </c>
      <c r="S71" s="41">
        <f t="shared" si="0"/>
        <v>9</v>
      </c>
      <c r="T71" s="41">
        <f t="shared" si="0"/>
        <v>10</v>
      </c>
      <c r="U71" s="41">
        <f t="shared" si="0"/>
        <v>11</v>
      </c>
      <c r="V71" s="41">
        <f t="shared" si="0"/>
        <v>12</v>
      </c>
      <c r="W71" s="41">
        <f t="shared" si="0"/>
        <v>13</v>
      </c>
      <c r="X71" s="41">
        <f t="shared" si="0"/>
        <v>14</v>
      </c>
      <c r="Y71" s="41">
        <f t="shared" si="0"/>
        <v>15</v>
      </c>
      <c r="Z71" s="41">
        <f t="shared" si="0"/>
        <v>16</v>
      </c>
      <c r="AA71" s="41">
        <f t="shared" si="0"/>
        <v>17</v>
      </c>
      <c r="AB71" s="41">
        <f t="shared" si="0"/>
        <v>18</v>
      </c>
      <c r="AC71" s="41">
        <f t="shared" si="0"/>
        <v>19</v>
      </c>
      <c r="AD71" s="41">
        <f t="shared" si="0"/>
        <v>20</v>
      </c>
      <c r="AE71" s="41">
        <f t="shared" si="0"/>
        <v>21</v>
      </c>
      <c r="AF71" s="41">
        <f t="shared" si="0"/>
        <v>22</v>
      </c>
      <c r="AG71" s="41">
        <f t="shared" si="0"/>
        <v>23</v>
      </c>
      <c r="AH71" s="41">
        <f t="shared" si="0"/>
        <v>24</v>
      </c>
      <c r="AI71" s="41">
        <f t="shared" si="0"/>
        <v>25</v>
      </c>
      <c r="AJ71" s="41">
        <f t="shared" si="0"/>
        <v>26</v>
      </c>
    </row>
    <row r="72" spans="2:36" ht="15" hidden="1" customHeight="1" x14ac:dyDescent="0.2">
      <c r="B72" s="47"/>
      <c r="C72" s="47"/>
      <c r="D72" s="47"/>
      <c r="E72" s="47"/>
      <c r="F72" s="8"/>
      <c r="G72" s="14" t="s">
        <v>548</v>
      </c>
      <c r="H72" s="69"/>
      <c r="I72" s="69"/>
      <c r="J72" s="196" t="e">
        <f>INDEX(K$70:AJ$70,MATCH(TRUE,INDEX(K72:AJ72&lt;&gt;0,),0))</f>
        <v>#N/A</v>
      </c>
      <c r="K72" s="69">
        <f>IF(K70&lt;$Q$19,0,IF(K136&lt;K112,1,0))</f>
        <v>0</v>
      </c>
      <c r="L72" s="69">
        <f t="shared" ref="L72:AJ72" si="1">IF(L70&lt;$Q$19,0,IF(L136&lt;L112,1,0))</f>
        <v>0</v>
      </c>
      <c r="M72" s="69">
        <f t="shared" si="1"/>
        <v>0</v>
      </c>
      <c r="N72" s="69">
        <f t="shared" si="1"/>
        <v>0</v>
      </c>
      <c r="O72" s="69">
        <f t="shared" si="1"/>
        <v>0</v>
      </c>
      <c r="P72" s="69">
        <f t="shared" si="1"/>
        <v>0</v>
      </c>
      <c r="Q72" s="69">
        <f t="shared" si="1"/>
        <v>0</v>
      </c>
      <c r="R72" s="69">
        <f t="shared" si="1"/>
        <v>0</v>
      </c>
      <c r="S72" s="69">
        <f t="shared" si="1"/>
        <v>0</v>
      </c>
      <c r="T72" s="69">
        <f t="shared" si="1"/>
        <v>0</v>
      </c>
      <c r="U72" s="69">
        <f t="shared" si="1"/>
        <v>0</v>
      </c>
      <c r="V72" s="69">
        <f t="shared" si="1"/>
        <v>0</v>
      </c>
      <c r="W72" s="69">
        <f t="shared" si="1"/>
        <v>0</v>
      </c>
      <c r="X72" s="69">
        <f t="shared" si="1"/>
        <v>0</v>
      </c>
      <c r="Y72" s="69">
        <f t="shared" si="1"/>
        <v>0</v>
      </c>
      <c r="Z72" s="69">
        <f t="shared" si="1"/>
        <v>0</v>
      </c>
      <c r="AA72" s="69">
        <f t="shared" si="1"/>
        <v>0</v>
      </c>
      <c r="AB72" s="69">
        <f t="shared" si="1"/>
        <v>0</v>
      </c>
      <c r="AC72" s="69">
        <f t="shared" si="1"/>
        <v>0</v>
      </c>
      <c r="AD72" s="69">
        <f t="shared" si="1"/>
        <v>0</v>
      </c>
      <c r="AE72" s="69">
        <f t="shared" si="1"/>
        <v>0</v>
      </c>
      <c r="AF72" s="69">
        <f t="shared" si="1"/>
        <v>0</v>
      </c>
      <c r="AG72" s="69">
        <f t="shared" si="1"/>
        <v>0</v>
      </c>
      <c r="AH72" s="69">
        <f t="shared" si="1"/>
        <v>0</v>
      </c>
      <c r="AI72" s="69">
        <f t="shared" si="1"/>
        <v>0</v>
      </c>
      <c r="AJ72" s="69">
        <f t="shared" si="1"/>
        <v>0</v>
      </c>
    </row>
    <row r="73" spans="2:36" ht="15" hidden="1" customHeight="1" x14ac:dyDescent="0.2">
      <c r="B73" s="47"/>
      <c r="C73" s="47"/>
      <c r="D73" s="47"/>
      <c r="E73" s="47"/>
      <c r="F73" s="8"/>
      <c r="G73" s="14" t="s">
        <v>592</v>
      </c>
      <c r="H73" s="69"/>
      <c r="I73" s="69"/>
      <c r="J73" s="196" t="e">
        <f>INDEX(K$70:AJ$70,MATCH(TRUE,INDEX(K73:AJ73&lt;&gt;0,),0))</f>
        <v>#N/A</v>
      </c>
      <c r="K73" s="69">
        <f>IF(K71&lt;$Q$37,0,IF(K160&lt;K112,1,0))</f>
        <v>0</v>
      </c>
      <c r="L73" s="69">
        <f t="shared" ref="L73:AJ73" si="2">IF(L71&lt;$Q$37,0,IF(L160&lt;L112,1,0))</f>
        <v>0</v>
      </c>
      <c r="M73" s="69">
        <f t="shared" si="2"/>
        <v>0</v>
      </c>
      <c r="N73" s="69">
        <f t="shared" si="2"/>
        <v>0</v>
      </c>
      <c r="O73" s="69">
        <f t="shared" si="2"/>
        <v>0</v>
      </c>
      <c r="P73" s="69">
        <f t="shared" si="2"/>
        <v>0</v>
      </c>
      <c r="Q73" s="69">
        <f t="shared" si="2"/>
        <v>0</v>
      </c>
      <c r="R73" s="69">
        <f t="shared" si="2"/>
        <v>0</v>
      </c>
      <c r="S73" s="69">
        <f t="shared" si="2"/>
        <v>0</v>
      </c>
      <c r="T73" s="69">
        <f t="shared" si="2"/>
        <v>0</v>
      </c>
      <c r="U73" s="69">
        <f t="shared" si="2"/>
        <v>0</v>
      </c>
      <c r="V73" s="69">
        <f t="shared" si="2"/>
        <v>0</v>
      </c>
      <c r="W73" s="69">
        <f t="shared" si="2"/>
        <v>0</v>
      </c>
      <c r="X73" s="69">
        <f t="shared" si="2"/>
        <v>0</v>
      </c>
      <c r="Y73" s="69">
        <f t="shared" si="2"/>
        <v>0</v>
      </c>
      <c r="Z73" s="69">
        <f t="shared" si="2"/>
        <v>0</v>
      </c>
      <c r="AA73" s="69">
        <f t="shared" si="2"/>
        <v>0</v>
      </c>
      <c r="AB73" s="69">
        <f t="shared" si="2"/>
        <v>0</v>
      </c>
      <c r="AC73" s="69">
        <f t="shared" si="2"/>
        <v>0</v>
      </c>
      <c r="AD73" s="69">
        <f t="shared" si="2"/>
        <v>0</v>
      </c>
      <c r="AE73" s="69">
        <f t="shared" si="2"/>
        <v>0</v>
      </c>
      <c r="AF73" s="69">
        <f t="shared" si="2"/>
        <v>0</v>
      </c>
      <c r="AG73" s="69">
        <f t="shared" si="2"/>
        <v>0</v>
      </c>
      <c r="AH73" s="69">
        <f t="shared" si="2"/>
        <v>0</v>
      </c>
      <c r="AI73" s="69">
        <f t="shared" si="2"/>
        <v>0</v>
      </c>
      <c r="AJ73" s="69">
        <f t="shared" si="2"/>
        <v>0</v>
      </c>
    </row>
    <row r="74" spans="2:36" ht="15" hidden="1" customHeight="1" x14ac:dyDescent="0.2">
      <c r="B74" s="47"/>
      <c r="C74" s="47"/>
      <c r="D74" s="47"/>
      <c r="E74" s="47"/>
      <c r="F74" s="8"/>
      <c r="G74" s="14"/>
      <c r="H74" s="69"/>
      <c r="I74" s="69"/>
      <c r="J74" s="196"/>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row>
    <row r="75" spans="2:36" ht="15" hidden="1" customHeight="1" x14ac:dyDescent="0.2">
      <c r="B75" s="47"/>
      <c r="C75" s="47"/>
      <c r="D75" s="47"/>
      <c r="E75" s="47"/>
      <c r="F75" s="8"/>
      <c r="G75" s="14" t="s">
        <v>309</v>
      </c>
      <c r="H75" s="69"/>
      <c r="I75" s="69"/>
      <c r="J75" s="196"/>
      <c r="K75" s="394">
        <f>Data!$P$170</f>
        <v>0</v>
      </c>
      <c r="L75" s="103">
        <f>K75*(1+(Data!$P$196/100))</f>
        <v>0</v>
      </c>
      <c r="M75" s="103">
        <f>L75*(1+(Data!$P$196/100))</f>
        <v>0</v>
      </c>
      <c r="N75" s="103">
        <f>M75*(1+(Data!$P$196/100))</f>
        <v>0</v>
      </c>
      <c r="O75" s="103">
        <f>N75*(1+(Data!$P$196/100))</f>
        <v>0</v>
      </c>
      <c r="P75" s="103">
        <f>O75*(1+(Data!$P$196/100))</f>
        <v>0</v>
      </c>
      <c r="Q75" s="103">
        <f>P75*(1+(Data!$P$196/100))</f>
        <v>0</v>
      </c>
      <c r="R75" s="103">
        <f>Q75*(1+(Data!$P$196/100))</f>
        <v>0</v>
      </c>
      <c r="S75" s="103">
        <f>R75*(1+(Data!$P$196/100))</f>
        <v>0</v>
      </c>
      <c r="T75" s="103">
        <f>S75*(1+(Data!$P$196/100))</f>
        <v>0</v>
      </c>
      <c r="U75" s="103">
        <f>T75*(1+(Data!$P$196/100))</f>
        <v>0</v>
      </c>
      <c r="V75" s="103">
        <f>U75*(1+(Data!$P$196/100))</f>
        <v>0</v>
      </c>
      <c r="W75" s="103">
        <f>V75*(1+(Data!$P$196/100))</f>
        <v>0</v>
      </c>
      <c r="X75" s="103">
        <f>W75*(1+(Data!$P$196/100))</f>
        <v>0</v>
      </c>
      <c r="Y75" s="103">
        <f>X75*(1+(Data!$P$196/100))</f>
        <v>0</v>
      </c>
      <c r="Z75" s="103">
        <f>Y75*(1+(Data!$P$196/100))</f>
        <v>0</v>
      </c>
      <c r="AA75" s="103">
        <f>Z75*(1+(Data!$P$196/100))</f>
        <v>0</v>
      </c>
      <c r="AB75" s="103">
        <f>AA75*(1+(Data!$P$196/100))</f>
        <v>0</v>
      </c>
      <c r="AC75" s="103">
        <f>AB75*(1+(Data!$P$196/100))</f>
        <v>0</v>
      </c>
      <c r="AD75" s="103">
        <f>AC75*(1+(Data!$P$196/100))</f>
        <v>0</v>
      </c>
      <c r="AE75" s="103">
        <f>AD75*(1+(Data!$P$196/100))</f>
        <v>0</v>
      </c>
      <c r="AF75" s="103">
        <f>AE75*(1+(Data!$P$196/100))</f>
        <v>0</v>
      </c>
      <c r="AG75" s="103">
        <f>AF75*(1+(Data!$P$196/100))</f>
        <v>0</v>
      </c>
      <c r="AH75" s="103">
        <f>AG75*(1+(Data!$P$196/100))</f>
        <v>0</v>
      </c>
      <c r="AI75" s="103">
        <f>AH75*(1+(Data!$P$196/100))</f>
        <v>0</v>
      </c>
      <c r="AJ75" s="103">
        <f>AI75*(1+(Data!$P$196/100))</f>
        <v>0</v>
      </c>
    </row>
    <row r="76" spans="2:36" ht="15" hidden="1" customHeight="1" x14ac:dyDescent="0.2">
      <c r="B76" s="47"/>
      <c r="C76" s="47"/>
      <c r="D76" s="47"/>
      <c r="E76" s="47"/>
      <c r="F76" s="8"/>
      <c r="G76" s="14" t="s">
        <v>284</v>
      </c>
      <c r="H76" s="14"/>
      <c r="I76" s="14"/>
      <c r="J76" s="14"/>
      <c r="K76" s="103">
        <f>Data!$P$171</f>
        <v>0.184</v>
      </c>
      <c r="L76" s="103">
        <f>K76*(1+(Data!$P$197/100))</f>
        <v>0.184</v>
      </c>
      <c r="M76" s="103">
        <f>L76*(1+(Data!$P$197/100))</f>
        <v>0.184</v>
      </c>
      <c r="N76" s="103">
        <f>M76*(1+(Data!$P$197/100))</f>
        <v>0.184</v>
      </c>
      <c r="O76" s="103">
        <f>N76*(1+(Data!$P$197/100))</f>
        <v>0.184</v>
      </c>
      <c r="P76" s="103">
        <f>O76*(1+(Data!$P$197/100))</f>
        <v>0.184</v>
      </c>
      <c r="Q76" s="103">
        <f>P76*(1+(Data!$P$197/100))</f>
        <v>0.184</v>
      </c>
      <c r="R76" s="103">
        <f>Q76*(1+(Data!$P$197/100))</f>
        <v>0.184</v>
      </c>
      <c r="S76" s="103">
        <f>R76*(1+(Data!$P$197/100))</f>
        <v>0.184</v>
      </c>
      <c r="T76" s="103">
        <f>S76*(1+(Data!$P$197/100))</f>
        <v>0.184</v>
      </c>
      <c r="U76" s="103">
        <f>T76*(1+(Data!$P$197/100))</f>
        <v>0.184</v>
      </c>
      <c r="V76" s="103">
        <f>U76*(1+(Data!$P$197/100))</f>
        <v>0.184</v>
      </c>
      <c r="W76" s="103">
        <f>V76*(1+(Data!$P$197/100))</f>
        <v>0.184</v>
      </c>
      <c r="X76" s="103">
        <f>W76*(1+(Data!$P$197/100))</f>
        <v>0.184</v>
      </c>
      <c r="Y76" s="103">
        <f>X76*(1+(Data!$P$197/100))</f>
        <v>0.184</v>
      </c>
      <c r="Z76" s="103">
        <f>Y76*(1+(Data!$P$197/100))</f>
        <v>0.184</v>
      </c>
      <c r="AA76" s="103">
        <f>Z76*(1+(Data!$P$197/100))</f>
        <v>0.184</v>
      </c>
      <c r="AB76" s="103">
        <f>AA76*(1+(Data!$P$197/100))</f>
        <v>0.184</v>
      </c>
      <c r="AC76" s="103">
        <f>AB76*(1+(Data!$P$197/100))</f>
        <v>0.184</v>
      </c>
      <c r="AD76" s="103">
        <f>AC76*(1+(Data!$P$197/100))</f>
        <v>0.184</v>
      </c>
      <c r="AE76" s="103">
        <f>AD76*(1+(Data!$P$197/100))</f>
        <v>0.184</v>
      </c>
      <c r="AF76" s="103">
        <f>AE76*(1+(Data!$P$197/100))</f>
        <v>0.184</v>
      </c>
      <c r="AG76" s="103">
        <f>AF76*(1+(Data!$P$197/100))</f>
        <v>0.184</v>
      </c>
      <c r="AH76" s="103">
        <f>AG76*(1+(Data!$P$197/100))</f>
        <v>0.184</v>
      </c>
      <c r="AI76" s="103">
        <f>AH76*(1+(Data!$P$197/100))</f>
        <v>0.184</v>
      </c>
      <c r="AJ76" s="103">
        <f>AI76*(1+(Data!$P$197/100))</f>
        <v>0.184</v>
      </c>
    </row>
    <row r="77" spans="2:36" ht="15" hidden="1" customHeight="1" x14ac:dyDescent="0.2">
      <c r="B77" s="47"/>
      <c r="C77" s="47"/>
      <c r="D77" s="47"/>
      <c r="E77" s="47"/>
      <c r="F77" s="8"/>
      <c r="G77" s="14" t="s">
        <v>259</v>
      </c>
      <c r="H77" s="14"/>
      <c r="I77" s="14"/>
      <c r="J77" s="14"/>
      <c r="K77" s="103">
        <f>Data!$P$172</f>
        <v>0.17072999999999999</v>
      </c>
      <c r="L77" s="103">
        <f>K77*(1+(Data!$P$198/100))</f>
        <v>0.17072999999999999</v>
      </c>
      <c r="M77" s="103">
        <f>L77*(1+(Data!$P$198/100))</f>
        <v>0.17072999999999999</v>
      </c>
      <c r="N77" s="103">
        <f>M77*(1+(Data!$P$198/100))</f>
        <v>0.17072999999999999</v>
      </c>
      <c r="O77" s="103">
        <f>N77*(1+(Data!$P$198/100))</f>
        <v>0.17072999999999999</v>
      </c>
      <c r="P77" s="103">
        <f>O77*(1+(Data!$P$198/100))</f>
        <v>0.17072999999999999</v>
      </c>
      <c r="Q77" s="103">
        <f>P77*(1+(Data!$P$198/100))</f>
        <v>0.17072999999999999</v>
      </c>
      <c r="R77" s="103">
        <f>Q77*(1+(Data!$P$198/100))</f>
        <v>0.17072999999999999</v>
      </c>
      <c r="S77" s="103">
        <f>R77*(1+(Data!$P$198/100))</f>
        <v>0.17072999999999999</v>
      </c>
      <c r="T77" s="103">
        <f>S77*(1+(Data!$P$198/100))</f>
        <v>0.17072999999999999</v>
      </c>
      <c r="U77" s="103">
        <f>T77*(1+(Data!$P$198/100))</f>
        <v>0.17072999999999999</v>
      </c>
      <c r="V77" s="103">
        <f>U77*(1+(Data!$P$198/100))</f>
        <v>0.17072999999999999</v>
      </c>
      <c r="W77" s="103">
        <f>V77*(1+(Data!$P$198/100))</f>
        <v>0.17072999999999999</v>
      </c>
      <c r="X77" s="103">
        <f>W77*(1+(Data!$P$198/100))</f>
        <v>0.17072999999999999</v>
      </c>
      <c r="Y77" s="103">
        <f>X77*(1+(Data!$P$198/100))</f>
        <v>0.17072999999999999</v>
      </c>
      <c r="Z77" s="103">
        <f>Y77*(1+(Data!$P$198/100))</f>
        <v>0.17072999999999999</v>
      </c>
      <c r="AA77" s="103">
        <f>Z77*(1+(Data!$P$198/100))</f>
        <v>0.17072999999999999</v>
      </c>
      <c r="AB77" s="103">
        <f>AA77*(1+(Data!$P$198/100))</f>
        <v>0.17072999999999999</v>
      </c>
      <c r="AC77" s="103">
        <f>AB77*(1+(Data!$P$198/100))</f>
        <v>0.17072999999999999</v>
      </c>
      <c r="AD77" s="103">
        <f>AC77*(1+(Data!$P$198/100))</f>
        <v>0.17072999999999999</v>
      </c>
      <c r="AE77" s="103">
        <f>AD77*(1+(Data!$P$198/100))</f>
        <v>0.17072999999999999</v>
      </c>
      <c r="AF77" s="103">
        <f>AE77*(1+(Data!$P$198/100))</f>
        <v>0.17072999999999999</v>
      </c>
      <c r="AG77" s="103">
        <f>AF77*(1+(Data!$P$198/100))</f>
        <v>0.17072999999999999</v>
      </c>
      <c r="AH77" s="103">
        <f>AG77*(1+(Data!$P$198/100))</f>
        <v>0.17072999999999999</v>
      </c>
      <c r="AI77" s="103">
        <f>AH77*(1+(Data!$P$198/100))</f>
        <v>0.17072999999999999</v>
      </c>
      <c r="AJ77" s="103">
        <f>AI77*(1+(Data!$P$198/100))</f>
        <v>0.17072999999999999</v>
      </c>
    </row>
    <row r="78" spans="2:36" ht="15" hidden="1" customHeight="1" x14ac:dyDescent="0.2">
      <c r="B78" s="47"/>
      <c r="C78" s="47"/>
      <c r="D78" s="47"/>
      <c r="E78" s="47"/>
      <c r="F78" s="8"/>
      <c r="G78" s="14" t="s">
        <v>320</v>
      </c>
      <c r="H78" s="14"/>
      <c r="I78" s="14"/>
      <c r="J78" s="14"/>
      <c r="K78" s="103">
        <f>Data!$P$173</f>
        <v>0.17072999999999999</v>
      </c>
      <c r="L78" s="103">
        <f>K78*(1+(Data!$P$199/100))</f>
        <v>0.17072999999999999</v>
      </c>
      <c r="M78" s="103">
        <f>L78*(1+(Data!$P$199/100))</f>
        <v>0.17072999999999999</v>
      </c>
      <c r="N78" s="103">
        <f>M78*(1+(Data!$P$199/100))</f>
        <v>0.17072999999999999</v>
      </c>
      <c r="O78" s="103">
        <f>N78*(1+(Data!$P$199/100))</f>
        <v>0.17072999999999999</v>
      </c>
      <c r="P78" s="103">
        <f>O78*(1+(Data!$P$199/100))</f>
        <v>0.17072999999999999</v>
      </c>
      <c r="Q78" s="103">
        <f>P78*(1+(Data!$P$199/100))</f>
        <v>0.17072999999999999</v>
      </c>
      <c r="R78" s="103">
        <f>Q78*(1+(Data!$P$199/100))</f>
        <v>0.17072999999999999</v>
      </c>
      <c r="S78" s="103">
        <f>R78*(1+(Data!$P$199/100))</f>
        <v>0.17072999999999999</v>
      </c>
      <c r="T78" s="103">
        <f>S78*(1+(Data!$P$199/100))</f>
        <v>0.17072999999999999</v>
      </c>
      <c r="U78" s="103">
        <f>T78*(1+(Data!$P$199/100))</f>
        <v>0.17072999999999999</v>
      </c>
      <c r="V78" s="103">
        <f>U78*(1+(Data!$P$199/100))</f>
        <v>0.17072999999999999</v>
      </c>
      <c r="W78" s="103">
        <f>V78*(1+(Data!$P$199/100))</f>
        <v>0.17072999999999999</v>
      </c>
      <c r="X78" s="103">
        <f>W78*(1+(Data!$P$199/100))</f>
        <v>0.17072999999999999</v>
      </c>
      <c r="Y78" s="103">
        <f>X78*(1+(Data!$P$199/100))</f>
        <v>0.17072999999999999</v>
      </c>
      <c r="Z78" s="103">
        <f>Y78*(1+(Data!$P$199/100))</f>
        <v>0.17072999999999999</v>
      </c>
      <c r="AA78" s="103">
        <f>Z78*(1+(Data!$P$199/100))</f>
        <v>0.17072999999999999</v>
      </c>
      <c r="AB78" s="103">
        <f>AA78*(1+(Data!$P$199/100))</f>
        <v>0.17072999999999999</v>
      </c>
      <c r="AC78" s="103">
        <f>AB78*(1+(Data!$P$199/100))</f>
        <v>0.17072999999999999</v>
      </c>
      <c r="AD78" s="103">
        <f>AC78*(1+(Data!$P$199/100))</f>
        <v>0.17072999999999999</v>
      </c>
      <c r="AE78" s="103">
        <f>AD78*(1+(Data!$P$199/100))</f>
        <v>0.17072999999999999</v>
      </c>
      <c r="AF78" s="103">
        <f>AE78*(1+(Data!$P$199/100))</f>
        <v>0.17072999999999999</v>
      </c>
      <c r="AG78" s="103">
        <f>AF78*(1+(Data!$P$199/100))</f>
        <v>0.17072999999999999</v>
      </c>
      <c r="AH78" s="103">
        <f>AG78*(1+(Data!$P$199/100))</f>
        <v>0.17072999999999999</v>
      </c>
      <c r="AI78" s="103">
        <f>AH78*(1+(Data!$P$199/100))</f>
        <v>0.17072999999999999</v>
      </c>
      <c r="AJ78" s="103">
        <f>AI78*(1+(Data!$P$199/100))</f>
        <v>0.17072999999999999</v>
      </c>
    </row>
    <row r="79" spans="2:36" ht="15" hidden="1" customHeight="1" x14ac:dyDescent="0.2">
      <c r="B79" s="47"/>
      <c r="C79" s="47"/>
      <c r="D79" s="47"/>
      <c r="E79" s="47"/>
      <c r="F79" s="8"/>
      <c r="G79" s="14" t="s">
        <v>252</v>
      </c>
      <c r="H79" s="14"/>
      <c r="I79" s="14"/>
      <c r="J79" s="14"/>
      <c r="K79" s="103">
        <f>Data!$P$174</f>
        <v>0.19338</v>
      </c>
      <c r="L79" s="103">
        <f>K79*(1+(Data!$P$200/100))</f>
        <v>0.18757859999999998</v>
      </c>
      <c r="M79" s="103">
        <f>L79*(1+(Data!$P$200/100))</f>
        <v>0.18195124199999999</v>
      </c>
      <c r="N79" s="103">
        <f>M79*(1+(Data!$P$200/100))</f>
        <v>0.17649270473999998</v>
      </c>
      <c r="O79" s="103">
        <f>N79*(1+(Data!$P$200/100))</f>
        <v>0.17119792359779998</v>
      </c>
      <c r="P79" s="103">
        <f>O79*(1+(Data!$P$200/100))</f>
        <v>0.16606198588986598</v>
      </c>
      <c r="Q79" s="103">
        <f>P79*(1+(Data!$P$200/100))</f>
        <v>0.16108012631317001</v>
      </c>
      <c r="R79" s="103">
        <f>Q79*(1+(Data!$P$200/100))</f>
        <v>0.15624772252377489</v>
      </c>
      <c r="S79" s="103">
        <f>R79*(1+(Data!$P$200/100))</f>
        <v>0.15156029084806164</v>
      </c>
      <c r="T79" s="103">
        <f>S79*(1+(Data!$P$200/100))</f>
        <v>0.14701348212261978</v>
      </c>
      <c r="U79" s="103">
        <f>T79*(1+(Data!$P$200/100))</f>
        <v>0.14260307765894117</v>
      </c>
      <c r="V79" s="103">
        <f>U79*(1+(Data!$P$200/100))</f>
        <v>0.13832498532917292</v>
      </c>
      <c r="W79" s="103">
        <f>V79*(1+(Data!$P$200/100))</f>
        <v>0.13417523576929774</v>
      </c>
      <c r="X79" s="103">
        <f>W79*(1+(Data!$P$200/100))</f>
        <v>0.1301499786962188</v>
      </c>
      <c r="Y79" s="103">
        <f>X79*(1+(Data!$P$200/100))</f>
        <v>0.12624547933533223</v>
      </c>
      <c r="Z79" s="103">
        <f>Y79*(1+(Data!$P$200/100))</f>
        <v>0.12245811495527226</v>
      </c>
      <c r="AA79" s="103">
        <f>Z79*(1+(Data!$P$200/100))</f>
        <v>0.11878437150661408</v>
      </c>
      <c r="AB79" s="103">
        <f>AA79*(1+(Data!$P$200/100))</f>
        <v>0.11522084036141565</v>
      </c>
      <c r="AC79" s="103">
        <f>AB79*(1+(Data!$P$200/100))</f>
        <v>0.11176421515057318</v>
      </c>
      <c r="AD79" s="103">
        <f>AC79*(1+(Data!$P$200/100))</f>
        <v>0.10841128869605599</v>
      </c>
      <c r="AE79" s="103">
        <f>AD79*(1+(Data!$P$200/100))</f>
        <v>0.10515895003517431</v>
      </c>
      <c r="AF79" s="103">
        <f>AE79*(1+(Data!$P$200/100))</f>
        <v>0.10200418153411908</v>
      </c>
      <c r="AG79" s="103">
        <f>AF79*(1+(Data!$P$200/100))</f>
        <v>9.8944056088095506E-2</v>
      </c>
      <c r="AH79" s="103">
        <f>AG79*(1+(Data!$P$200/100))</f>
        <v>9.5975734405452637E-2</v>
      </c>
      <c r="AI79" s="103">
        <f>AH79*(1+(Data!$P$200/100))</f>
        <v>9.3096462373289057E-2</v>
      </c>
      <c r="AJ79" s="103">
        <f>AI79*(1+(Data!$P$200/100))</f>
        <v>9.0303568502090384E-2</v>
      </c>
    </row>
    <row r="80" spans="2:36" ht="15" hidden="1" customHeight="1" x14ac:dyDescent="0.2">
      <c r="B80" s="47"/>
      <c r="C80" s="47"/>
      <c r="D80" s="47"/>
      <c r="E80" s="47"/>
      <c r="F80" s="8"/>
      <c r="G80" s="14"/>
      <c r="H80" s="69"/>
      <c r="I80" s="69"/>
      <c r="J80" s="196"/>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row>
    <row r="81" spans="2:36" ht="15" hidden="1" customHeight="1" x14ac:dyDescent="0.2">
      <c r="B81" s="47"/>
      <c r="C81" s="47"/>
      <c r="D81" s="47"/>
      <c r="E81" s="47"/>
      <c r="F81" s="8"/>
      <c r="G81" s="14" t="s">
        <v>309</v>
      </c>
      <c r="H81" s="69"/>
      <c r="I81" s="69"/>
      <c r="J81" s="196"/>
      <c r="K81" s="394">
        <f>Data!$P$177</f>
        <v>0</v>
      </c>
      <c r="L81" s="103">
        <f>K81*(1+(Data!$P$188/100))</f>
        <v>0</v>
      </c>
      <c r="M81" s="103">
        <f>L81*(1+(Data!$P$188/100))</f>
        <v>0</v>
      </c>
      <c r="N81" s="103">
        <f>M81*(1+(Data!$P$188/100))</f>
        <v>0</v>
      </c>
      <c r="O81" s="103">
        <f>N81*(1+(Data!$P$188/100))</f>
        <v>0</v>
      </c>
      <c r="P81" s="103">
        <f>O81*(1+(Data!$P$188/100))</f>
        <v>0</v>
      </c>
      <c r="Q81" s="103">
        <f>P81*(1+(Data!$P$188/100))</f>
        <v>0</v>
      </c>
      <c r="R81" s="103">
        <f>Q81*(1+(Data!$P$188/100))</f>
        <v>0</v>
      </c>
      <c r="S81" s="103">
        <f>R81*(1+(Data!$P$188/100))</f>
        <v>0</v>
      </c>
      <c r="T81" s="103">
        <f>S81*(1+(Data!$P$188/100))</f>
        <v>0</v>
      </c>
      <c r="U81" s="103">
        <f>T81*(1+(Data!$P$188/100))</f>
        <v>0</v>
      </c>
      <c r="V81" s="103">
        <f>U81*(1+(Data!$P$188/100))</f>
        <v>0</v>
      </c>
      <c r="W81" s="103">
        <f>V81*(1+(Data!$P$188/100))</f>
        <v>0</v>
      </c>
      <c r="X81" s="103">
        <f>W81*(1+(Data!$P$188/100))</f>
        <v>0</v>
      </c>
      <c r="Y81" s="103">
        <f>X81*(1+(Data!$P$188/100))</f>
        <v>0</v>
      </c>
      <c r="Z81" s="103">
        <f>Y81*(1+(Data!$P$188/100))</f>
        <v>0</v>
      </c>
      <c r="AA81" s="103">
        <f>Z81*(1+(Data!$P$188/100))</f>
        <v>0</v>
      </c>
      <c r="AB81" s="103">
        <f>AA81*(1+(Data!$P$188/100))</f>
        <v>0</v>
      </c>
      <c r="AC81" s="103">
        <f>AB81*(1+(Data!$P$188/100))</f>
        <v>0</v>
      </c>
      <c r="AD81" s="103">
        <f>AC81*(1+(Data!$P$188/100))</f>
        <v>0</v>
      </c>
      <c r="AE81" s="103">
        <f>AD81*(1+(Data!$P$188/100))</f>
        <v>0</v>
      </c>
      <c r="AF81" s="103">
        <f>AE81*(1+(Data!$P$188/100))</f>
        <v>0</v>
      </c>
      <c r="AG81" s="103">
        <f>AF81*(1+(Data!$P$188/100))</f>
        <v>0</v>
      </c>
      <c r="AH81" s="103">
        <f>AG81*(1+(Data!$P$188/100))</f>
        <v>0</v>
      </c>
      <c r="AI81" s="103">
        <f>AH81*(1+(Data!$P$188/100))</f>
        <v>0</v>
      </c>
      <c r="AJ81" s="103">
        <f>AI81*(1+(Data!$P$188/100))</f>
        <v>0</v>
      </c>
    </row>
    <row r="82" spans="2:36" ht="15" hidden="1" customHeight="1" x14ac:dyDescent="0.2">
      <c r="B82" s="47"/>
      <c r="C82" s="47"/>
      <c r="D82" s="47"/>
      <c r="E82" s="47"/>
      <c r="F82" s="8"/>
      <c r="G82" s="14" t="s">
        <v>284</v>
      </c>
      <c r="H82" s="69"/>
      <c r="I82" s="69"/>
      <c r="J82" s="196"/>
      <c r="K82" s="392">
        <f>Data!$P$178</f>
        <v>0.09</v>
      </c>
      <c r="L82" s="103">
        <f>K82*(1+(Data!$P$189/100))</f>
        <v>9.5399999999999999E-2</v>
      </c>
      <c r="M82" s="103">
        <f>L82*(1+(Data!$P$189/100))</f>
        <v>0.10112400000000001</v>
      </c>
      <c r="N82" s="103">
        <f>M82*(1+(Data!$P$189/100))</f>
        <v>0.10719144000000001</v>
      </c>
      <c r="O82" s="103">
        <f>N82*(1+(Data!$P$189/100))</f>
        <v>0.11362292640000002</v>
      </c>
      <c r="P82" s="103">
        <f>O82*(1+(Data!$P$189/100))</f>
        <v>0.12044030198400002</v>
      </c>
      <c r="Q82" s="103">
        <f>P82*(1+(Data!$P$189/100))</f>
        <v>0.12766672010304003</v>
      </c>
      <c r="R82" s="103">
        <f>Q82*(1+(Data!$P$189/100))</f>
        <v>0.13532672330922244</v>
      </c>
      <c r="S82" s="103">
        <f>R82*(1+(Data!$P$189/100))</f>
        <v>0.1434463267077758</v>
      </c>
      <c r="T82" s="103">
        <f>S82*(1+(Data!$P$189/100))</f>
        <v>0.15205310631024235</v>
      </c>
      <c r="U82" s="103">
        <f>T82*(1+(Data!$P$189/100))</f>
        <v>0.16117629268885691</v>
      </c>
      <c r="V82" s="103">
        <f>U82*(1+(Data!$P$189/100))</f>
        <v>0.17084687025018833</v>
      </c>
      <c r="W82" s="103">
        <f>V82*(1+(Data!$P$189/100))</f>
        <v>0.18109768246519964</v>
      </c>
      <c r="X82" s="103">
        <f>W82*(1+(Data!$P$189/100))</f>
        <v>0.19196354341311161</v>
      </c>
      <c r="Y82" s="103">
        <f>X82*(1+(Data!$P$189/100))</f>
        <v>0.20348135601789832</v>
      </c>
      <c r="Z82" s="103">
        <f>Y82*(1+(Data!$P$189/100))</f>
        <v>0.21569023737897222</v>
      </c>
      <c r="AA82" s="103">
        <f>Z82*(1+(Data!$P$189/100))</f>
        <v>0.22863165162171056</v>
      </c>
      <c r="AB82" s="103">
        <f>AA82*(1+(Data!$P$189/100))</f>
        <v>0.24234955071901321</v>
      </c>
      <c r="AC82" s="103">
        <f>AB82*(1+(Data!$P$189/100))</f>
        <v>0.25689052376215399</v>
      </c>
      <c r="AD82" s="103">
        <f>AC82*(1+(Data!$P$189/100))</f>
        <v>0.27230395518788325</v>
      </c>
      <c r="AE82" s="103">
        <f>AD82*(1+(Data!$P$189/100))</f>
        <v>0.28864219249915624</v>
      </c>
      <c r="AF82" s="103">
        <f>AE82*(1+(Data!$P$189/100))</f>
        <v>0.30596072404910563</v>
      </c>
      <c r="AG82" s="103">
        <f>AF82*(1+(Data!$P$189/100))</f>
        <v>0.32431836749205201</v>
      </c>
      <c r="AH82" s="103">
        <f>AG82*(1+(Data!$P$189/100))</f>
        <v>0.34377746954157512</v>
      </c>
      <c r="AI82" s="103">
        <f>AH82*(1+(Data!$P$189/100))</f>
        <v>0.36440411771406966</v>
      </c>
      <c r="AJ82" s="103">
        <f>AI82*(1+(Data!$P$189/100))</f>
        <v>0.38626836477691384</v>
      </c>
    </row>
    <row r="83" spans="2:36" ht="15" hidden="1" customHeight="1" x14ac:dyDescent="0.2">
      <c r="B83" s="47"/>
      <c r="C83" s="47"/>
      <c r="D83" s="47"/>
      <c r="E83" s="47"/>
      <c r="F83" s="8"/>
      <c r="G83" s="14" t="s">
        <v>259</v>
      </c>
      <c r="H83" s="69"/>
      <c r="I83" s="69"/>
      <c r="J83" s="196"/>
      <c r="K83" s="392">
        <f>Data!$P$179</f>
        <v>0.09</v>
      </c>
      <c r="L83" s="103">
        <f>K83*(1+(Data!$P$190/100))</f>
        <v>9.5399999999999999E-2</v>
      </c>
      <c r="M83" s="103">
        <f>L83*(1+(Data!$P$190/100))</f>
        <v>0.10112400000000001</v>
      </c>
      <c r="N83" s="103">
        <f>M83*(1+(Data!$P$190/100))</f>
        <v>0.10719144000000001</v>
      </c>
      <c r="O83" s="103">
        <f>N83*(1+(Data!$P$190/100))</f>
        <v>0.11362292640000002</v>
      </c>
      <c r="P83" s="103">
        <f>O83*(1+(Data!$P$190/100))</f>
        <v>0.12044030198400002</v>
      </c>
      <c r="Q83" s="103">
        <f>P83*(1+(Data!$P$190/100))</f>
        <v>0.12766672010304003</v>
      </c>
      <c r="R83" s="103">
        <f>Q83*(1+(Data!$P$190/100))</f>
        <v>0.13532672330922244</v>
      </c>
      <c r="S83" s="103">
        <f>R83*(1+(Data!$P$190/100))</f>
        <v>0.1434463267077758</v>
      </c>
      <c r="T83" s="103">
        <f>S83*(1+(Data!$P$190/100))</f>
        <v>0.15205310631024235</v>
      </c>
      <c r="U83" s="103">
        <f>T83*(1+(Data!$P$190/100))</f>
        <v>0.16117629268885691</v>
      </c>
      <c r="V83" s="103">
        <f>U83*(1+(Data!$P$190/100))</f>
        <v>0.17084687025018833</v>
      </c>
      <c r="W83" s="103">
        <f>V83*(1+(Data!$P$190/100))</f>
        <v>0.18109768246519964</v>
      </c>
      <c r="X83" s="103">
        <f>W83*(1+(Data!$P$190/100))</f>
        <v>0.19196354341311161</v>
      </c>
      <c r="Y83" s="103">
        <f>X83*(1+(Data!$P$190/100))</f>
        <v>0.20348135601789832</v>
      </c>
      <c r="Z83" s="103">
        <f>Y83*(1+(Data!$P$190/100))</f>
        <v>0.21569023737897222</v>
      </c>
      <c r="AA83" s="103">
        <f>Z83*(1+(Data!$P$190/100))</f>
        <v>0.22863165162171056</v>
      </c>
      <c r="AB83" s="103">
        <f>AA83*(1+(Data!$P$190/100))</f>
        <v>0.24234955071901321</v>
      </c>
      <c r="AC83" s="103">
        <f>AB83*(1+(Data!$P$190/100))</f>
        <v>0.25689052376215399</v>
      </c>
      <c r="AD83" s="103">
        <f>AC83*(1+(Data!$P$190/100))</f>
        <v>0.27230395518788325</v>
      </c>
      <c r="AE83" s="103">
        <f>AD83*(1+(Data!$P$190/100))</f>
        <v>0.28864219249915624</v>
      </c>
      <c r="AF83" s="103">
        <f>AE83*(1+(Data!$P$190/100))</f>
        <v>0.30596072404910563</v>
      </c>
      <c r="AG83" s="103">
        <f>AF83*(1+(Data!$P$190/100))</f>
        <v>0.32431836749205201</v>
      </c>
      <c r="AH83" s="103">
        <f>AG83*(1+(Data!$P$190/100))</f>
        <v>0.34377746954157512</v>
      </c>
      <c r="AI83" s="103">
        <f>AH83*(1+(Data!$P$190/100))</f>
        <v>0.36440411771406966</v>
      </c>
      <c r="AJ83" s="103">
        <f>AI83*(1+(Data!$P$190/100))</f>
        <v>0.38626836477691384</v>
      </c>
    </row>
    <row r="84" spans="2:36" ht="15" hidden="1" customHeight="1" x14ac:dyDescent="0.2">
      <c r="B84" s="47"/>
      <c r="C84" s="47"/>
      <c r="D84" s="47"/>
      <c r="E84" s="47"/>
      <c r="F84" s="8"/>
      <c r="G84" s="14" t="s">
        <v>320</v>
      </c>
      <c r="H84" s="69"/>
      <c r="I84" s="69"/>
      <c r="J84" s="196"/>
      <c r="K84" s="392">
        <f>Data!$P$180</f>
        <v>0.16463429999999998</v>
      </c>
      <c r="L84" s="103">
        <f>K84*(1+(Data!$P$191/100))</f>
        <v>0.17451235799999998</v>
      </c>
      <c r="M84" s="103">
        <f>L84*(1+(Data!$P$191/100))</f>
        <v>0.18498309948</v>
      </c>
      <c r="N84" s="103">
        <f>M84*(1+(Data!$P$191/100))</f>
        <v>0.19608208544880001</v>
      </c>
      <c r="O84" s="103">
        <f>N84*(1+(Data!$P$191/100))</f>
        <v>0.20784701057572802</v>
      </c>
      <c r="P84" s="103">
        <f>O84*(1+(Data!$P$191/100))</f>
        <v>0.22031783121027171</v>
      </c>
      <c r="Q84" s="103">
        <f>P84*(1+(Data!$P$191/100))</f>
        <v>0.23353690108288802</v>
      </c>
      <c r="R84" s="103">
        <f>Q84*(1+(Data!$P$191/100))</f>
        <v>0.24754911514786132</v>
      </c>
      <c r="S84" s="103">
        <f>R84*(1+(Data!$P$191/100))</f>
        <v>0.262402062056733</v>
      </c>
      <c r="T84" s="103">
        <f>S84*(1+(Data!$P$191/100))</f>
        <v>0.278146185780137</v>
      </c>
      <c r="U84" s="103">
        <f>T84*(1+(Data!$P$191/100))</f>
        <v>0.29483495692694522</v>
      </c>
      <c r="V84" s="103">
        <f>U84*(1+(Data!$P$191/100))</f>
        <v>0.31252505434256195</v>
      </c>
      <c r="W84" s="103">
        <f>V84*(1+(Data!$P$191/100))</f>
        <v>0.3312765576031157</v>
      </c>
      <c r="X84" s="103">
        <f>W84*(1+(Data!$P$191/100))</f>
        <v>0.35115315105930267</v>
      </c>
      <c r="Y84" s="103">
        <f>X84*(1+(Data!$P$191/100))</f>
        <v>0.37222234012286087</v>
      </c>
      <c r="Z84" s="103">
        <f>Y84*(1+(Data!$P$191/100))</f>
        <v>0.39455568053023254</v>
      </c>
      <c r="AA84" s="103">
        <f>Z84*(1+(Data!$P$191/100))</f>
        <v>0.41822902136204654</v>
      </c>
      <c r="AB84" s="103">
        <f>AA84*(1+(Data!$P$191/100))</f>
        <v>0.44332276264376935</v>
      </c>
      <c r="AC84" s="103">
        <f>AB84*(1+(Data!$P$191/100))</f>
        <v>0.46992212840239556</v>
      </c>
      <c r="AD84" s="103">
        <f>AC84*(1+(Data!$P$191/100))</f>
        <v>0.49811745610653929</v>
      </c>
      <c r="AE84" s="103">
        <f>AD84*(1+(Data!$P$191/100))</f>
        <v>0.52800450347293171</v>
      </c>
      <c r="AF84" s="103">
        <f>AE84*(1+(Data!$P$191/100))</f>
        <v>0.55968477368130765</v>
      </c>
      <c r="AG84" s="103">
        <f>AF84*(1+(Data!$P$191/100))</f>
        <v>0.59326586010218618</v>
      </c>
      <c r="AH84" s="103">
        <f>AG84*(1+(Data!$P$191/100))</f>
        <v>0.62886181170831734</v>
      </c>
      <c r="AI84" s="103">
        <f>AH84*(1+(Data!$P$191/100))</f>
        <v>0.66659352041081643</v>
      </c>
      <c r="AJ84" s="103">
        <f>AI84*(1+(Data!$P$191/100))</f>
        <v>0.70658913163546544</v>
      </c>
    </row>
    <row r="85" spans="2:36" ht="15" hidden="1" customHeight="1" x14ac:dyDescent="0.2">
      <c r="B85" s="47"/>
      <c r="C85" s="47"/>
      <c r="D85" s="47"/>
      <c r="E85" s="47"/>
      <c r="F85" s="8"/>
      <c r="G85" s="14" t="s">
        <v>252</v>
      </c>
      <c r="H85" s="69"/>
      <c r="I85" s="69"/>
      <c r="J85" s="196"/>
      <c r="K85" s="392">
        <f>Data!$P$181</f>
        <v>0.31</v>
      </c>
      <c r="L85" s="103">
        <f>K85*(1+(Data!$P$192/100))</f>
        <v>0.34100000000000003</v>
      </c>
      <c r="M85" s="103">
        <f>L85*(1+(Data!$P$192/100))</f>
        <v>0.37510000000000004</v>
      </c>
      <c r="N85" s="103">
        <f>M85*(1+(Data!$P$192/100))</f>
        <v>0.41261000000000009</v>
      </c>
      <c r="O85" s="103">
        <f>N85*(1+(Data!$P$192/100))</f>
        <v>0.45387100000000014</v>
      </c>
      <c r="P85" s="103">
        <f>O85*(1+(Data!$P$192/100))</f>
        <v>0.4992581000000002</v>
      </c>
      <c r="Q85" s="103">
        <f>P85*(1+(Data!$P$192/100))</f>
        <v>0.54918391000000022</v>
      </c>
      <c r="R85" s="103">
        <f>Q85*(1+(Data!$P$192/100))</f>
        <v>0.60410230100000029</v>
      </c>
      <c r="S85" s="103">
        <f>R85*(1+(Data!$P$192/100))</f>
        <v>0.66451253110000041</v>
      </c>
      <c r="T85" s="103">
        <f>S85*(1+(Data!$P$192/100))</f>
        <v>0.73096378421000052</v>
      </c>
      <c r="U85" s="103">
        <f>T85*(1+(Data!$P$192/100))</f>
        <v>0.80406016263100066</v>
      </c>
      <c r="V85" s="103">
        <f>U85*(1+(Data!$P$192/100))</f>
        <v>0.88446617889410084</v>
      </c>
      <c r="W85" s="103">
        <f>V85*(1+(Data!$P$192/100))</f>
        <v>0.97291279678351106</v>
      </c>
      <c r="X85" s="103">
        <f>W85*(1+(Data!$P$192/100))</f>
        <v>1.0702040764618623</v>
      </c>
      <c r="Y85" s="103">
        <f>X85*(1+(Data!$P$192/100))</f>
        <v>1.1772244841080486</v>
      </c>
      <c r="Z85" s="103">
        <f>Y85*(1+(Data!$P$192/100))</f>
        <v>1.2949469325188536</v>
      </c>
      <c r="AA85" s="103">
        <f>Z85*(1+(Data!$P$192/100))</f>
        <v>1.4244416257707391</v>
      </c>
      <c r="AB85" s="103">
        <f>AA85*(1+(Data!$P$192/100))</f>
        <v>1.5668857883478131</v>
      </c>
      <c r="AC85" s="103">
        <f>AB85*(1+(Data!$P$192/100))</f>
        <v>1.7235743671825945</v>
      </c>
      <c r="AD85" s="103">
        <f>AC85*(1+(Data!$P$192/100))</f>
        <v>1.8959318039008541</v>
      </c>
      <c r="AE85" s="103">
        <f>AD85*(1+(Data!$P$192/100))</f>
        <v>2.0855249842909398</v>
      </c>
      <c r="AF85" s="103">
        <f>AE85*(1+(Data!$P$192/100))</f>
        <v>2.2940774827200339</v>
      </c>
      <c r="AG85" s="103">
        <f>AF85*(1+(Data!$P$192/100))</f>
        <v>2.5234852309920375</v>
      </c>
      <c r="AH85" s="103">
        <f>AG85*(1+(Data!$P$192/100))</f>
        <v>2.7758337540912414</v>
      </c>
      <c r="AI85" s="103">
        <f>AH85*(1+(Data!$P$192/100))</f>
        <v>3.053417129500366</v>
      </c>
      <c r="AJ85" s="103">
        <f>AI85*(1+(Data!$P$192/100))</f>
        <v>3.3587588424504031</v>
      </c>
    </row>
    <row r="86" spans="2:36" ht="15" hidden="1" customHeight="1" x14ac:dyDescent="0.2">
      <c r="B86" s="47"/>
      <c r="C86" s="47"/>
      <c r="D86" s="47"/>
      <c r="E86" s="47"/>
      <c r="F86" s="8"/>
      <c r="G86" s="14"/>
      <c r="H86" s="69"/>
      <c r="I86" s="69"/>
      <c r="J86" s="196"/>
      <c r="K86" s="392"/>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row>
    <row r="87" spans="2:36" ht="15" hidden="1" customHeight="1" x14ac:dyDescent="0.2">
      <c r="B87" s="47"/>
      <c r="C87" s="47"/>
      <c r="D87" s="47"/>
      <c r="E87" s="47"/>
      <c r="F87" s="8"/>
      <c r="G87" s="14" t="s">
        <v>307</v>
      </c>
      <c r="H87" s="14"/>
      <c r="I87" s="14"/>
      <c r="J87" s="14"/>
      <c r="K87" s="103">
        <v>1</v>
      </c>
      <c r="L87" s="103">
        <f>K87*(1+(Data!$P$194)/100)</f>
        <v>1.02</v>
      </c>
      <c r="M87" s="103">
        <f>L87*(1+(Data!$P$194)/100)</f>
        <v>1.0404</v>
      </c>
      <c r="N87" s="103">
        <f>M87*(1+(Data!$P$194)/100)</f>
        <v>1.0612079999999999</v>
      </c>
      <c r="O87" s="103">
        <f>N87*(1+(Data!$P$194)/100)</f>
        <v>1.08243216</v>
      </c>
      <c r="P87" s="103">
        <f>O87*(1+(Data!$P$194)/100)</f>
        <v>1.1040808032</v>
      </c>
      <c r="Q87" s="103">
        <f>P87*(1+(Data!$P$194)/100)</f>
        <v>1.1261624192640001</v>
      </c>
      <c r="R87" s="103">
        <f>Q87*(1+(Data!$P$194)/100)</f>
        <v>1.14868566764928</v>
      </c>
      <c r="S87" s="103">
        <f>R87*(1+(Data!$P$194)/100)</f>
        <v>1.1716593810022657</v>
      </c>
      <c r="T87" s="103">
        <f>S87*(1+(Data!$P$194)/100)</f>
        <v>1.1950925686223111</v>
      </c>
      <c r="U87" s="103">
        <f>T87*(1+(Data!$P$194)/100)</f>
        <v>1.2189944199947573</v>
      </c>
      <c r="V87" s="103">
        <f>U87*(1+(Data!$P$194)/100)</f>
        <v>1.2433743083946525</v>
      </c>
      <c r="W87" s="103">
        <f>V87*(1+(Data!$P$194)/100)</f>
        <v>1.2682417945625455</v>
      </c>
      <c r="X87" s="103">
        <f>W87*(1+(Data!$P$194)/100)</f>
        <v>1.2936066304537963</v>
      </c>
      <c r="Y87" s="103">
        <f>X87*(1+(Data!$P$194)/100)</f>
        <v>1.3194787630628724</v>
      </c>
      <c r="Z87" s="103">
        <f>Y87*(1+(Data!$P$194)/100)</f>
        <v>1.3458683383241299</v>
      </c>
      <c r="AA87" s="103">
        <f>Z87*(1+(Data!$P$194)/100)</f>
        <v>1.3727857050906125</v>
      </c>
      <c r="AB87" s="103">
        <f>AA87*(1+(Data!$P$194)/100)</f>
        <v>1.4002414191924248</v>
      </c>
      <c r="AC87" s="103">
        <f>AB87*(1+(Data!$P$194)/100)</f>
        <v>1.4282462475762734</v>
      </c>
      <c r="AD87" s="103">
        <f>AC87*(1+(Data!$P$194)/100)</f>
        <v>1.4568111725277988</v>
      </c>
      <c r="AE87" s="103">
        <f>AD87*(1+(Data!$P$194)/100)</f>
        <v>1.4859473959783549</v>
      </c>
      <c r="AF87" s="103">
        <f>AE87*(1+(Data!$P$194)/100)</f>
        <v>1.5156663438979221</v>
      </c>
      <c r="AG87" s="103">
        <f>AF87*(1+(Data!$P$194)/100)</f>
        <v>1.5459796707758806</v>
      </c>
      <c r="AH87" s="103">
        <f>AG87*(1+(Data!$P$194)/100)</f>
        <v>1.5768992641913981</v>
      </c>
      <c r="AI87" s="103">
        <f>AH87*(1+(Data!$P$194)/100)</f>
        <v>1.6084372494752261</v>
      </c>
      <c r="AJ87" s="103">
        <f>AI87*(1+(Data!$P$194)/100)</f>
        <v>1.6406059944647307</v>
      </c>
    </row>
    <row r="88" spans="2:36" ht="15" hidden="1" customHeight="1" x14ac:dyDescent="0.2">
      <c r="B88" s="47"/>
      <c r="C88" s="47"/>
      <c r="D88" s="47"/>
      <c r="E88" s="47"/>
      <c r="F88" s="8"/>
      <c r="G88" s="14" t="s">
        <v>3</v>
      </c>
      <c r="H88" s="14"/>
      <c r="I88" s="14"/>
      <c r="J88" s="14"/>
      <c r="K88" s="103">
        <f>Data!$P$183</f>
        <v>0.1</v>
      </c>
      <c r="L88" s="103">
        <f>K88*((100+Data!$P$202)/100)</f>
        <v>0.10200000000000001</v>
      </c>
      <c r="M88" s="103">
        <f>L88*((100+Data!$P$202)/100)</f>
        <v>0.10404000000000001</v>
      </c>
      <c r="N88" s="103">
        <f>M88*((100+Data!$P$202)/100)</f>
        <v>0.10612080000000002</v>
      </c>
      <c r="O88" s="103">
        <f>N88*((100+Data!$P$202)/100)</f>
        <v>0.10824321600000002</v>
      </c>
      <c r="P88" s="103">
        <f>O88*((100+Data!$P$202)/100)</f>
        <v>0.11040808032000002</v>
      </c>
      <c r="Q88" s="103">
        <f>P88*((100+Data!$P$202)/100)</f>
        <v>0.11261624192640002</v>
      </c>
      <c r="R88" s="103">
        <f>Q88*((100+Data!$P$202)/100)</f>
        <v>0.11486856676492802</v>
      </c>
      <c r="S88" s="103">
        <f>R88*((100+Data!$P$202)/100)</f>
        <v>0.11716593810022657</v>
      </c>
      <c r="T88" s="103">
        <f>S88*((100+Data!$P$202)/100)</f>
        <v>0.11950925686223111</v>
      </c>
      <c r="U88" s="103">
        <f>T88*((100+Data!$P$202)/100)</f>
        <v>0.12189944199947574</v>
      </c>
      <c r="V88" s="103">
        <f>U88*((100+Data!$P$202)/100)</f>
        <v>0.12433743083946525</v>
      </c>
      <c r="W88" s="103">
        <f>V88*((100+Data!$P$202)/100)</f>
        <v>0.12682417945625454</v>
      </c>
      <c r="X88" s="103">
        <f>W88*((100+Data!$P$202)/100)</f>
        <v>0.12936066304537963</v>
      </c>
      <c r="Y88" s="103">
        <f>X88*((100+Data!$P$202)/100)</f>
        <v>0.13194787630628724</v>
      </c>
      <c r="Z88" s="103">
        <f>Y88*((100+Data!$P$202)/100)</f>
        <v>0.13458683383241299</v>
      </c>
      <c r="AA88" s="103">
        <f>Z88*((100+Data!$P$202)/100)</f>
        <v>0.13727857050906125</v>
      </c>
      <c r="AB88" s="103">
        <f>AA88*((100+Data!$P$202)/100)</f>
        <v>0.14002414191924248</v>
      </c>
      <c r="AC88" s="103">
        <f>AB88*((100+Data!$P$202)/100)</f>
        <v>0.14282462475762733</v>
      </c>
      <c r="AD88" s="103">
        <f>AC88*((100+Data!$P$202)/100)</f>
        <v>0.14568111725277988</v>
      </c>
      <c r="AE88" s="103">
        <f>AD88*((100+Data!$P$202)/100)</f>
        <v>0.14859473959783548</v>
      </c>
      <c r="AF88" s="103">
        <f>AE88*((100+Data!$P$202)/100)</f>
        <v>0.1515666343897922</v>
      </c>
      <c r="AG88" s="103">
        <f>AF88*((100+Data!$P$202)/100)</f>
        <v>0.15459796707758805</v>
      </c>
      <c r="AH88" s="103">
        <f>AG88*((100+Data!$P$202)/100)</f>
        <v>0.15768992641913981</v>
      </c>
      <c r="AI88" s="103">
        <f>AH88*((100+Data!$P$202)/100)</f>
        <v>0.16084372494752261</v>
      </c>
      <c r="AJ88" s="103">
        <f>AI88*((100+Data!$P$202)/100)</f>
        <v>0.16406059944647305</v>
      </c>
    </row>
    <row r="89" spans="2:36" ht="15" hidden="1" customHeight="1" x14ac:dyDescent="0.2">
      <c r="B89" s="47"/>
      <c r="C89" s="47"/>
      <c r="D89" s="47"/>
      <c r="E89" s="47"/>
      <c r="F89" s="8"/>
      <c r="G89" s="10"/>
      <c r="H89" s="10"/>
      <c r="I89" s="8"/>
      <c r="J89" s="8"/>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row>
    <row r="90" spans="2:36" ht="15" hidden="1" customHeight="1" x14ac:dyDescent="0.2">
      <c r="B90" s="47"/>
      <c r="C90" s="47"/>
      <c r="D90" s="47"/>
      <c r="E90" s="47"/>
      <c r="F90" s="8"/>
      <c r="G90" s="489" t="s">
        <v>290</v>
      </c>
      <c r="H90" s="14"/>
      <c r="I90" s="13"/>
      <c r="J90" s="13"/>
      <c r="K90" s="14"/>
      <c r="L90" s="14"/>
      <c r="M90" s="14"/>
      <c r="N90" s="14"/>
      <c r="O90" s="14"/>
      <c r="P90" s="14"/>
      <c r="Q90" s="14"/>
      <c r="R90" s="14"/>
      <c r="S90" s="14"/>
      <c r="T90" s="14"/>
      <c r="U90" s="14"/>
      <c r="V90" s="14"/>
      <c r="W90" s="14"/>
      <c r="X90" s="14"/>
      <c r="Y90" s="14"/>
      <c r="Z90" s="14"/>
      <c r="AA90" s="14"/>
      <c r="AB90" s="41"/>
      <c r="AC90" s="14"/>
      <c r="AD90" s="14"/>
      <c r="AE90" s="14"/>
      <c r="AF90" s="14"/>
      <c r="AG90" s="14"/>
      <c r="AH90" s="14"/>
      <c r="AI90" s="14"/>
      <c r="AJ90" s="14"/>
    </row>
    <row r="91" spans="2:36" ht="15" hidden="1" customHeight="1" x14ac:dyDescent="0.2">
      <c r="B91" s="47"/>
      <c r="C91" s="47"/>
      <c r="D91" s="47"/>
      <c r="E91" s="47"/>
      <c r="F91" s="8"/>
      <c r="G91" s="14"/>
      <c r="H91" s="14"/>
      <c r="I91" s="13"/>
      <c r="J91" s="13"/>
      <c r="K91" s="31"/>
      <c r="L91" s="31"/>
      <c r="M91" s="31"/>
      <c r="N91" s="31"/>
      <c r="O91" s="31"/>
      <c r="P91" s="31"/>
      <c r="Q91" s="31"/>
      <c r="R91" s="31"/>
      <c r="S91" s="31"/>
      <c r="T91" s="31"/>
      <c r="U91" s="31"/>
      <c r="V91" s="31"/>
      <c r="W91" s="31"/>
      <c r="X91" s="31"/>
      <c r="Y91" s="31"/>
      <c r="Z91" s="31"/>
      <c r="AA91" s="31"/>
      <c r="AB91" s="75"/>
      <c r="AC91" s="31"/>
      <c r="AD91" s="31"/>
      <c r="AE91" s="31"/>
      <c r="AF91" s="31"/>
      <c r="AG91" s="31"/>
      <c r="AH91" s="31"/>
      <c r="AI91" s="31"/>
      <c r="AJ91" s="31"/>
    </row>
    <row r="92" spans="2:36" ht="15" hidden="1" customHeight="1" x14ac:dyDescent="0.2">
      <c r="B92" s="47"/>
      <c r="C92" s="47"/>
      <c r="D92" s="47"/>
      <c r="E92" s="47"/>
      <c r="F92" s="8"/>
      <c r="G92" s="14" t="s">
        <v>478</v>
      </c>
      <c r="H92" s="14"/>
      <c r="I92" s="13"/>
      <c r="J92" s="13"/>
      <c r="K92" s="103">
        <f>VLOOKUP($I$15,$G$75:$AJ$79,K$70+5,FALSE)</f>
        <v>0.19338</v>
      </c>
      <c r="L92" s="103">
        <f t="shared" ref="L92:AJ92" si="3">VLOOKUP($I$15,$G$75:$AJ$79,L$70+5,FALSE)</f>
        <v>0.18757859999999998</v>
      </c>
      <c r="M92" s="103">
        <f t="shared" si="3"/>
        <v>0.18195124199999999</v>
      </c>
      <c r="N92" s="103">
        <f t="shared" si="3"/>
        <v>0.17649270473999998</v>
      </c>
      <c r="O92" s="103">
        <f t="shared" si="3"/>
        <v>0.17119792359779998</v>
      </c>
      <c r="P92" s="103">
        <f t="shared" si="3"/>
        <v>0.16606198588986598</v>
      </c>
      <c r="Q92" s="103">
        <f t="shared" si="3"/>
        <v>0.16108012631317001</v>
      </c>
      <c r="R92" s="103">
        <f t="shared" si="3"/>
        <v>0.15624772252377489</v>
      </c>
      <c r="S92" s="103">
        <f t="shared" si="3"/>
        <v>0.15156029084806164</v>
      </c>
      <c r="T92" s="103">
        <f t="shared" si="3"/>
        <v>0.14701348212261978</v>
      </c>
      <c r="U92" s="103">
        <f t="shared" si="3"/>
        <v>0.14260307765894117</v>
      </c>
      <c r="V92" s="103">
        <f t="shared" si="3"/>
        <v>0.13832498532917292</v>
      </c>
      <c r="W92" s="103">
        <f t="shared" si="3"/>
        <v>0.13417523576929774</v>
      </c>
      <c r="X92" s="103">
        <f t="shared" si="3"/>
        <v>0.1301499786962188</v>
      </c>
      <c r="Y92" s="103">
        <f t="shared" si="3"/>
        <v>0.12624547933533223</v>
      </c>
      <c r="Z92" s="103">
        <f t="shared" si="3"/>
        <v>0.12245811495527226</v>
      </c>
      <c r="AA92" s="103">
        <f t="shared" si="3"/>
        <v>0.11878437150661408</v>
      </c>
      <c r="AB92" s="103">
        <f t="shared" si="3"/>
        <v>0.11522084036141565</v>
      </c>
      <c r="AC92" s="103">
        <f t="shared" si="3"/>
        <v>0.11176421515057318</v>
      </c>
      <c r="AD92" s="103">
        <f t="shared" si="3"/>
        <v>0.10841128869605599</v>
      </c>
      <c r="AE92" s="103">
        <f t="shared" si="3"/>
        <v>0.10515895003517431</v>
      </c>
      <c r="AF92" s="103">
        <f t="shared" si="3"/>
        <v>0.10200418153411908</v>
      </c>
      <c r="AG92" s="103">
        <f t="shared" si="3"/>
        <v>9.8944056088095506E-2</v>
      </c>
      <c r="AH92" s="103">
        <f t="shared" si="3"/>
        <v>9.5975734405452637E-2</v>
      </c>
      <c r="AI92" s="103">
        <f t="shared" si="3"/>
        <v>9.3096462373289057E-2</v>
      </c>
      <c r="AJ92" s="103">
        <f t="shared" si="3"/>
        <v>9.0303568502090384E-2</v>
      </c>
    </row>
    <row r="93" spans="2:36" ht="15" hidden="1" customHeight="1" x14ac:dyDescent="0.2">
      <c r="B93" s="47"/>
      <c r="C93" s="47"/>
      <c r="D93" s="47"/>
      <c r="E93" s="47"/>
      <c r="F93" s="8"/>
      <c r="G93" s="14" t="s">
        <v>479</v>
      </c>
      <c r="H93" s="14"/>
      <c r="I93" s="13"/>
      <c r="J93" s="13"/>
      <c r="K93" s="103">
        <f>VLOOKUP($I$15,$G$81:$AJ$85,K$70+5,FALSE)</f>
        <v>0.31</v>
      </c>
      <c r="L93" s="103">
        <f t="shared" ref="L93:AJ93" si="4">VLOOKUP($I$15,$G$81:$AJ$85,L$70+5,FALSE)</f>
        <v>0.34100000000000003</v>
      </c>
      <c r="M93" s="103">
        <f t="shared" si="4"/>
        <v>0.37510000000000004</v>
      </c>
      <c r="N93" s="103">
        <f t="shared" si="4"/>
        <v>0.41261000000000009</v>
      </c>
      <c r="O93" s="103">
        <f t="shared" si="4"/>
        <v>0.45387100000000014</v>
      </c>
      <c r="P93" s="103">
        <f t="shared" si="4"/>
        <v>0.4992581000000002</v>
      </c>
      <c r="Q93" s="103">
        <f t="shared" si="4"/>
        <v>0.54918391000000022</v>
      </c>
      <c r="R93" s="103">
        <f t="shared" si="4"/>
        <v>0.60410230100000029</v>
      </c>
      <c r="S93" s="103">
        <f t="shared" si="4"/>
        <v>0.66451253110000041</v>
      </c>
      <c r="T93" s="103">
        <f t="shared" si="4"/>
        <v>0.73096378421000052</v>
      </c>
      <c r="U93" s="103">
        <f t="shared" si="4"/>
        <v>0.80406016263100066</v>
      </c>
      <c r="V93" s="103">
        <f t="shared" si="4"/>
        <v>0.88446617889410084</v>
      </c>
      <c r="W93" s="103">
        <f t="shared" si="4"/>
        <v>0.97291279678351106</v>
      </c>
      <c r="X93" s="103">
        <f t="shared" si="4"/>
        <v>1.0702040764618623</v>
      </c>
      <c r="Y93" s="103">
        <f t="shared" si="4"/>
        <v>1.1772244841080486</v>
      </c>
      <c r="Z93" s="103">
        <f t="shared" si="4"/>
        <v>1.2949469325188536</v>
      </c>
      <c r="AA93" s="103">
        <f t="shared" si="4"/>
        <v>1.4244416257707391</v>
      </c>
      <c r="AB93" s="103">
        <f t="shared" si="4"/>
        <v>1.5668857883478131</v>
      </c>
      <c r="AC93" s="103">
        <f t="shared" si="4"/>
        <v>1.7235743671825945</v>
      </c>
      <c r="AD93" s="103">
        <f t="shared" si="4"/>
        <v>1.8959318039008541</v>
      </c>
      <c r="AE93" s="103">
        <f t="shared" si="4"/>
        <v>2.0855249842909398</v>
      </c>
      <c r="AF93" s="103">
        <f t="shared" si="4"/>
        <v>2.2940774827200339</v>
      </c>
      <c r="AG93" s="103">
        <f t="shared" si="4"/>
        <v>2.5234852309920375</v>
      </c>
      <c r="AH93" s="103">
        <f t="shared" si="4"/>
        <v>2.7758337540912414</v>
      </c>
      <c r="AI93" s="103">
        <f t="shared" si="4"/>
        <v>3.053417129500366</v>
      </c>
      <c r="AJ93" s="103">
        <f t="shared" si="4"/>
        <v>3.3587588424504031</v>
      </c>
    </row>
    <row r="94" spans="2:36" ht="15" hidden="1" customHeight="1" x14ac:dyDescent="0.2">
      <c r="B94" s="47"/>
      <c r="C94" s="47"/>
      <c r="D94" s="47"/>
      <c r="E94" s="47"/>
      <c r="F94" s="8"/>
      <c r="G94" s="14"/>
      <c r="H94" s="14"/>
      <c r="I94" s="13"/>
      <c r="J94" s="13"/>
      <c r="K94" s="31"/>
      <c r="L94" s="31"/>
      <c r="M94" s="31"/>
      <c r="N94" s="31"/>
      <c r="O94" s="31"/>
      <c r="P94" s="31"/>
      <c r="Q94" s="31"/>
      <c r="R94" s="31"/>
      <c r="S94" s="31"/>
      <c r="T94" s="31"/>
      <c r="U94" s="31"/>
      <c r="V94" s="31"/>
      <c r="W94" s="31"/>
      <c r="X94" s="31"/>
      <c r="Y94" s="31"/>
      <c r="Z94" s="31"/>
      <c r="AA94" s="31"/>
      <c r="AB94" s="75"/>
      <c r="AC94" s="31"/>
      <c r="AD94" s="31"/>
      <c r="AE94" s="31"/>
      <c r="AF94" s="31"/>
      <c r="AG94" s="31"/>
      <c r="AH94" s="31"/>
      <c r="AI94" s="31"/>
      <c r="AJ94" s="31"/>
    </row>
    <row r="95" spans="2:36" ht="15" hidden="1" customHeight="1" x14ac:dyDescent="0.2">
      <c r="B95" s="47"/>
      <c r="C95" s="47"/>
      <c r="D95" s="47"/>
      <c r="E95" s="47"/>
      <c r="F95" s="8"/>
      <c r="G95" s="14" t="s">
        <v>4</v>
      </c>
      <c r="H95" s="14"/>
      <c r="I95" s="13"/>
      <c r="J95" s="13"/>
      <c r="K95" s="42"/>
      <c r="L95" s="42"/>
      <c r="M95" s="42"/>
      <c r="N95" s="42"/>
      <c r="O95" s="42"/>
      <c r="P95" s="42"/>
      <c r="Q95" s="42"/>
      <c r="R95" s="42"/>
      <c r="S95" s="42"/>
      <c r="T95" s="42"/>
      <c r="U95" s="42"/>
      <c r="V95" s="42"/>
      <c r="W95" s="42"/>
      <c r="X95" s="42"/>
      <c r="Y95" s="42"/>
      <c r="Z95" s="42"/>
      <c r="AA95" s="42"/>
      <c r="AB95" s="76"/>
      <c r="AC95" s="42"/>
      <c r="AD95" s="42"/>
      <c r="AE95" s="42"/>
      <c r="AF95" s="42"/>
      <c r="AG95" s="42"/>
      <c r="AH95" s="42"/>
      <c r="AI95" s="42"/>
      <c r="AJ95" s="42"/>
    </row>
    <row r="96" spans="2:36" ht="15" hidden="1" customHeight="1" x14ac:dyDescent="0.2">
      <c r="B96" s="47"/>
      <c r="C96" s="47"/>
      <c r="D96" s="47"/>
      <c r="E96" s="47"/>
      <c r="F96" s="8"/>
      <c r="G96" s="14" t="s">
        <v>5</v>
      </c>
      <c r="H96" s="14"/>
      <c r="I96" s="13"/>
      <c r="J96" s="13"/>
      <c r="K96" s="42"/>
      <c r="L96" s="42"/>
      <c r="M96" s="42"/>
      <c r="N96" s="42"/>
      <c r="O96" s="42"/>
      <c r="P96" s="42"/>
      <c r="Q96" s="42"/>
      <c r="R96" s="42"/>
      <c r="S96" s="42"/>
      <c r="T96" s="42"/>
      <c r="U96" s="42"/>
      <c r="V96" s="42"/>
      <c r="W96" s="42"/>
      <c r="X96" s="42"/>
      <c r="Y96" s="42"/>
      <c r="Z96" s="42"/>
      <c r="AA96" s="42"/>
      <c r="AB96" s="76"/>
      <c r="AC96" s="42"/>
      <c r="AD96" s="42"/>
      <c r="AE96" s="42"/>
      <c r="AF96" s="42"/>
      <c r="AG96" s="42"/>
      <c r="AH96" s="42"/>
      <c r="AI96" s="42"/>
      <c r="AJ96" s="42"/>
    </row>
    <row r="97" spans="2:36" ht="15" hidden="1" customHeight="1" x14ac:dyDescent="0.2">
      <c r="B97" s="47"/>
      <c r="C97" s="47"/>
      <c r="D97" s="47"/>
      <c r="E97" s="47"/>
      <c r="F97" s="8"/>
      <c r="G97" s="14" t="s">
        <v>6</v>
      </c>
      <c r="H97" s="14"/>
      <c r="I97" s="13"/>
      <c r="J97" s="13"/>
      <c r="K97" s="31">
        <f>$K$11</f>
        <v>0</v>
      </c>
      <c r="L97" s="31">
        <f t="shared" ref="L97:AI97" si="5">$K$11</f>
        <v>0</v>
      </c>
      <c r="M97" s="31">
        <f t="shared" si="5"/>
        <v>0</v>
      </c>
      <c r="N97" s="31">
        <f t="shared" si="5"/>
        <v>0</v>
      </c>
      <c r="O97" s="31">
        <f t="shared" si="5"/>
        <v>0</v>
      </c>
      <c r="P97" s="31">
        <f t="shared" si="5"/>
        <v>0</v>
      </c>
      <c r="Q97" s="31">
        <f t="shared" si="5"/>
        <v>0</v>
      </c>
      <c r="R97" s="31">
        <f t="shared" si="5"/>
        <v>0</v>
      </c>
      <c r="S97" s="31">
        <f t="shared" si="5"/>
        <v>0</v>
      </c>
      <c r="T97" s="31">
        <f t="shared" si="5"/>
        <v>0</v>
      </c>
      <c r="U97" s="31">
        <f t="shared" si="5"/>
        <v>0</v>
      </c>
      <c r="V97" s="31">
        <f t="shared" si="5"/>
        <v>0</v>
      </c>
      <c r="W97" s="31">
        <f t="shared" si="5"/>
        <v>0</v>
      </c>
      <c r="X97" s="31">
        <f t="shared" si="5"/>
        <v>0</v>
      </c>
      <c r="Y97" s="31">
        <f t="shared" si="5"/>
        <v>0</v>
      </c>
      <c r="Z97" s="31">
        <f t="shared" si="5"/>
        <v>0</v>
      </c>
      <c r="AA97" s="31">
        <f t="shared" si="5"/>
        <v>0</v>
      </c>
      <c r="AB97" s="31">
        <f t="shared" si="5"/>
        <v>0</v>
      </c>
      <c r="AC97" s="31">
        <f t="shared" si="5"/>
        <v>0</v>
      </c>
      <c r="AD97" s="31">
        <f t="shared" si="5"/>
        <v>0</v>
      </c>
      <c r="AE97" s="31">
        <f t="shared" si="5"/>
        <v>0</v>
      </c>
      <c r="AF97" s="31">
        <f t="shared" si="5"/>
        <v>0</v>
      </c>
      <c r="AG97" s="31">
        <f t="shared" si="5"/>
        <v>0</v>
      </c>
      <c r="AH97" s="31">
        <f t="shared" si="5"/>
        <v>0</v>
      </c>
      <c r="AI97" s="31">
        <f t="shared" si="5"/>
        <v>0</v>
      </c>
      <c r="AJ97" s="31">
        <f>$K$11</f>
        <v>0</v>
      </c>
    </row>
    <row r="98" spans="2:36" ht="15" hidden="1" customHeight="1" x14ac:dyDescent="0.2">
      <c r="B98" s="47"/>
      <c r="C98" s="47"/>
      <c r="D98" s="47"/>
      <c r="E98" s="47"/>
      <c r="F98" s="8"/>
      <c r="G98" s="14"/>
      <c r="H98" s="14"/>
      <c r="I98" s="13"/>
      <c r="J98" s="13"/>
      <c r="K98" s="31"/>
      <c r="L98" s="31"/>
      <c r="M98" s="31"/>
      <c r="N98" s="31"/>
      <c r="O98" s="31"/>
      <c r="P98" s="31"/>
      <c r="Q98" s="31"/>
      <c r="R98" s="31"/>
      <c r="S98" s="31"/>
      <c r="T98" s="31"/>
      <c r="U98" s="31"/>
      <c r="V98" s="31"/>
      <c r="W98" s="31"/>
      <c r="X98" s="31"/>
      <c r="Y98" s="31"/>
      <c r="Z98" s="31"/>
      <c r="AA98" s="31"/>
      <c r="AB98" s="75"/>
      <c r="AC98" s="31"/>
      <c r="AD98" s="31"/>
      <c r="AE98" s="31"/>
      <c r="AF98" s="31"/>
      <c r="AG98" s="31"/>
      <c r="AH98" s="31"/>
      <c r="AI98" s="31"/>
      <c r="AJ98" s="31"/>
    </row>
    <row r="99" spans="2:36" ht="15" hidden="1" customHeight="1" x14ac:dyDescent="0.2">
      <c r="B99" s="47"/>
      <c r="C99" s="47"/>
      <c r="D99" s="47"/>
      <c r="E99" s="47"/>
      <c r="F99" s="8"/>
      <c r="G99" s="14" t="s">
        <v>7</v>
      </c>
      <c r="H99" s="14"/>
      <c r="I99" s="13"/>
      <c r="J99" s="13"/>
      <c r="K99" s="42"/>
      <c r="L99" s="42"/>
      <c r="M99" s="42"/>
      <c r="N99" s="42"/>
      <c r="O99" s="42"/>
      <c r="P99" s="42"/>
      <c r="Q99" s="42"/>
      <c r="R99" s="42"/>
      <c r="S99" s="42"/>
      <c r="T99" s="42"/>
      <c r="U99" s="42"/>
      <c r="V99" s="42"/>
      <c r="W99" s="42"/>
      <c r="X99" s="42"/>
      <c r="Y99" s="42"/>
      <c r="Z99" s="42"/>
      <c r="AA99" s="42"/>
      <c r="AB99" s="76"/>
      <c r="AC99" s="42"/>
      <c r="AD99" s="42"/>
      <c r="AE99" s="42"/>
      <c r="AF99" s="42"/>
      <c r="AG99" s="42"/>
      <c r="AH99" s="42"/>
      <c r="AI99" s="42"/>
      <c r="AJ99" s="42"/>
    </row>
    <row r="100" spans="2:36" ht="15" hidden="1" customHeight="1" x14ac:dyDescent="0.2">
      <c r="B100" s="47"/>
      <c r="C100" s="47"/>
      <c r="D100" s="47"/>
      <c r="E100" s="47"/>
      <c r="F100" s="8"/>
      <c r="G100" s="14" t="s">
        <v>8</v>
      </c>
      <c r="H100" s="14"/>
      <c r="I100" s="13"/>
      <c r="J100" s="13"/>
      <c r="K100" s="42"/>
      <c r="L100" s="42"/>
      <c r="M100" s="42"/>
      <c r="N100" s="42"/>
      <c r="O100" s="42"/>
      <c r="P100" s="42"/>
      <c r="Q100" s="42"/>
      <c r="R100" s="42"/>
      <c r="S100" s="42"/>
      <c r="T100" s="42"/>
      <c r="U100" s="42"/>
      <c r="V100" s="42"/>
      <c r="W100" s="42"/>
      <c r="X100" s="42"/>
      <c r="Y100" s="42"/>
      <c r="Z100" s="42"/>
      <c r="AA100" s="42"/>
      <c r="AB100" s="76"/>
      <c r="AC100" s="42"/>
      <c r="AD100" s="42"/>
      <c r="AE100" s="42"/>
      <c r="AF100" s="42"/>
      <c r="AG100" s="42"/>
      <c r="AH100" s="42"/>
      <c r="AI100" s="42"/>
      <c r="AJ100" s="42"/>
    </row>
    <row r="101" spans="2:36" ht="15" hidden="1" customHeight="1" x14ac:dyDescent="0.2">
      <c r="B101" s="47"/>
      <c r="C101" s="47"/>
      <c r="D101" s="47"/>
      <c r="E101" s="47"/>
      <c r="F101" s="8"/>
      <c r="G101" s="14" t="s">
        <v>9</v>
      </c>
      <c r="H101" s="14"/>
      <c r="I101" s="13"/>
      <c r="J101" s="13"/>
      <c r="K101" s="31">
        <f t="shared" ref="K101:AJ101" si="6">K92*K97</f>
        <v>0</v>
      </c>
      <c r="L101" s="31">
        <f t="shared" si="6"/>
        <v>0</v>
      </c>
      <c r="M101" s="31">
        <f t="shared" si="6"/>
        <v>0</v>
      </c>
      <c r="N101" s="31">
        <f t="shared" si="6"/>
        <v>0</v>
      </c>
      <c r="O101" s="31">
        <f t="shared" si="6"/>
        <v>0</v>
      </c>
      <c r="P101" s="31">
        <f t="shared" si="6"/>
        <v>0</v>
      </c>
      <c r="Q101" s="31">
        <f t="shared" si="6"/>
        <v>0</v>
      </c>
      <c r="R101" s="31">
        <f t="shared" si="6"/>
        <v>0</v>
      </c>
      <c r="S101" s="31">
        <f t="shared" si="6"/>
        <v>0</v>
      </c>
      <c r="T101" s="31">
        <f t="shared" si="6"/>
        <v>0</v>
      </c>
      <c r="U101" s="31">
        <f t="shared" si="6"/>
        <v>0</v>
      </c>
      <c r="V101" s="31">
        <f t="shared" si="6"/>
        <v>0</v>
      </c>
      <c r="W101" s="31">
        <f t="shared" si="6"/>
        <v>0</v>
      </c>
      <c r="X101" s="31">
        <f t="shared" si="6"/>
        <v>0</v>
      </c>
      <c r="Y101" s="31">
        <f t="shared" si="6"/>
        <v>0</v>
      </c>
      <c r="Z101" s="31">
        <f t="shared" si="6"/>
        <v>0</v>
      </c>
      <c r="AA101" s="31">
        <f t="shared" si="6"/>
        <v>0</v>
      </c>
      <c r="AB101" s="31">
        <f t="shared" si="6"/>
        <v>0</v>
      </c>
      <c r="AC101" s="31">
        <f t="shared" si="6"/>
        <v>0</v>
      </c>
      <c r="AD101" s="31">
        <f t="shared" si="6"/>
        <v>0</v>
      </c>
      <c r="AE101" s="31">
        <f t="shared" si="6"/>
        <v>0</v>
      </c>
      <c r="AF101" s="31">
        <f t="shared" si="6"/>
        <v>0</v>
      </c>
      <c r="AG101" s="31">
        <f t="shared" si="6"/>
        <v>0</v>
      </c>
      <c r="AH101" s="31">
        <f t="shared" si="6"/>
        <v>0</v>
      </c>
      <c r="AI101" s="31">
        <f t="shared" si="6"/>
        <v>0</v>
      </c>
      <c r="AJ101" s="31">
        <f t="shared" si="6"/>
        <v>0</v>
      </c>
    </row>
    <row r="102" spans="2:36" ht="15" hidden="1" customHeight="1" x14ac:dyDescent="0.2">
      <c r="B102" s="47"/>
      <c r="C102" s="47"/>
      <c r="D102" s="47"/>
      <c r="E102" s="47"/>
      <c r="F102" s="8"/>
      <c r="G102" s="14"/>
      <c r="H102" s="14"/>
      <c r="I102" s="13"/>
      <c r="J102" s="13"/>
      <c r="K102" s="31"/>
      <c r="L102" s="31"/>
      <c r="M102" s="31"/>
      <c r="N102" s="31"/>
      <c r="O102" s="31"/>
      <c r="P102" s="31"/>
      <c r="Q102" s="31"/>
      <c r="R102" s="31"/>
      <c r="S102" s="31"/>
      <c r="T102" s="31"/>
      <c r="U102" s="31"/>
      <c r="V102" s="31"/>
      <c r="W102" s="31"/>
      <c r="X102" s="31"/>
      <c r="Y102" s="31"/>
      <c r="Z102" s="31"/>
      <c r="AA102" s="31"/>
      <c r="AB102" s="75"/>
      <c r="AC102" s="31"/>
      <c r="AD102" s="31"/>
      <c r="AE102" s="31"/>
      <c r="AF102" s="31"/>
      <c r="AG102" s="31"/>
      <c r="AH102" s="31"/>
      <c r="AI102" s="31"/>
      <c r="AJ102" s="31"/>
    </row>
    <row r="103" spans="2:36" ht="15" hidden="1" customHeight="1" x14ac:dyDescent="0.2">
      <c r="B103" s="47"/>
      <c r="C103" s="47"/>
      <c r="D103" s="47"/>
      <c r="E103" s="47"/>
      <c r="F103" s="8"/>
      <c r="G103" s="14" t="s">
        <v>10</v>
      </c>
      <c r="H103" s="14"/>
      <c r="I103" s="13"/>
      <c r="J103" s="13"/>
      <c r="K103" s="75">
        <f>IF($K$24=0,IF(K70=$K$19,$K$18,0),IF(K$70=$K$19,$K$18*K$87,IF(OR(AND($K$19=0,K$70=$K$19),AND(K$70&gt;=$K$19+$K$24,INT((K$70-$K$19)/($K$24))=(K$70-$K$19)/($K$24))),$K$23*K$87,0)))</f>
        <v>0</v>
      </c>
      <c r="L103" s="75">
        <f t="shared" ref="L103:AJ103" si="7">IF($K$24=0,IF(L70=$K$19,$K$18,0),IF(L$70=$K$19,$K$18*L$87,IF(OR(AND($K$19=0,L$70=$K$19),AND(L$70&gt;=$K$19+$K$24,INT((L$70-$K$19)/($K$24))=(L$70-$K$19)/($K$24))),$K$23*L$87,0)))</f>
        <v>0</v>
      </c>
      <c r="M103" s="75">
        <f t="shared" si="7"/>
        <v>0</v>
      </c>
      <c r="N103" s="75">
        <f t="shared" si="7"/>
        <v>0</v>
      </c>
      <c r="O103" s="75">
        <f t="shared" si="7"/>
        <v>0</v>
      </c>
      <c r="P103" s="75">
        <f t="shared" si="7"/>
        <v>0</v>
      </c>
      <c r="Q103" s="75">
        <f t="shared" si="7"/>
        <v>0</v>
      </c>
      <c r="R103" s="75">
        <f t="shared" si="7"/>
        <v>0</v>
      </c>
      <c r="S103" s="75">
        <f t="shared" si="7"/>
        <v>0</v>
      </c>
      <c r="T103" s="75">
        <f t="shared" si="7"/>
        <v>0</v>
      </c>
      <c r="U103" s="75">
        <f t="shared" si="7"/>
        <v>0</v>
      </c>
      <c r="V103" s="75">
        <f t="shared" si="7"/>
        <v>0</v>
      </c>
      <c r="W103" s="75">
        <f t="shared" si="7"/>
        <v>0</v>
      </c>
      <c r="X103" s="75">
        <f t="shared" si="7"/>
        <v>0</v>
      </c>
      <c r="Y103" s="75">
        <f t="shared" si="7"/>
        <v>0</v>
      </c>
      <c r="Z103" s="75">
        <f t="shared" si="7"/>
        <v>0</v>
      </c>
      <c r="AA103" s="75">
        <f t="shared" si="7"/>
        <v>0</v>
      </c>
      <c r="AB103" s="75">
        <f t="shared" si="7"/>
        <v>0</v>
      </c>
      <c r="AC103" s="75">
        <f t="shared" si="7"/>
        <v>0</v>
      </c>
      <c r="AD103" s="75">
        <f t="shared" si="7"/>
        <v>0</v>
      </c>
      <c r="AE103" s="75">
        <f t="shared" si="7"/>
        <v>0</v>
      </c>
      <c r="AF103" s="75">
        <f t="shared" si="7"/>
        <v>0</v>
      </c>
      <c r="AG103" s="75">
        <f t="shared" si="7"/>
        <v>0</v>
      </c>
      <c r="AH103" s="75">
        <f t="shared" si="7"/>
        <v>0</v>
      </c>
      <c r="AI103" s="75">
        <f t="shared" si="7"/>
        <v>0</v>
      </c>
      <c r="AJ103" s="75">
        <f t="shared" si="7"/>
        <v>0</v>
      </c>
    </row>
    <row r="104" spans="2:36" ht="15" hidden="1" customHeight="1" x14ac:dyDescent="0.2">
      <c r="B104" s="47"/>
      <c r="C104" s="47"/>
      <c r="D104" s="47"/>
      <c r="E104" s="47"/>
      <c r="F104" s="8"/>
      <c r="G104" s="14" t="s">
        <v>458</v>
      </c>
      <c r="H104" s="14"/>
      <c r="I104" s="13"/>
      <c r="J104" s="13"/>
      <c r="K104" s="31">
        <f>($K$21*K$87)-($K$22*K$87)</f>
        <v>0</v>
      </c>
      <c r="L104" s="31">
        <f t="shared" ref="L104:AJ104" si="8">($K$21*L$87)-($K$22*L$87)</f>
        <v>0</v>
      </c>
      <c r="M104" s="31">
        <f t="shared" si="8"/>
        <v>0</v>
      </c>
      <c r="N104" s="31">
        <f t="shared" si="8"/>
        <v>0</v>
      </c>
      <c r="O104" s="31">
        <f t="shared" si="8"/>
        <v>0</v>
      </c>
      <c r="P104" s="31">
        <f t="shared" si="8"/>
        <v>0</v>
      </c>
      <c r="Q104" s="31">
        <f t="shared" si="8"/>
        <v>0</v>
      </c>
      <c r="R104" s="31">
        <f t="shared" si="8"/>
        <v>0</v>
      </c>
      <c r="S104" s="31">
        <f t="shared" si="8"/>
        <v>0</v>
      </c>
      <c r="T104" s="31">
        <f t="shared" si="8"/>
        <v>0</v>
      </c>
      <c r="U104" s="31">
        <f t="shared" si="8"/>
        <v>0</v>
      </c>
      <c r="V104" s="31">
        <f t="shared" si="8"/>
        <v>0</v>
      </c>
      <c r="W104" s="31">
        <f t="shared" si="8"/>
        <v>0</v>
      </c>
      <c r="X104" s="31">
        <f t="shared" si="8"/>
        <v>0</v>
      </c>
      <c r="Y104" s="31">
        <f t="shared" si="8"/>
        <v>0</v>
      </c>
      <c r="Z104" s="31">
        <f t="shared" si="8"/>
        <v>0</v>
      </c>
      <c r="AA104" s="31">
        <f t="shared" si="8"/>
        <v>0</v>
      </c>
      <c r="AB104" s="31">
        <f t="shared" si="8"/>
        <v>0</v>
      </c>
      <c r="AC104" s="31">
        <f t="shared" si="8"/>
        <v>0</v>
      </c>
      <c r="AD104" s="31">
        <f t="shared" si="8"/>
        <v>0</v>
      </c>
      <c r="AE104" s="31">
        <f t="shared" si="8"/>
        <v>0</v>
      </c>
      <c r="AF104" s="31">
        <f t="shared" si="8"/>
        <v>0</v>
      </c>
      <c r="AG104" s="31">
        <f t="shared" si="8"/>
        <v>0</v>
      </c>
      <c r="AH104" s="31">
        <f t="shared" si="8"/>
        <v>0</v>
      </c>
      <c r="AI104" s="31">
        <f t="shared" si="8"/>
        <v>0</v>
      </c>
      <c r="AJ104" s="31">
        <f t="shared" si="8"/>
        <v>0</v>
      </c>
    </row>
    <row r="105" spans="2:36" ht="15" hidden="1" customHeight="1" x14ac:dyDescent="0.2">
      <c r="B105" s="47"/>
      <c r="C105" s="47"/>
      <c r="D105" s="47"/>
      <c r="E105" s="47"/>
      <c r="F105" s="8"/>
      <c r="G105" s="14" t="s">
        <v>12</v>
      </c>
      <c r="H105" s="14"/>
      <c r="I105" s="13"/>
      <c r="J105" s="13"/>
      <c r="K105" s="31">
        <f t="shared" ref="K105:AJ105" si="9">K$93*K97</f>
        <v>0</v>
      </c>
      <c r="L105" s="31">
        <f t="shared" si="9"/>
        <v>0</v>
      </c>
      <c r="M105" s="31">
        <f t="shared" si="9"/>
        <v>0</v>
      </c>
      <c r="N105" s="31">
        <f t="shared" si="9"/>
        <v>0</v>
      </c>
      <c r="O105" s="31">
        <f t="shared" si="9"/>
        <v>0</v>
      </c>
      <c r="P105" s="31">
        <f t="shared" si="9"/>
        <v>0</v>
      </c>
      <c r="Q105" s="31">
        <f t="shared" si="9"/>
        <v>0</v>
      </c>
      <c r="R105" s="31">
        <f t="shared" si="9"/>
        <v>0</v>
      </c>
      <c r="S105" s="31">
        <f t="shared" si="9"/>
        <v>0</v>
      </c>
      <c r="T105" s="31">
        <f t="shared" si="9"/>
        <v>0</v>
      </c>
      <c r="U105" s="31">
        <f t="shared" si="9"/>
        <v>0</v>
      </c>
      <c r="V105" s="31">
        <f t="shared" si="9"/>
        <v>0</v>
      </c>
      <c r="W105" s="31">
        <f t="shared" si="9"/>
        <v>0</v>
      </c>
      <c r="X105" s="31">
        <f t="shared" si="9"/>
        <v>0</v>
      </c>
      <c r="Y105" s="31">
        <f t="shared" si="9"/>
        <v>0</v>
      </c>
      <c r="Z105" s="31">
        <f t="shared" si="9"/>
        <v>0</v>
      </c>
      <c r="AA105" s="31">
        <f t="shared" si="9"/>
        <v>0</v>
      </c>
      <c r="AB105" s="31">
        <f t="shared" si="9"/>
        <v>0</v>
      </c>
      <c r="AC105" s="31">
        <f t="shared" si="9"/>
        <v>0</v>
      </c>
      <c r="AD105" s="31">
        <f t="shared" si="9"/>
        <v>0</v>
      </c>
      <c r="AE105" s="31">
        <f t="shared" si="9"/>
        <v>0</v>
      </c>
      <c r="AF105" s="31">
        <f t="shared" si="9"/>
        <v>0</v>
      </c>
      <c r="AG105" s="31">
        <f t="shared" si="9"/>
        <v>0</v>
      </c>
      <c r="AH105" s="31">
        <f t="shared" si="9"/>
        <v>0</v>
      </c>
      <c r="AI105" s="31">
        <f t="shared" si="9"/>
        <v>0</v>
      </c>
      <c r="AJ105" s="31">
        <f t="shared" si="9"/>
        <v>0</v>
      </c>
    </row>
    <row r="106" spans="2:36" ht="15" hidden="1" customHeight="1" x14ac:dyDescent="0.2">
      <c r="B106" s="47"/>
      <c r="C106" s="47"/>
      <c r="D106" s="47"/>
      <c r="E106" s="47"/>
      <c r="F106" s="8"/>
      <c r="G106" s="14" t="s">
        <v>13</v>
      </c>
      <c r="H106" s="14"/>
      <c r="I106" s="13"/>
      <c r="J106" s="13"/>
      <c r="K106" s="31">
        <f t="shared" ref="K106:AJ106" si="10">K88*K101</f>
        <v>0</v>
      </c>
      <c r="L106" s="31">
        <f t="shared" si="10"/>
        <v>0</v>
      </c>
      <c r="M106" s="31">
        <f t="shared" si="10"/>
        <v>0</v>
      </c>
      <c r="N106" s="31">
        <f t="shared" si="10"/>
        <v>0</v>
      </c>
      <c r="O106" s="31">
        <f t="shared" si="10"/>
        <v>0</v>
      </c>
      <c r="P106" s="31">
        <f t="shared" si="10"/>
        <v>0</v>
      </c>
      <c r="Q106" s="31">
        <f t="shared" si="10"/>
        <v>0</v>
      </c>
      <c r="R106" s="31">
        <f t="shared" si="10"/>
        <v>0</v>
      </c>
      <c r="S106" s="31">
        <f t="shared" si="10"/>
        <v>0</v>
      </c>
      <c r="T106" s="31">
        <f t="shared" si="10"/>
        <v>0</v>
      </c>
      <c r="U106" s="31">
        <f t="shared" si="10"/>
        <v>0</v>
      </c>
      <c r="V106" s="31">
        <f t="shared" si="10"/>
        <v>0</v>
      </c>
      <c r="W106" s="31">
        <f t="shared" si="10"/>
        <v>0</v>
      </c>
      <c r="X106" s="31">
        <f t="shared" si="10"/>
        <v>0</v>
      </c>
      <c r="Y106" s="31">
        <f t="shared" si="10"/>
        <v>0</v>
      </c>
      <c r="Z106" s="31">
        <f t="shared" si="10"/>
        <v>0</v>
      </c>
      <c r="AA106" s="31">
        <f t="shared" si="10"/>
        <v>0</v>
      </c>
      <c r="AB106" s="75">
        <f t="shared" si="10"/>
        <v>0</v>
      </c>
      <c r="AC106" s="31">
        <f t="shared" si="10"/>
        <v>0</v>
      </c>
      <c r="AD106" s="31">
        <f t="shared" si="10"/>
        <v>0</v>
      </c>
      <c r="AE106" s="31">
        <f t="shared" si="10"/>
        <v>0</v>
      </c>
      <c r="AF106" s="31">
        <f t="shared" si="10"/>
        <v>0</v>
      </c>
      <c r="AG106" s="31">
        <f t="shared" si="10"/>
        <v>0</v>
      </c>
      <c r="AH106" s="31">
        <f t="shared" si="10"/>
        <v>0</v>
      </c>
      <c r="AI106" s="31">
        <f t="shared" si="10"/>
        <v>0</v>
      </c>
      <c r="AJ106" s="31">
        <f t="shared" si="10"/>
        <v>0</v>
      </c>
    </row>
    <row r="107" spans="2:36" ht="15" hidden="1" customHeight="1" x14ac:dyDescent="0.2">
      <c r="B107" s="47"/>
      <c r="C107" s="47"/>
      <c r="D107" s="47"/>
      <c r="E107" s="47"/>
      <c r="F107" s="8"/>
      <c r="G107" s="14"/>
      <c r="H107" s="14"/>
      <c r="I107" s="13"/>
      <c r="J107" s="13"/>
      <c r="K107" s="31"/>
      <c r="L107" s="31"/>
      <c r="M107" s="31"/>
      <c r="N107" s="31"/>
      <c r="O107" s="31"/>
      <c r="P107" s="31"/>
      <c r="Q107" s="31"/>
      <c r="R107" s="31"/>
      <c r="S107" s="31"/>
      <c r="T107" s="31"/>
      <c r="U107" s="31"/>
      <c r="V107" s="31"/>
      <c r="W107" s="31"/>
      <c r="X107" s="31"/>
      <c r="Y107" s="31"/>
      <c r="Z107" s="31"/>
      <c r="AA107" s="31"/>
      <c r="AB107" s="75"/>
      <c r="AC107" s="31"/>
      <c r="AD107" s="31"/>
      <c r="AE107" s="31"/>
      <c r="AF107" s="31"/>
      <c r="AG107" s="31"/>
      <c r="AH107" s="31"/>
      <c r="AI107" s="31"/>
      <c r="AJ107" s="31"/>
    </row>
    <row r="108" spans="2:36" ht="15" hidden="1" customHeight="1" x14ac:dyDescent="0.2">
      <c r="B108" s="47"/>
      <c r="C108" s="47"/>
      <c r="D108" s="47"/>
      <c r="E108" s="47"/>
      <c r="F108" s="8"/>
      <c r="G108" s="14" t="s">
        <v>14</v>
      </c>
      <c r="H108" s="14"/>
      <c r="I108" s="13"/>
      <c r="J108" s="13"/>
      <c r="K108" s="31">
        <f>SUM(K103:K106)</f>
        <v>0</v>
      </c>
      <c r="L108" s="31">
        <f t="shared" ref="L108:AH108" si="11">SUM(L103:L106)</f>
        <v>0</v>
      </c>
      <c r="M108" s="31">
        <f t="shared" si="11"/>
        <v>0</v>
      </c>
      <c r="N108" s="31">
        <f t="shared" si="11"/>
        <v>0</v>
      </c>
      <c r="O108" s="31">
        <f t="shared" si="11"/>
        <v>0</v>
      </c>
      <c r="P108" s="31">
        <f t="shared" si="11"/>
        <v>0</v>
      </c>
      <c r="Q108" s="31">
        <f t="shared" si="11"/>
        <v>0</v>
      </c>
      <c r="R108" s="31">
        <f t="shared" si="11"/>
        <v>0</v>
      </c>
      <c r="S108" s="31">
        <f t="shared" si="11"/>
        <v>0</v>
      </c>
      <c r="T108" s="31">
        <f t="shared" si="11"/>
        <v>0</v>
      </c>
      <c r="U108" s="31">
        <f t="shared" si="11"/>
        <v>0</v>
      </c>
      <c r="V108" s="31">
        <f t="shared" si="11"/>
        <v>0</v>
      </c>
      <c r="W108" s="31">
        <f t="shared" si="11"/>
        <v>0</v>
      </c>
      <c r="X108" s="31">
        <f t="shared" si="11"/>
        <v>0</v>
      </c>
      <c r="Y108" s="31">
        <f t="shared" si="11"/>
        <v>0</v>
      </c>
      <c r="Z108" s="31">
        <f t="shared" si="11"/>
        <v>0</v>
      </c>
      <c r="AA108" s="31">
        <f t="shared" si="11"/>
        <v>0</v>
      </c>
      <c r="AB108" s="75">
        <f t="shared" si="11"/>
        <v>0</v>
      </c>
      <c r="AC108" s="31">
        <f t="shared" si="11"/>
        <v>0</v>
      </c>
      <c r="AD108" s="31">
        <f t="shared" si="11"/>
        <v>0</v>
      </c>
      <c r="AE108" s="31">
        <f t="shared" si="11"/>
        <v>0</v>
      </c>
      <c r="AF108" s="31">
        <f t="shared" si="11"/>
        <v>0</v>
      </c>
      <c r="AG108" s="31">
        <f t="shared" si="11"/>
        <v>0</v>
      </c>
      <c r="AH108" s="31">
        <f t="shared" si="11"/>
        <v>0</v>
      </c>
      <c r="AI108" s="31">
        <f>SUM(AI103:AI106)</f>
        <v>0</v>
      </c>
      <c r="AJ108" s="31">
        <f>SUM(AJ103:AJ106)</f>
        <v>0</v>
      </c>
    </row>
    <row r="109" spans="2:36" ht="15" hidden="1" customHeight="1" x14ac:dyDescent="0.2">
      <c r="B109" s="47"/>
      <c r="C109" s="47"/>
      <c r="D109" s="47"/>
      <c r="E109" s="47"/>
      <c r="F109" s="8"/>
      <c r="G109" s="14" t="s">
        <v>256</v>
      </c>
      <c r="H109" s="14"/>
      <c r="I109" s="13"/>
      <c r="J109" s="13"/>
      <c r="K109" s="31">
        <f>K108</f>
        <v>0</v>
      </c>
      <c r="L109" s="31">
        <f t="shared" ref="L109:AJ109" si="12">K109+L108</f>
        <v>0</v>
      </c>
      <c r="M109" s="31">
        <f t="shared" si="12"/>
        <v>0</v>
      </c>
      <c r="N109" s="31">
        <f t="shared" si="12"/>
        <v>0</v>
      </c>
      <c r="O109" s="31">
        <f t="shared" si="12"/>
        <v>0</v>
      </c>
      <c r="P109" s="31">
        <f t="shared" si="12"/>
        <v>0</v>
      </c>
      <c r="Q109" s="31">
        <f t="shared" si="12"/>
        <v>0</v>
      </c>
      <c r="R109" s="31">
        <f t="shared" si="12"/>
        <v>0</v>
      </c>
      <c r="S109" s="31">
        <f t="shared" si="12"/>
        <v>0</v>
      </c>
      <c r="T109" s="31">
        <f t="shared" si="12"/>
        <v>0</v>
      </c>
      <c r="U109" s="31">
        <f t="shared" si="12"/>
        <v>0</v>
      </c>
      <c r="V109" s="31">
        <f t="shared" si="12"/>
        <v>0</v>
      </c>
      <c r="W109" s="31">
        <f t="shared" si="12"/>
        <v>0</v>
      </c>
      <c r="X109" s="31">
        <f t="shared" si="12"/>
        <v>0</v>
      </c>
      <c r="Y109" s="31">
        <f t="shared" si="12"/>
        <v>0</v>
      </c>
      <c r="Z109" s="31">
        <f t="shared" si="12"/>
        <v>0</v>
      </c>
      <c r="AA109" s="31">
        <f t="shared" si="12"/>
        <v>0</v>
      </c>
      <c r="AB109" s="75">
        <f t="shared" si="12"/>
        <v>0</v>
      </c>
      <c r="AC109" s="31">
        <f t="shared" si="12"/>
        <v>0</v>
      </c>
      <c r="AD109" s="31">
        <f t="shared" si="12"/>
        <v>0</v>
      </c>
      <c r="AE109" s="31">
        <f t="shared" si="12"/>
        <v>0</v>
      </c>
      <c r="AF109" s="31">
        <f t="shared" si="12"/>
        <v>0</v>
      </c>
      <c r="AG109" s="31">
        <f t="shared" si="12"/>
        <v>0</v>
      </c>
      <c r="AH109" s="31">
        <f t="shared" si="12"/>
        <v>0</v>
      </c>
      <c r="AI109" s="31">
        <f t="shared" si="12"/>
        <v>0</v>
      </c>
      <c r="AJ109" s="31">
        <f t="shared" si="12"/>
        <v>0</v>
      </c>
    </row>
    <row r="110" spans="2:36" ht="15" hidden="1" customHeight="1" x14ac:dyDescent="0.2">
      <c r="B110" s="47"/>
      <c r="C110" s="47"/>
      <c r="D110" s="47"/>
      <c r="E110" s="47"/>
      <c r="F110" s="8"/>
      <c r="G110" s="13"/>
      <c r="H110" s="13"/>
      <c r="I110" s="13"/>
      <c r="J110" s="13"/>
      <c r="K110" s="32"/>
      <c r="L110" s="32"/>
      <c r="M110" s="32"/>
      <c r="N110" s="32"/>
      <c r="O110" s="32"/>
      <c r="P110" s="32"/>
      <c r="Q110" s="32"/>
      <c r="R110" s="32"/>
      <c r="S110" s="32"/>
      <c r="T110" s="32"/>
      <c r="U110" s="32"/>
      <c r="V110" s="32"/>
      <c r="W110" s="32"/>
      <c r="X110" s="32"/>
      <c r="Y110" s="32"/>
      <c r="Z110" s="32"/>
      <c r="AA110" s="32"/>
      <c r="AB110" s="77"/>
      <c r="AC110" s="32"/>
      <c r="AD110" s="32"/>
      <c r="AE110" s="32"/>
      <c r="AF110" s="32"/>
      <c r="AG110" s="32"/>
      <c r="AH110" s="32"/>
      <c r="AI110" s="32"/>
      <c r="AJ110" s="32"/>
    </row>
    <row r="111" spans="2:36" ht="15" hidden="1" customHeight="1" x14ac:dyDescent="0.2">
      <c r="B111" s="47"/>
      <c r="C111" s="47"/>
      <c r="D111" s="47"/>
      <c r="E111" s="47"/>
      <c r="F111" s="8"/>
      <c r="G111" s="14" t="s">
        <v>258</v>
      </c>
      <c r="H111" s="13"/>
      <c r="I111" s="13"/>
      <c r="J111" s="13"/>
      <c r="K111" s="31">
        <f>K108/(((Data!$P$186/100)+1)^K$70)</f>
        <v>0</v>
      </c>
      <c r="L111" s="31">
        <f>L108/(((Data!$P$186/100)+1)^L$70)</f>
        <v>0</v>
      </c>
      <c r="M111" s="31">
        <f>M108/(((Data!$P$186/100)+1)^M$70)</f>
        <v>0</v>
      </c>
      <c r="N111" s="31">
        <f>N108/(((Data!$P$186/100)+1)^N$70)</f>
        <v>0</v>
      </c>
      <c r="O111" s="31">
        <f>O108/(((Data!$P$186/100)+1)^O$70)</f>
        <v>0</v>
      </c>
      <c r="P111" s="31">
        <f>P108/(((Data!$P$186/100)+1)^P$70)</f>
        <v>0</v>
      </c>
      <c r="Q111" s="31">
        <f>Q108/(((Data!$P$186/100)+1)^Q$70)</f>
        <v>0</v>
      </c>
      <c r="R111" s="31">
        <f>R108/(((Data!$P$186/100)+1)^R$70)</f>
        <v>0</v>
      </c>
      <c r="S111" s="31">
        <f>S108/(((Data!$P$186/100)+1)^S$70)</f>
        <v>0</v>
      </c>
      <c r="T111" s="31">
        <f>T108/(((Data!$P$186/100)+1)^T$70)</f>
        <v>0</v>
      </c>
      <c r="U111" s="31">
        <f>U108/(((Data!$P$186/100)+1)^U$70)</f>
        <v>0</v>
      </c>
      <c r="V111" s="31">
        <f>V108/(((Data!$P$186/100)+1)^V$70)</f>
        <v>0</v>
      </c>
      <c r="W111" s="31">
        <f>W108/(((Data!$P$186/100)+1)^W$70)</f>
        <v>0</v>
      </c>
      <c r="X111" s="31">
        <f>X108/(((Data!$P$186/100)+1)^X$70)</f>
        <v>0</v>
      </c>
      <c r="Y111" s="31">
        <f>Y108/(((Data!$P$186/100)+1)^Y$70)</f>
        <v>0</v>
      </c>
      <c r="Z111" s="31">
        <f>Z108/(((Data!$P$186/100)+1)^Z$70)</f>
        <v>0</v>
      </c>
      <c r="AA111" s="31">
        <f>AA108/(((Data!$P$186/100)+1)^AA$70)</f>
        <v>0</v>
      </c>
      <c r="AB111" s="75">
        <f>AB108/(((Data!$P$186/100)+1)^AB$70)</f>
        <v>0</v>
      </c>
      <c r="AC111" s="31">
        <f>AC108/(((Data!$P$186/100)+1)^AC$70)</f>
        <v>0</v>
      </c>
      <c r="AD111" s="31">
        <f>AD108/(((Data!$P$186/100)+1)^AD$70)</f>
        <v>0</v>
      </c>
      <c r="AE111" s="31">
        <f>AE108/(((Data!$P$186/100)+1)^AE$70)</f>
        <v>0</v>
      </c>
      <c r="AF111" s="31">
        <f>AF108/(((Data!$P$186/100)+1)^AF$70)</f>
        <v>0</v>
      </c>
      <c r="AG111" s="31">
        <f>AG108/(((Data!$P$186/100)+1)^AG$70)</f>
        <v>0</v>
      </c>
      <c r="AH111" s="31">
        <f>AH108/(((Data!$P$186/100)+1)^AH$70)</f>
        <v>0</v>
      </c>
      <c r="AI111" s="31">
        <f>AI108/(((Data!$P$186/100)+1)^AI$70)</f>
        <v>0</v>
      </c>
      <c r="AJ111" s="31">
        <f>AJ108/(((Data!$P$186/100)+1)^AJ$70)</f>
        <v>0</v>
      </c>
    </row>
    <row r="112" spans="2:36" ht="15" hidden="1" customHeight="1" x14ac:dyDescent="0.2">
      <c r="B112" s="47"/>
      <c r="C112" s="47"/>
      <c r="D112" s="47"/>
      <c r="E112" s="47"/>
      <c r="F112" s="8"/>
      <c r="G112" s="30" t="s">
        <v>257</v>
      </c>
      <c r="H112" s="33"/>
      <c r="I112" s="13"/>
      <c r="J112" s="13"/>
      <c r="K112" s="34">
        <f>K111</f>
        <v>0</v>
      </c>
      <c r="L112" s="34">
        <f t="shared" ref="L112:AJ112" si="13">K112+L111</f>
        <v>0</v>
      </c>
      <c r="M112" s="34">
        <f t="shared" si="13"/>
        <v>0</v>
      </c>
      <c r="N112" s="34">
        <f t="shared" si="13"/>
        <v>0</v>
      </c>
      <c r="O112" s="34">
        <f t="shared" si="13"/>
        <v>0</v>
      </c>
      <c r="P112" s="34">
        <f t="shared" si="13"/>
        <v>0</v>
      </c>
      <c r="Q112" s="34">
        <f t="shared" si="13"/>
        <v>0</v>
      </c>
      <c r="R112" s="34">
        <f t="shared" si="13"/>
        <v>0</v>
      </c>
      <c r="S112" s="34">
        <f t="shared" si="13"/>
        <v>0</v>
      </c>
      <c r="T112" s="34">
        <f t="shared" si="13"/>
        <v>0</v>
      </c>
      <c r="U112" s="34">
        <f t="shared" si="13"/>
        <v>0</v>
      </c>
      <c r="V112" s="34">
        <f t="shared" si="13"/>
        <v>0</v>
      </c>
      <c r="W112" s="34">
        <f t="shared" si="13"/>
        <v>0</v>
      </c>
      <c r="X112" s="34">
        <f t="shared" si="13"/>
        <v>0</v>
      </c>
      <c r="Y112" s="34">
        <f t="shared" si="13"/>
        <v>0</v>
      </c>
      <c r="Z112" s="34">
        <f t="shared" si="13"/>
        <v>0</v>
      </c>
      <c r="AA112" s="34">
        <f t="shared" si="13"/>
        <v>0</v>
      </c>
      <c r="AB112" s="78">
        <f t="shared" si="13"/>
        <v>0</v>
      </c>
      <c r="AC112" s="34">
        <f t="shared" si="13"/>
        <v>0</v>
      </c>
      <c r="AD112" s="34">
        <f t="shared" si="13"/>
        <v>0</v>
      </c>
      <c r="AE112" s="34">
        <f t="shared" si="13"/>
        <v>0</v>
      </c>
      <c r="AF112" s="34">
        <f t="shared" si="13"/>
        <v>0</v>
      </c>
      <c r="AG112" s="34">
        <f t="shared" si="13"/>
        <v>0</v>
      </c>
      <c r="AH112" s="34">
        <f t="shared" si="13"/>
        <v>0</v>
      </c>
      <c r="AI112" s="34">
        <f t="shared" si="13"/>
        <v>0</v>
      </c>
      <c r="AJ112" s="34">
        <f t="shared" si="13"/>
        <v>0</v>
      </c>
    </row>
    <row r="113" spans="2:37" ht="15" hidden="1" customHeight="1" x14ac:dyDescent="0.2">
      <c r="B113" s="47"/>
      <c r="C113" s="47"/>
      <c r="D113" s="47"/>
      <c r="E113" s="47"/>
      <c r="F113" s="8"/>
      <c r="G113" s="8"/>
      <c r="H113" s="8"/>
      <c r="I113" s="8"/>
      <c r="J113" s="8"/>
      <c r="K113" s="12"/>
      <c r="L113" s="12"/>
      <c r="M113" s="12"/>
      <c r="N113" s="12"/>
      <c r="O113" s="12"/>
      <c r="P113" s="12"/>
      <c r="Q113" s="12"/>
      <c r="R113" s="12"/>
      <c r="S113" s="12"/>
      <c r="T113" s="12"/>
      <c r="U113" s="12"/>
      <c r="V113" s="12"/>
      <c r="W113" s="12"/>
      <c r="X113" s="12"/>
      <c r="Y113" s="12"/>
      <c r="Z113" s="12"/>
      <c r="AA113" s="12"/>
      <c r="AB113" s="79"/>
      <c r="AC113" s="12"/>
      <c r="AD113" s="12"/>
      <c r="AE113" s="12"/>
      <c r="AF113" s="12"/>
      <c r="AG113" s="12"/>
      <c r="AH113" s="12"/>
      <c r="AI113" s="12"/>
      <c r="AJ113" s="12"/>
    </row>
    <row r="114" spans="2:37" ht="15" hidden="1" customHeight="1" x14ac:dyDescent="0.2">
      <c r="B114" s="47"/>
      <c r="C114" s="47"/>
      <c r="D114" s="47"/>
      <c r="E114" s="47"/>
      <c r="F114" s="8"/>
      <c r="G114" s="532" t="s">
        <v>525</v>
      </c>
      <c r="H114" s="17"/>
      <c r="I114" s="13"/>
      <c r="J114" s="13"/>
      <c r="K114" s="35"/>
      <c r="L114" s="35"/>
      <c r="M114" s="35"/>
      <c r="N114" s="35"/>
      <c r="O114" s="35"/>
      <c r="P114" s="35"/>
      <c r="Q114" s="35"/>
      <c r="R114" s="35"/>
      <c r="S114" s="35"/>
      <c r="T114" s="35"/>
      <c r="U114" s="35"/>
      <c r="V114" s="35"/>
      <c r="W114" s="35"/>
      <c r="X114" s="35"/>
      <c r="Y114" s="35"/>
      <c r="Z114" s="35"/>
      <c r="AA114" s="35"/>
      <c r="AB114" s="80"/>
      <c r="AC114" s="35"/>
      <c r="AD114" s="35"/>
      <c r="AE114" s="35"/>
      <c r="AF114" s="35"/>
      <c r="AG114" s="35"/>
      <c r="AH114" s="35"/>
      <c r="AI114" s="35"/>
      <c r="AJ114" s="35"/>
    </row>
    <row r="115" spans="2:37" ht="15" hidden="1" customHeight="1" x14ac:dyDescent="0.2">
      <c r="B115" s="47"/>
      <c r="C115" s="47"/>
      <c r="D115" s="47"/>
      <c r="E115" s="47"/>
      <c r="F115" s="8"/>
      <c r="G115" s="14"/>
      <c r="H115" s="14"/>
      <c r="I115" s="13"/>
      <c r="J115" s="13"/>
      <c r="K115" s="31"/>
      <c r="L115" s="31"/>
      <c r="M115" s="31"/>
      <c r="N115" s="31"/>
      <c r="O115" s="31"/>
      <c r="P115" s="31"/>
      <c r="Q115" s="31"/>
      <c r="R115" s="31"/>
      <c r="S115" s="31"/>
      <c r="T115" s="31"/>
      <c r="U115" s="31"/>
      <c r="V115" s="31"/>
      <c r="W115" s="31"/>
      <c r="X115" s="31"/>
      <c r="Y115" s="31"/>
      <c r="Z115" s="31"/>
      <c r="AA115" s="31"/>
      <c r="AB115" s="75"/>
      <c r="AC115" s="31"/>
      <c r="AD115" s="31"/>
      <c r="AE115" s="31"/>
      <c r="AF115" s="31"/>
      <c r="AG115" s="31"/>
      <c r="AH115" s="31"/>
      <c r="AI115" s="31"/>
      <c r="AJ115" s="31"/>
    </row>
    <row r="116" spans="2:37" ht="15" hidden="1" customHeight="1" x14ac:dyDescent="0.2">
      <c r="B116" s="47"/>
      <c r="C116" s="47"/>
      <c r="D116" s="47"/>
      <c r="E116" s="47"/>
      <c r="F116" s="8"/>
      <c r="G116" s="17" t="s">
        <v>478</v>
      </c>
      <c r="H116" s="60"/>
      <c r="I116" s="60"/>
      <c r="J116" s="60"/>
      <c r="K116" s="104">
        <f t="shared" ref="K116:AJ116" si="14">IF(K$70&lt;$Q$19,VLOOKUP($I$15,$G$75:$AJ$79,K$70+5,FALSE),VLOOKUP($O$15,$G$75:$AJ$79,K$70+5,FALSE))</f>
        <v>0.19338</v>
      </c>
      <c r="L116" s="104">
        <f t="shared" si="14"/>
        <v>0.18757859999999998</v>
      </c>
      <c r="M116" s="104">
        <f t="shared" si="14"/>
        <v>0.18195124199999999</v>
      </c>
      <c r="N116" s="104">
        <f t="shared" si="14"/>
        <v>0.17649270473999998</v>
      </c>
      <c r="O116" s="104">
        <f t="shared" si="14"/>
        <v>0.17119792359779998</v>
      </c>
      <c r="P116" s="104">
        <f t="shared" si="14"/>
        <v>0.16606198588986598</v>
      </c>
      <c r="Q116" s="104">
        <f t="shared" si="14"/>
        <v>0.16108012631317001</v>
      </c>
      <c r="R116" s="104">
        <f t="shared" si="14"/>
        <v>0.15624772252377489</v>
      </c>
      <c r="S116" s="104">
        <f t="shared" si="14"/>
        <v>0.15156029084806164</v>
      </c>
      <c r="T116" s="104">
        <f t="shared" si="14"/>
        <v>0.14701348212261978</v>
      </c>
      <c r="U116" s="104">
        <f t="shared" si="14"/>
        <v>0.14260307765894117</v>
      </c>
      <c r="V116" s="104">
        <f t="shared" si="14"/>
        <v>0.13832498532917292</v>
      </c>
      <c r="W116" s="104">
        <f t="shared" si="14"/>
        <v>0.13417523576929774</v>
      </c>
      <c r="X116" s="104">
        <f t="shared" si="14"/>
        <v>0.1301499786962188</v>
      </c>
      <c r="Y116" s="104">
        <f t="shared" si="14"/>
        <v>0.12624547933533223</v>
      </c>
      <c r="Z116" s="104">
        <f t="shared" si="14"/>
        <v>0.12245811495527226</v>
      </c>
      <c r="AA116" s="104">
        <f t="shared" si="14"/>
        <v>0.11878437150661408</v>
      </c>
      <c r="AB116" s="104">
        <f t="shared" si="14"/>
        <v>0.11522084036141565</v>
      </c>
      <c r="AC116" s="104">
        <f t="shared" si="14"/>
        <v>0.11176421515057318</v>
      </c>
      <c r="AD116" s="104">
        <f t="shared" si="14"/>
        <v>0.10841128869605599</v>
      </c>
      <c r="AE116" s="104">
        <f t="shared" si="14"/>
        <v>0.10515895003517431</v>
      </c>
      <c r="AF116" s="104">
        <f t="shared" si="14"/>
        <v>0.10200418153411908</v>
      </c>
      <c r="AG116" s="104">
        <f t="shared" si="14"/>
        <v>9.8944056088095506E-2</v>
      </c>
      <c r="AH116" s="104">
        <f t="shared" si="14"/>
        <v>9.5975734405452637E-2</v>
      </c>
      <c r="AI116" s="104">
        <f t="shared" si="14"/>
        <v>9.3096462373289057E-2</v>
      </c>
      <c r="AJ116" s="104">
        <f t="shared" si="14"/>
        <v>9.0303568502090384E-2</v>
      </c>
    </row>
    <row r="117" spans="2:37" ht="15" hidden="1" customHeight="1" x14ac:dyDescent="0.2">
      <c r="B117" s="47"/>
      <c r="C117" s="47"/>
      <c r="D117" s="47"/>
      <c r="E117" s="47"/>
      <c r="F117" s="8"/>
      <c r="G117" s="17" t="s">
        <v>479</v>
      </c>
      <c r="H117" s="60"/>
      <c r="I117" s="60"/>
      <c r="J117" s="60"/>
      <c r="K117" s="104">
        <f t="shared" ref="K117:AJ117" si="15">IF(K$70&lt;$Q$19,VLOOKUP($I$15,$G$81:$AJ$85,K$70+5,FALSE),VLOOKUP($O$15,$G$81:$AJ$85,K$70+5,FALSE))</f>
        <v>0.31</v>
      </c>
      <c r="L117" s="104">
        <f t="shared" si="15"/>
        <v>0.34100000000000003</v>
      </c>
      <c r="M117" s="104">
        <f t="shared" si="15"/>
        <v>0.37510000000000004</v>
      </c>
      <c r="N117" s="104">
        <f t="shared" si="15"/>
        <v>0.41261000000000009</v>
      </c>
      <c r="O117" s="104">
        <f t="shared" si="15"/>
        <v>0.45387100000000014</v>
      </c>
      <c r="P117" s="104">
        <f t="shared" si="15"/>
        <v>0.4992581000000002</v>
      </c>
      <c r="Q117" s="104">
        <f t="shared" si="15"/>
        <v>0.54918391000000022</v>
      </c>
      <c r="R117" s="104">
        <f t="shared" si="15"/>
        <v>0.60410230100000029</v>
      </c>
      <c r="S117" s="104">
        <f t="shared" si="15"/>
        <v>0.66451253110000041</v>
      </c>
      <c r="T117" s="104">
        <f t="shared" si="15"/>
        <v>0.73096378421000052</v>
      </c>
      <c r="U117" s="104">
        <f t="shared" si="15"/>
        <v>0.80406016263100066</v>
      </c>
      <c r="V117" s="104">
        <f t="shared" si="15"/>
        <v>0.88446617889410084</v>
      </c>
      <c r="W117" s="104">
        <f t="shared" si="15"/>
        <v>0.97291279678351106</v>
      </c>
      <c r="X117" s="104">
        <f t="shared" si="15"/>
        <v>1.0702040764618623</v>
      </c>
      <c r="Y117" s="104">
        <f t="shared" si="15"/>
        <v>1.1772244841080486</v>
      </c>
      <c r="Z117" s="104">
        <f t="shared" si="15"/>
        <v>1.2949469325188536</v>
      </c>
      <c r="AA117" s="104">
        <f t="shared" si="15"/>
        <v>1.4244416257707391</v>
      </c>
      <c r="AB117" s="104">
        <f t="shared" si="15"/>
        <v>1.5668857883478131</v>
      </c>
      <c r="AC117" s="104">
        <f t="shared" si="15"/>
        <v>1.7235743671825945</v>
      </c>
      <c r="AD117" s="104">
        <f t="shared" si="15"/>
        <v>1.8959318039008541</v>
      </c>
      <c r="AE117" s="104">
        <f t="shared" si="15"/>
        <v>2.0855249842909398</v>
      </c>
      <c r="AF117" s="104">
        <f t="shared" si="15"/>
        <v>2.2940774827200339</v>
      </c>
      <c r="AG117" s="104">
        <f t="shared" si="15"/>
        <v>2.5234852309920375</v>
      </c>
      <c r="AH117" s="104">
        <f t="shared" si="15"/>
        <v>2.7758337540912414</v>
      </c>
      <c r="AI117" s="104">
        <f t="shared" si="15"/>
        <v>3.053417129500366</v>
      </c>
      <c r="AJ117" s="104">
        <f t="shared" si="15"/>
        <v>3.3587588424504031</v>
      </c>
    </row>
    <row r="118" spans="2:37" ht="15" hidden="1" customHeight="1" x14ac:dyDescent="0.2">
      <c r="B118" s="47"/>
      <c r="C118" s="47"/>
      <c r="D118" s="47"/>
      <c r="E118" s="47"/>
      <c r="F118" s="8"/>
      <c r="G118" s="17"/>
      <c r="H118" s="17"/>
      <c r="I118" s="13"/>
      <c r="J118" s="13"/>
      <c r="K118" s="35"/>
      <c r="L118" s="35"/>
      <c r="M118" s="35"/>
      <c r="N118" s="35"/>
      <c r="O118" s="35"/>
      <c r="P118" s="35"/>
      <c r="Q118" s="35"/>
      <c r="R118" s="35"/>
      <c r="S118" s="35"/>
      <c r="T118" s="35"/>
      <c r="U118" s="35"/>
      <c r="V118" s="35"/>
      <c r="W118" s="35"/>
      <c r="X118" s="35"/>
      <c r="Y118" s="35"/>
      <c r="Z118" s="35"/>
      <c r="AA118" s="35"/>
      <c r="AB118" s="80"/>
      <c r="AC118" s="35"/>
      <c r="AD118" s="35"/>
      <c r="AE118" s="35"/>
      <c r="AF118" s="35"/>
      <c r="AG118" s="35"/>
      <c r="AH118" s="35"/>
      <c r="AI118" s="35"/>
      <c r="AJ118" s="35"/>
    </row>
    <row r="119" spans="2:37" ht="15" hidden="1" customHeight="1" x14ac:dyDescent="0.2">
      <c r="B119" s="47"/>
      <c r="C119" s="47"/>
      <c r="D119" s="47"/>
      <c r="E119" s="47"/>
      <c r="F119" s="8"/>
      <c r="G119" s="17" t="s">
        <v>4</v>
      </c>
      <c r="H119" s="17"/>
      <c r="I119" s="13"/>
      <c r="J119" s="13"/>
      <c r="K119" s="43"/>
      <c r="L119" s="43"/>
      <c r="M119" s="43"/>
      <c r="N119" s="43"/>
      <c r="O119" s="43"/>
      <c r="P119" s="43"/>
      <c r="Q119" s="43"/>
      <c r="R119" s="43"/>
      <c r="S119" s="43"/>
      <c r="T119" s="43"/>
      <c r="U119" s="43"/>
      <c r="V119" s="43"/>
      <c r="W119" s="43"/>
      <c r="X119" s="43"/>
      <c r="Y119" s="43"/>
      <c r="Z119" s="43"/>
      <c r="AA119" s="43"/>
      <c r="AB119" s="81"/>
      <c r="AC119" s="43"/>
      <c r="AD119" s="43"/>
      <c r="AE119" s="43"/>
      <c r="AF119" s="43"/>
      <c r="AG119" s="43"/>
      <c r="AH119" s="43"/>
      <c r="AI119" s="43"/>
      <c r="AJ119" s="43"/>
    </row>
    <row r="120" spans="2:37" ht="15" hidden="1" customHeight="1" x14ac:dyDescent="0.2">
      <c r="B120" s="47"/>
      <c r="C120" s="47"/>
      <c r="D120" s="47"/>
      <c r="E120" s="47"/>
      <c r="F120" s="8"/>
      <c r="G120" s="17" t="s">
        <v>5</v>
      </c>
      <c r="H120" s="17"/>
      <c r="I120" s="13"/>
      <c r="J120" s="13"/>
      <c r="K120" s="43"/>
      <c r="L120" s="43"/>
      <c r="M120" s="43"/>
      <c r="N120" s="43"/>
      <c r="O120" s="43"/>
      <c r="P120" s="43"/>
      <c r="Q120" s="43"/>
      <c r="R120" s="43"/>
      <c r="S120" s="43"/>
      <c r="T120" s="43"/>
      <c r="U120" s="43"/>
      <c r="V120" s="43"/>
      <c r="W120" s="43"/>
      <c r="X120" s="43"/>
      <c r="Y120" s="43"/>
      <c r="Z120" s="43"/>
      <c r="AA120" s="43"/>
      <c r="AB120" s="81"/>
      <c r="AC120" s="43"/>
      <c r="AD120" s="43"/>
      <c r="AE120" s="43"/>
      <c r="AF120" s="43"/>
      <c r="AG120" s="43"/>
      <c r="AH120" s="43"/>
      <c r="AI120" s="43"/>
      <c r="AJ120" s="43"/>
    </row>
    <row r="121" spans="2:37" ht="15" hidden="1" customHeight="1" x14ac:dyDescent="0.2">
      <c r="B121" s="47"/>
      <c r="C121" s="47"/>
      <c r="D121" s="47"/>
      <c r="E121" s="47"/>
      <c r="F121" s="8"/>
      <c r="G121" s="17" t="s">
        <v>6</v>
      </c>
      <c r="H121" s="17"/>
      <c r="I121" s="13"/>
      <c r="J121" s="13"/>
      <c r="K121" s="35">
        <f t="shared" ref="K121:AI121" si="16">IF(K$70&lt;$Q$19,$J$11,$Q$11)</f>
        <v>0</v>
      </c>
      <c r="L121" s="35">
        <f t="shared" si="16"/>
        <v>0</v>
      </c>
      <c r="M121" s="35">
        <f t="shared" si="16"/>
        <v>0</v>
      </c>
      <c r="N121" s="35">
        <f t="shared" si="16"/>
        <v>0</v>
      </c>
      <c r="O121" s="35">
        <f t="shared" si="16"/>
        <v>0</v>
      </c>
      <c r="P121" s="35">
        <f t="shared" si="16"/>
        <v>0</v>
      </c>
      <c r="Q121" s="35">
        <f t="shared" si="16"/>
        <v>0</v>
      </c>
      <c r="R121" s="35">
        <f t="shared" si="16"/>
        <v>0</v>
      </c>
      <c r="S121" s="35">
        <f t="shared" si="16"/>
        <v>0</v>
      </c>
      <c r="T121" s="35">
        <f t="shared" si="16"/>
        <v>0</v>
      </c>
      <c r="U121" s="35">
        <f t="shared" si="16"/>
        <v>0</v>
      </c>
      <c r="V121" s="35">
        <f t="shared" si="16"/>
        <v>0</v>
      </c>
      <c r="W121" s="35">
        <f t="shared" si="16"/>
        <v>0</v>
      </c>
      <c r="X121" s="35">
        <f t="shared" si="16"/>
        <v>0</v>
      </c>
      <c r="Y121" s="35">
        <f t="shared" si="16"/>
        <v>0</v>
      </c>
      <c r="Z121" s="35">
        <f t="shared" si="16"/>
        <v>0</v>
      </c>
      <c r="AA121" s="35">
        <f t="shared" si="16"/>
        <v>0</v>
      </c>
      <c r="AB121" s="35">
        <f t="shared" si="16"/>
        <v>0</v>
      </c>
      <c r="AC121" s="35">
        <f t="shared" si="16"/>
        <v>0</v>
      </c>
      <c r="AD121" s="35">
        <f t="shared" si="16"/>
        <v>0</v>
      </c>
      <c r="AE121" s="35">
        <f t="shared" si="16"/>
        <v>0</v>
      </c>
      <c r="AF121" s="35">
        <f t="shared" si="16"/>
        <v>0</v>
      </c>
      <c r="AG121" s="35">
        <f t="shared" si="16"/>
        <v>0</v>
      </c>
      <c r="AH121" s="35">
        <f t="shared" si="16"/>
        <v>0</v>
      </c>
      <c r="AI121" s="35">
        <f t="shared" si="16"/>
        <v>0</v>
      </c>
      <c r="AJ121" s="35">
        <f>IF(AJ$70&lt;$Q$19,$J$11,$Q$11)</f>
        <v>0</v>
      </c>
      <c r="AK121" s="35"/>
    </row>
    <row r="122" spans="2:37" ht="15" hidden="1" customHeight="1" x14ac:dyDescent="0.2">
      <c r="B122" s="47"/>
      <c r="C122" s="47"/>
      <c r="D122" s="47"/>
      <c r="E122" s="47"/>
      <c r="F122" s="8"/>
      <c r="G122" s="17"/>
      <c r="H122" s="17"/>
      <c r="I122" s="13"/>
      <c r="J122" s="13"/>
      <c r="K122" s="35"/>
      <c r="L122" s="35"/>
      <c r="M122" s="35"/>
      <c r="N122" s="35"/>
      <c r="O122" s="35"/>
      <c r="P122" s="35"/>
      <c r="Q122" s="35"/>
      <c r="R122" s="35"/>
      <c r="S122" s="35"/>
      <c r="T122" s="35"/>
      <c r="U122" s="35"/>
      <c r="V122" s="35"/>
      <c r="W122" s="35"/>
      <c r="X122" s="35"/>
      <c r="Y122" s="35"/>
      <c r="Z122" s="35"/>
      <c r="AA122" s="35"/>
      <c r="AB122" s="80"/>
      <c r="AC122" s="35"/>
      <c r="AD122" s="35"/>
      <c r="AE122" s="35"/>
      <c r="AF122" s="35"/>
      <c r="AG122" s="35"/>
      <c r="AH122" s="35"/>
      <c r="AI122" s="35"/>
      <c r="AJ122" s="35"/>
    </row>
    <row r="123" spans="2:37" ht="15" hidden="1" customHeight="1" x14ac:dyDescent="0.2">
      <c r="B123" s="47"/>
      <c r="C123" s="47"/>
      <c r="D123" s="47"/>
      <c r="E123" s="47"/>
      <c r="F123" s="8"/>
      <c r="G123" s="17" t="s">
        <v>7</v>
      </c>
      <c r="H123" s="17"/>
      <c r="I123" s="13"/>
      <c r="J123" s="13"/>
      <c r="K123" s="43"/>
      <c r="L123" s="43"/>
      <c r="M123" s="43"/>
      <c r="N123" s="43"/>
      <c r="O123" s="43"/>
      <c r="P123" s="43"/>
      <c r="Q123" s="43"/>
      <c r="R123" s="43"/>
      <c r="S123" s="43"/>
      <c r="T123" s="43"/>
      <c r="U123" s="43"/>
      <c r="V123" s="43"/>
      <c r="W123" s="43"/>
      <c r="X123" s="43"/>
      <c r="Y123" s="43"/>
      <c r="Z123" s="43"/>
      <c r="AA123" s="43"/>
      <c r="AB123" s="81"/>
      <c r="AC123" s="43"/>
      <c r="AD123" s="43"/>
      <c r="AE123" s="43"/>
      <c r="AF123" s="43"/>
      <c r="AG123" s="43"/>
      <c r="AH123" s="43"/>
      <c r="AI123" s="43"/>
      <c r="AJ123" s="43"/>
    </row>
    <row r="124" spans="2:37" ht="15" hidden="1" customHeight="1" x14ac:dyDescent="0.2">
      <c r="B124" s="47"/>
      <c r="C124" s="47"/>
      <c r="D124" s="47"/>
      <c r="E124" s="47"/>
      <c r="F124" s="8"/>
      <c r="G124" s="17" t="s">
        <v>8</v>
      </c>
      <c r="H124" s="17"/>
      <c r="I124" s="13"/>
      <c r="J124" s="13"/>
      <c r="K124" s="43"/>
      <c r="L124" s="43"/>
      <c r="M124" s="43"/>
      <c r="N124" s="43"/>
      <c r="O124" s="43"/>
      <c r="P124" s="43"/>
      <c r="Q124" s="43"/>
      <c r="R124" s="43"/>
      <c r="S124" s="43"/>
      <c r="T124" s="43"/>
      <c r="U124" s="43"/>
      <c r="V124" s="43"/>
      <c r="W124" s="43"/>
      <c r="X124" s="43"/>
      <c r="Y124" s="43"/>
      <c r="Z124" s="43"/>
      <c r="AA124" s="43"/>
      <c r="AB124" s="81"/>
      <c r="AC124" s="43"/>
      <c r="AD124" s="43"/>
      <c r="AE124" s="43"/>
      <c r="AF124" s="43"/>
      <c r="AG124" s="43"/>
      <c r="AH124" s="43"/>
      <c r="AI124" s="43"/>
      <c r="AJ124" s="43"/>
    </row>
    <row r="125" spans="2:37" ht="15" hidden="1" customHeight="1" x14ac:dyDescent="0.2">
      <c r="B125" s="47"/>
      <c r="C125" s="47"/>
      <c r="D125" s="47"/>
      <c r="E125" s="47"/>
      <c r="F125" s="8"/>
      <c r="G125" s="17" t="s">
        <v>9</v>
      </c>
      <c r="H125" s="17"/>
      <c r="I125" s="13"/>
      <c r="J125" s="13"/>
      <c r="K125" s="35">
        <f t="shared" ref="K125:AJ125" si="17">K$116*K121</f>
        <v>0</v>
      </c>
      <c r="L125" s="35">
        <f t="shared" si="17"/>
        <v>0</v>
      </c>
      <c r="M125" s="35">
        <f t="shared" si="17"/>
        <v>0</v>
      </c>
      <c r="N125" s="35">
        <f t="shared" si="17"/>
        <v>0</v>
      </c>
      <c r="O125" s="35">
        <f t="shared" si="17"/>
        <v>0</v>
      </c>
      <c r="P125" s="35">
        <f t="shared" si="17"/>
        <v>0</v>
      </c>
      <c r="Q125" s="35">
        <f t="shared" si="17"/>
        <v>0</v>
      </c>
      <c r="R125" s="35">
        <f t="shared" si="17"/>
        <v>0</v>
      </c>
      <c r="S125" s="35">
        <f t="shared" si="17"/>
        <v>0</v>
      </c>
      <c r="T125" s="35">
        <f t="shared" si="17"/>
        <v>0</v>
      </c>
      <c r="U125" s="35">
        <f t="shared" si="17"/>
        <v>0</v>
      </c>
      <c r="V125" s="35">
        <f t="shared" si="17"/>
        <v>0</v>
      </c>
      <c r="W125" s="35">
        <f t="shared" si="17"/>
        <v>0</v>
      </c>
      <c r="X125" s="35">
        <f t="shared" si="17"/>
        <v>0</v>
      </c>
      <c r="Y125" s="35">
        <f t="shared" si="17"/>
        <v>0</v>
      </c>
      <c r="Z125" s="35">
        <f t="shared" si="17"/>
        <v>0</v>
      </c>
      <c r="AA125" s="35">
        <f t="shared" si="17"/>
        <v>0</v>
      </c>
      <c r="AB125" s="80">
        <f t="shared" si="17"/>
        <v>0</v>
      </c>
      <c r="AC125" s="35">
        <f t="shared" si="17"/>
        <v>0</v>
      </c>
      <c r="AD125" s="35">
        <f t="shared" si="17"/>
        <v>0</v>
      </c>
      <c r="AE125" s="35">
        <f t="shared" si="17"/>
        <v>0</v>
      </c>
      <c r="AF125" s="35">
        <f t="shared" si="17"/>
        <v>0</v>
      </c>
      <c r="AG125" s="35">
        <f t="shared" si="17"/>
        <v>0</v>
      </c>
      <c r="AH125" s="35">
        <f t="shared" si="17"/>
        <v>0</v>
      </c>
      <c r="AI125" s="35">
        <f t="shared" si="17"/>
        <v>0</v>
      </c>
      <c r="AJ125" s="35">
        <f t="shared" si="17"/>
        <v>0</v>
      </c>
    </row>
    <row r="126" spans="2:37" ht="15" hidden="1" customHeight="1" x14ac:dyDescent="0.2">
      <c r="B126" s="47"/>
      <c r="C126" s="47"/>
      <c r="D126" s="47"/>
      <c r="E126" s="47"/>
      <c r="F126" s="8"/>
      <c r="G126" s="17"/>
      <c r="H126" s="17"/>
      <c r="I126" s="13"/>
      <c r="J126" s="13"/>
      <c r="K126" s="35"/>
      <c r="L126" s="35"/>
      <c r="M126" s="35"/>
      <c r="N126" s="35"/>
      <c r="O126" s="35"/>
      <c r="P126" s="35"/>
      <c r="Q126" s="35"/>
      <c r="R126" s="35"/>
      <c r="S126" s="35"/>
      <c r="T126" s="35"/>
      <c r="U126" s="35"/>
      <c r="V126" s="35"/>
      <c r="W126" s="35"/>
      <c r="X126" s="35"/>
      <c r="Y126" s="35"/>
      <c r="Z126" s="35"/>
      <c r="AA126" s="35"/>
      <c r="AB126" s="80"/>
      <c r="AC126" s="35"/>
      <c r="AD126" s="35"/>
      <c r="AE126" s="35"/>
      <c r="AF126" s="35"/>
      <c r="AG126" s="35"/>
      <c r="AH126" s="35"/>
      <c r="AI126" s="35"/>
      <c r="AJ126" s="35"/>
    </row>
    <row r="127" spans="2:37" ht="15" hidden="1" customHeight="1" x14ac:dyDescent="0.2">
      <c r="B127" s="47"/>
      <c r="C127" s="47"/>
      <c r="D127" s="47"/>
      <c r="E127" s="47"/>
      <c r="F127" s="8"/>
      <c r="G127" s="17" t="s">
        <v>10</v>
      </c>
      <c r="H127" s="17"/>
      <c r="I127" s="13"/>
      <c r="J127" s="13"/>
      <c r="K127" s="80">
        <f>IF($Q$24=0,IF(K70=$Q$19,$Q$18,0),IF(K$70=$Q$19,$Q$18*K$87,IF(OR(AND($Q$19=0,K$70=$Q$19),AND(K$70&gt;=$Q$19+$Q$24,INT((K$70-$Q$19)/($Q$24))=(K$70-$Q$19)/($Q$24))),$Q$23*K$87,0)))</f>
        <v>0</v>
      </c>
      <c r="L127" s="80">
        <f t="shared" ref="L127:AJ127" si="18">IF($Q$24=0,IF(L70=$Q$19,$Q$18,0),IF(L$70=$Q$19,$Q$18*L$87,IF(OR(AND($Q$19=0,L$70=$Q$19),AND(L$70&gt;=$Q$19+$Q$24,INT((L$70-$Q$19)/($Q$24))=(L$70-$Q$19)/($Q$24))),$Q$23*L$87,0)))</f>
        <v>0</v>
      </c>
      <c r="M127" s="80">
        <f t="shared" si="18"/>
        <v>0</v>
      </c>
      <c r="N127" s="80">
        <f t="shared" si="18"/>
        <v>0</v>
      </c>
      <c r="O127" s="80">
        <f t="shared" si="18"/>
        <v>0</v>
      </c>
      <c r="P127" s="80">
        <f t="shared" si="18"/>
        <v>0</v>
      </c>
      <c r="Q127" s="80">
        <f t="shared" si="18"/>
        <v>0</v>
      </c>
      <c r="R127" s="80">
        <f t="shared" si="18"/>
        <v>0</v>
      </c>
      <c r="S127" s="80">
        <f t="shared" si="18"/>
        <v>0</v>
      </c>
      <c r="T127" s="80">
        <f t="shared" si="18"/>
        <v>0</v>
      </c>
      <c r="U127" s="80">
        <f t="shared" si="18"/>
        <v>0</v>
      </c>
      <c r="V127" s="80">
        <f t="shared" si="18"/>
        <v>0</v>
      </c>
      <c r="W127" s="80">
        <f t="shared" si="18"/>
        <v>0</v>
      </c>
      <c r="X127" s="80">
        <f t="shared" si="18"/>
        <v>0</v>
      </c>
      <c r="Y127" s="80">
        <f t="shared" si="18"/>
        <v>0</v>
      </c>
      <c r="Z127" s="80">
        <f t="shared" si="18"/>
        <v>0</v>
      </c>
      <c r="AA127" s="80">
        <f t="shared" si="18"/>
        <v>0</v>
      </c>
      <c r="AB127" s="80">
        <f t="shared" si="18"/>
        <v>0</v>
      </c>
      <c r="AC127" s="80">
        <f t="shared" si="18"/>
        <v>0</v>
      </c>
      <c r="AD127" s="80">
        <f t="shared" si="18"/>
        <v>0</v>
      </c>
      <c r="AE127" s="80">
        <f t="shared" si="18"/>
        <v>0</v>
      </c>
      <c r="AF127" s="80">
        <f t="shared" si="18"/>
        <v>0</v>
      </c>
      <c r="AG127" s="80">
        <f t="shared" si="18"/>
        <v>0</v>
      </c>
      <c r="AH127" s="80">
        <f t="shared" si="18"/>
        <v>0</v>
      </c>
      <c r="AI127" s="80">
        <f t="shared" si="18"/>
        <v>0</v>
      </c>
      <c r="AJ127" s="80">
        <f t="shared" si="18"/>
        <v>0</v>
      </c>
    </row>
    <row r="128" spans="2:37" ht="15" hidden="1" customHeight="1" x14ac:dyDescent="0.2">
      <c r="B128" s="47"/>
      <c r="C128" s="47"/>
      <c r="D128" s="47"/>
      <c r="E128" s="47"/>
      <c r="F128" s="8"/>
      <c r="G128" s="17" t="s">
        <v>458</v>
      </c>
      <c r="H128" s="17"/>
      <c r="I128" s="13"/>
      <c r="J128" s="13"/>
      <c r="K128" s="35">
        <f>IF(K$70&lt;$Q$19,($K$21*K$87)-($K$22*K$87),($Q$21*K$87)-($Q$22*K$87))</f>
        <v>0</v>
      </c>
      <c r="L128" s="35">
        <f t="shared" ref="L128:AI128" si="19">IF(L$70&lt;$Q$19,($K$21*L$87)-($K$22*L$87),($Q$21*L$87)-($Q$22*L$87))</f>
        <v>0</v>
      </c>
      <c r="M128" s="35">
        <f t="shared" si="19"/>
        <v>0</v>
      </c>
      <c r="N128" s="35">
        <f t="shared" si="19"/>
        <v>0</v>
      </c>
      <c r="O128" s="35">
        <f t="shared" si="19"/>
        <v>0</v>
      </c>
      <c r="P128" s="35">
        <f t="shared" si="19"/>
        <v>0</v>
      </c>
      <c r="Q128" s="35">
        <f t="shared" si="19"/>
        <v>0</v>
      </c>
      <c r="R128" s="35">
        <f t="shared" si="19"/>
        <v>0</v>
      </c>
      <c r="S128" s="35">
        <f t="shared" si="19"/>
        <v>0</v>
      </c>
      <c r="T128" s="35">
        <f t="shared" si="19"/>
        <v>0</v>
      </c>
      <c r="U128" s="35">
        <f t="shared" si="19"/>
        <v>0</v>
      </c>
      <c r="V128" s="35">
        <f t="shared" si="19"/>
        <v>0</v>
      </c>
      <c r="W128" s="35">
        <f t="shared" si="19"/>
        <v>0</v>
      </c>
      <c r="X128" s="35">
        <f t="shared" si="19"/>
        <v>0</v>
      </c>
      <c r="Y128" s="35">
        <f t="shared" si="19"/>
        <v>0</v>
      </c>
      <c r="Z128" s="35">
        <f t="shared" si="19"/>
        <v>0</v>
      </c>
      <c r="AA128" s="35">
        <f t="shared" si="19"/>
        <v>0</v>
      </c>
      <c r="AB128" s="35">
        <f t="shared" si="19"/>
        <v>0</v>
      </c>
      <c r="AC128" s="35">
        <f t="shared" si="19"/>
        <v>0</v>
      </c>
      <c r="AD128" s="35">
        <f t="shared" si="19"/>
        <v>0</v>
      </c>
      <c r="AE128" s="35">
        <f t="shared" si="19"/>
        <v>0</v>
      </c>
      <c r="AF128" s="35">
        <f t="shared" si="19"/>
        <v>0</v>
      </c>
      <c r="AG128" s="35">
        <f t="shared" si="19"/>
        <v>0</v>
      </c>
      <c r="AH128" s="35">
        <f t="shared" si="19"/>
        <v>0</v>
      </c>
      <c r="AI128" s="35">
        <f t="shared" si="19"/>
        <v>0</v>
      </c>
      <c r="AJ128" s="35">
        <f>IF(AJ$70&lt;$Q$19,($K$21*AJ$87)-($K$22*AJ$87),($Q$21*AJ$87)-($Q$22*AJ$87))</f>
        <v>0</v>
      </c>
    </row>
    <row r="129" spans="2:36" ht="15" hidden="1" customHeight="1" x14ac:dyDescent="0.2">
      <c r="B129" s="47"/>
      <c r="C129" s="47"/>
      <c r="D129" s="47"/>
      <c r="E129" s="47"/>
      <c r="F129" s="8"/>
      <c r="G129" s="17" t="s">
        <v>12</v>
      </c>
      <c r="H129" s="17"/>
      <c r="I129" s="13"/>
      <c r="J129" s="13"/>
      <c r="K129" s="35">
        <f t="shared" ref="K129:AJ129" si="20">K$117*K121</f>
        <v>0</v>
      </c>
      <c r="L129" s="35">
        <f t="shared" si="20"/>
        <v>0</v>
      </c>
      <c r="M129" s="35">
        <f t="shared" si="20"/>
        <v>0</v>
      </c>
      <c r="N129" s="35">
        <f t="shared" si="20"/>
        <v>0</v>
      </c>
      <c r="O129" s="35">
        <f t="shared" si="20"/>
        <v>0</v>
      </c>
      <c r="P129" s="35">
        <f t="shared" si="20"/>
        <v>0</v>
      </c>
      <c r="Q129" s="35">
        <f t="shared" si="20"/>
        <v>0</v>
      </c>
      <c r="R129" s="35">
        <f t="shared" si="20"/>
        <v>0</v>
      </c>
      <c r="S129" s="35">
        <f t="shared" si="20"/>
        <v>0</v>
      </c>
      <c r="T129" s="35">
        <f t="shared" si="20"/>
        <v>0</v>
      </c>
      <c r="U129" s="35">
        <f t="shared" si="20"/>
        <v>0</v>
      </c>
      <c r="V129" s="35">
        <f t="shared" si="20"/>
        <v>0</v>
      </c>
      <c r="W129" s="35">
        <f t="shared" si="20"/>
        <v>0</v>
      </c>
      <c r="X129" s="35">
        <f t="shared" si="20"/>
        <v>0</v>
      </c>
      <c r="Y129" s="35">
        <f t="shared" si="20"/>
        <v>0</v>
      </c>
      <c r="Z129" s="35">
        <f t="shared" si="20"/>
        <v>0</v>
      </c>
      <c r="AA129" s="35">
        <f t="shared" si="20"/>
        <v>0</v>
      </c>
      <c r="AB129" s="80">
        <f t="shared" si="20"/>
        <v>0</v>
      </c>
      <c r="AC129" s="35">
        <f t="shared" si="20"/>
        <v>0</v>
      </c>
      <c r="AD129" s="35">
        <f t="shared" si="20"/>
        <v>0</v>
      </c>
      <c r="AE129" s="35">
        <f t="shared" si="20"/>
        <v>0</v>
      </c>
      <c r="AF129" s="35">
        <f t="shared" si="20"/>
        <v>0</v>
      </c>
      <c r="AG129" s="35">
        <f t="shared" si="20"/>
        <v>0</v>
      </c>
      <c r="AH129" s="35">
        <f t="shared" si="20"/>
        <v>0</v>
      </c>
      <c r="AI129" s="35">
        <f t="shared" si="20"/>
        <v>0</v>
      </c>
      <c r="AJ129" s="35">
        <f t="shared" si="20"/>
        <v>0</v>
      </c>
    </row>
    <row r="130" spans="2:36" ht="15" hidden="1" customHeight="1" x14ac:dyDescent="0.2">
      <c r="B130" s="47"/>
      <c r="C130" s="47"/>
      <c r="D130" s="47"/>
      <c r="E130" s="47"/>
      <c r="F130" s="8"/>
      <c r="G130" s="17" t="s">
        <v>13</v>
      </c>
      <c r="H130" s="17"/>
      <c r="I130" s="13"/>
      <c r="J130" s="13"/>
      <c r="K130" s="35">
        <f t="shared" ref="K130:AJ130" si="21">K88*K125</f>
        <v>0</v>
      </c>
      <c r="L130" s="35">
        <f t="shared" si="21"/>
        <v>0</v>
      </c>
      <c r="M130" s="35">
        <f t="shared" si="21"/>
        <v>0</v>
      </c>
      <c r="N130" s="35">
        <f t="shared" si="21"/>
        <v>0</v>
      </c>
      <c r="O130" s="35">
        <f t="shared" si="21"/>
        <v>0</v>
      </c>
      <c r="P130" s="35">
        <f t="shared" si="21"/>
        <v>0</v>
      </c>
      <c r="Q130" s="35">
        <f t="shared" si="21"/>
        <v>0</v>
      </c>
      <c r="R130" s="35">
        <f t="shared" si="21"/>
        <v>0</v>
      </c>
      <c r="S130" s="35">
        <f t="shared" si="21"/>
        <v>0</v>
      </c>
      <c r="T130" s="35">
        <f t="shared" si="21"/>
        <v>0</v>
      </c>
      <c r="U130" s="35">
        <f t="shared" si="21"/>
        <v>0</v>
      </c>
      <c r="V130" s="35">
        <f t="shared" si="21"/>
        <v>0</v>
      </c>
      <c r="W130" s="35">
        <f t="shared" si="21"/>
        <v>0</v>
      </c>
      <c r="X130" s="35">
        <f t="shared" si="21"/>
        <v>0</v>
      </c>
      <c r="Y130" s="35">
        <f t="shared" si="21"/>
        <v>0</v>
      </c>
      <c r="Z130" s="35">
        <f t="shared" si="21"/>
        <v>0</v>
      </c>
      <c r="AA130" s="35">
        <f t="shared" si="21"/>
        <v>0</v>
      </c>
      <c r="AB130" s="80">
        <f t="shared" si="21"/>
        <v>0</v>
      </c>
      <c r="AC130" s="35">
        <f t="shared" si="21"/>
        <v>0</v>
      </c>
      <c r="AD130" s="35">
        <f t="shared" si="21"/>
        <v>0</v>
      </c>
      <c r="AE130" s="35">
        <f t="shared" si="21"/>
        <v>0</v>
      </c>
      <c r="AF130" s="35">
        <f t="shared" si="21"/>
        <v>0</v>
      </c>
      <c r="AG130" s="35">
        <f t="shared" si="21"/>
        <v>0</v>
      </c>
      <c r="AH130" s="35">
        <f t="shared" si="21"/>
        <v>0</v>
      </c>
      <c r="AI130" s="35">
        <f t="shared" si="21"/>
        <v>0</v>
      </c>
      <c r="AJ130" s="35">
        <f t="shared" si="21"/>
        <v>0</v>
      </c>
    </row>
    <row r="131" spans="2:36" ht="15" hidden="1" customHeight="1" x14ac:dyDescent="0.2">
      <c r="B131" s="47"/>
      <c r="C131" s="47"/>
      <c r="D131" s="47"/>
      <c r="E131" s="47"/>
      <c r="F131" s="8"/>
      <c r="G131" s="17"/>
      <c r="H131" s="17"/>
      <c r="I131" s="13"/>
      <c r="J131" s="13"/>
      <c r="K131" s="35"/>
      <c r="L131" s="35"/>
      <c r="M131" s="35"/>
      <c r="N131" s="35"/>
      <c r="O131" s="35"/>
      <c r="P131" s="35"/>
      <c r="Q131" s="35"/>
      <c r="R131" s="35"/>
      <c r="S131" s="35"/>
      <c r="T131" s="35"/>
      <c r="U131" s="35"/>
      <c r="V131" s="35"/>
      <c r="W131" s="35"/>
      <c r="X131" s="35"/>
      <c r="Y131" s="35"/>
      <c r="Z131" s="35"/>
      <c r="AA131" s="35"/>
      <c r="AB131" s="80"/>
      <c r="AC131" s="35"/>
      <c r="AD131" s="35"/>
      <c r="AE131" s="35"/>
      <c r="AF131" s="35"/>
      <c r="AG131" s="35"/>
      <c r="AH131" s="35"/>
      <c r="AI131" s="35"/>
      <c r="AJ131" s="35"/>
    </row>
    <row r="132" spans="2:36" ht="15" hidden="1" customHeight="1" x14ac:dyDescent="0.2">
      <c r="B132" s="47"/>
      <c r="C132" s="47"/>
      <c r="D132" s="47"/>
      <c r="E132" s="47"/>
      <c r="F132" s="8"/>
      <c r="G132" s="17" t="s">
        <v>14</v>
      </c>
      <c r="H132" s="17"/>
      <c r="I132" s="13"/>
      <c r="J132" s="13"/>
      <c r="K132" s="35">
        <f>SUM(K127:K130)</f>
        <v>0</v>
      </c>
      <c r="L132" s="35">
        <f t="shared" ref="L132:AH132" si="22">SUM(L127:L130)</f>
        <v>0</v>
      </c>
      <c r="M132" s="35">
        <f t="shared" si="22"/>
        <v>0</v>
      </c>
      <c r="N132" s="35">
        <f t="shared" si="22"/>
        <v>0</v>
      </c>
      <c r="O132" s="35">
        <f t="shared" si="22"/>
        <v>0</v>
      </c>
      <c r="P132" s="35">
        <f t="shared" si="22"/>
        <v>0</v>
      </c>
      <c r="Q132" s="35">
        <f t="shared" si="22"/>
        <v>0</v>
      </c>
      <c r="R132" s="35">
        <f t="shared" si="22"/>
        <v>0</v>
      </c>
      <c r="S132" s="35">
        <f t="shared" si="22"/>
        <v>0</v>
      </c>
      <c r="T132" s="35">
        <f t="shared" si="22"/>
        <v>0</v>
      </c>
      <c r="U132" s="35">
        <f t="shared" si="22"/>
        <v>0</v>
      </c>
      <c r="V132" s="35">
        <f t="shared" si="22"/>
        <v>0</v>
      </c>
      <c r="W132" s="35">
        <f t="shared" si="22"/>
        <v>0</v>
      </c>
      <c r="X132" s="35">
        <f t="shared" si="22"/>
        <v>0</v>
      </c>
      <c r="Y132" s="35">
        <f t="shared" si="22"/>
        <v>0</v>
      </c>
      <c r="Z132" s="35">
        <f t="shared" si="22"/>
        <v>0</v>
      </c>
      <c r="AA132" s="35">
        <f t="shared" si="22"/>
        <v>0</v>
      </c>
      <c r="AB132" s="80">
        <f t="shared" si="22"/>
        <v>0</v>
      </c>
      <c r="AC132" s="35">
        <f t="shared" si="22"/>
        <v>0</v>
      </c>
      <c r="AD132" s="35">
        <f t="shared" si="22"/>
        <v>0</v>
      </c>
      <c r="AE132" s="35">
        <f t="shared" si="22"/>
        <v>0</v>
      </c>
      <c r="AF132" s="35">
        <f t="shared" si="22"/>
        <v>0</v>
      </c>
      <c r="AG132" s="35">
        <f t="shared" si="22"/>
        <v>0</v>
      </c>
      <c r="AH132" s="35">
        <f t="shared" si="22"/>
        <v>0</v>
      </c>
      <c r="AI132" s="35">
        <f>SUM(AI127:AI130)</f>
        <v>0</v>
      </c>
      <c r="AJ132" s="35">
        <f>SUM(AJ127:AJ130)</f>
        <v>0</v>
      </c>
    </row>
    <row r="133" spans="2:36" ht="15" hidden="1" customHeight="1" x14ac:dyDescent="0.2">
      <c r="B133" s="47"/>
      <c r="C133" s="47"/>
      <c r="D133" s="47"/>
      <c r="E133" s="47"/>
      <c r="F133" s="8"/>
      <c r="G133" s="17" t="s">
        <v>435</v>
      </c>
      <c r="H133" s="17"/>
      <c r="I133" s="13"/>
      <c r="J133" s="13"/>
      <c r="K133" s="35">
        <f>K132</f>
        <v>0</v>
      </c>
      <c r="L133" s="35">
        <f t="shared" ref="L133:AJ133" si="23">K133+L132</f>
        <v>0</v>
      </c>
      <c r="M133" s="35">
        <f t="shared" si="23"/>
        <v>0</v>
      </c>
      <c r="N133" s="35">
        <f t="shared" si="23"/>
        <v>0</v>
      </c>
      <c r="O133" s="35">
        <f t="shared" si="23"/>
        <v>0</v>
      </c>
      <c r="P133" s="35">
        <f t="shared" si="23"/>
        <v>0</v>
      </c>
      <c r="Q133" s="35">
        <f t="shared" si="23"/>
        <v>0</v>
      </c>
      <c r="R133" s="35">
        <f t="shared" si="23"/>
        <v>0</v>
      </c>
      <c r="S133" s="35">
        <f t="shared" si="23"/>
        <v>0</v>
      </c>
      <c r="T133" s="35">
        <f t="shared" si="23"/>
        <v>0</v>
      </c>
      <c r="U133" s="35">
        <f t="shared" si="23"/>
        <v>0</v>
      </c>
      <c r="V133" s="35">
        <f t="shared" si="23"/>
        <v>0</v>
      </c>
      <c r="W133" s="35">
        <f t="shared" si="23"/>
        <v>0</v>
      </c>
      <c r="X133" s="35">
        <f t="shared" si="23"/>
        <v>0</v>
      </c>
      <c r="Y133" s="35">
        <f t="shared" si="23"/>
        <v>0</v>
      </c>
      <c r="Z133" s="35">
        <f t="shared" si="23"/>
        <v>0</v>
      </c>
      <c r="AA133" s="35">
        <f t="shared" si="23"/>
        <v>0</v>
      </c>
      <c r="AB133" s="80">
        <f t="shared" si="23"/>
        <v>0</v>
      </c>
      <c r="AC133" s="35">
        <f t="shared" si="23"/>
        <v>0</v>
      </c>
      <c r="AD133" s="35">
        <f t="shared" si="23"/>
        <v>0</v>
      </c>
      <c r="AE133" s="35">
        <f t="shared" si="23"/>
        <v>0</v>
      </c>
      <c r="AF133" s="35">
        <f t="shared" si="23"/>
        <v>0</v>
      </c>
      <c r="AG133" s="35">
        <f t="shared" si="23"/>
        <v>0</v>
      </c>
      <c r="AH133" s="35">
        <f t="shared" si="23"/>
        <v>0</v>
      </c>
      <c r="AI133" s="35">
        <f t="shared" si="23"/>
        <v>0</v>
      </c>
      <c r="AJ133" s="35">
        <f t="shared" si="23"/>
        <v>0</v>
      </c>
    </row>
    <row r="134" spans="2:36" ht="15" hidden="1" customHeight="1" x14ac:dyDescent="0.2">
      <c r="B134" s="47"/>
      <c r="C134" s="47"/>
      <c r="D134" s="47"/>
      <c r="E134" s="47"/>
      <c r="F134" s="8"/>
      <c r="G134" s="17"/>
      <c r="H134" s="17"/>
      <c r="I134" s="13"/>
      <c r="J134" s="13"/>
      <c r="K134" s="17"/>
      <c r="L134" s="17"/>
      <c r="M134" s="17"/>
      <c r="N134" s="17"/>
      <c r="O134" s="17"/>
      <c r="P134" s="17"/>
      <c r="Q134" s="17"/>
      <c r="R134" s="17"/>
      <c r="S134" s="17"/>
      <c r="T134" s="17"/>
      <c r="U134" s="17"/>
      <c r="V134" s="17"/>
      <c r="W134" s="17"/>
      <c r="X134" s="17"/>
      <c r="Y134" s="17"/>
      <c r="Z134" s="17"/>
      <c r="AA134" s="17"/>
      <c r="AB134" s="82"/>
      <c r="AC134" s="17"/>
      <c r="AD134" s="17"/>
      <c r="AE134" s="17"/>
      <c r="AF134" s="17"/>
      <c r="AG134" s="17"/>
      <c r="AH134" s="17"/>
      <c r="AI134" s="17"/>
      <c r="AJ134" s="17"/>
    </row>
    <row r="135" spans="2:36" ht="15" hidden="1" customHeight="1" x14ac:dyDescent="0.2">
      <c r="B135" s="47"/>
      <c r="C135" s="47"/>
      <c r="D135" s="47"/>
      <c r="E135" s="47"/>
      <c r="F135" s="8"/>
      <c r="G135" s="17" t="s">
        <v>17</v>
      </c>
      <c r="H135" s="17"/>
      <c r="I135" s="13"/>
      <c r="J135" s="13"/>
      <c r="K135" s="35">
        <f>K132/(((Data!$P$186/100)+1)^K$70)</f>
        <v>0</v>
      </c>
      <c r="L135" s="35">
        <f>L132/(((Data!$P$186/100)+1)^L$70)</f>
        <v>0</v>
      </c>
      <c r="M135" s="35">
        <f>M132/(((Data!$P$186/100)+1)^M$70)</f>
        <v>0</v>
      </c>
      <c r="N135" s="35">
        <f>N132/(((Data!$P$186/100)+1)^N$70)</f>
        <v>0</v>
      </c>
      <c r="O135" s="35">
        <f>O132/(((Data!$P$186/100)+1)^O$70)</f>
        <v>0</v>
      </c>
      <c r="P135" s="35">
        <f>P132/(((Data!$P$186/100)+1)^P$70)</f>
        <v>0</v>
      </c>
      <c r="Q135" s="35">
        <f>Q132/(((Data!$P$186/100)+1)^Q$70)</f>
        <v>0</v>
      </c>
      <c r="R135" s="35">
        <f>R132/(((Data!$P$186/100)+1)^R$70)</f>
        <v>0</v>
      </c>
      <c r="S135" s="35">
        <f>S132/(((Data!$P$186/100)+1)^S$70)</f>
        <v>0</v>
      </c>
      <c r="T135" s="35">
        <f>T132/(((Data!$P$186/100)+1)^T$70)</f>
        <v>0</v>
      </c>
      <c r="U135" s="35">
        <f>U132/(((Data!$P$186/100)+1)^U$70)</f>
        <v>0</v>
      </c>
      <c r="V135" s="35">
        <f>V132/(((Data!$P$186/100)+1)^V$70)</f>
        <v>0</v>
      </c>
      <c r="W135" s="35">
        <f>W132/(((Data!$P$186/100)+1)^W$70)</f>
        <v>0</v>
      </c>
      <c r="X135" s="35">
        <f>X132/(((Data!$P$186/100)+1)^X$70)</f>
        <v>0</v>
      </c>
      <c r="Y135" s="35">
        <f>Y132/(((Data!$P$186/100)+1)^Y$70)</f>
        <v>0</v>
      </c>
      <c r="Z135" s="35">
        <f>Z132/(((Data!$P$186/100)+1)^Z$70)</f>
        <v>0</v>
      </c>
      <c r="AA135" s="35">
        <f>AA132/(((Data!$P$186/100)+1)^AA$70)</f>
        <v>0</v>
      </c>
      <c r="AB135" s="80">
        <f>AB132/(((Data!$P$186/100)+1)^AB$70)</f>
        <v>0</v>
      </c>
      <c r="AC135" s="35">
        <f>AC132/(((Data!$P$186/100)+1)^AC$70)</f>
        <v>0</v>
      </c>
      <c r="AD135" s="35">
        <f>AD132/(((Data!$P$186/100)+1)^AD$70)</f>
        <v>0</v>
      </c>
      <c r="AE135" s="35">
        <f>AE132/(((Data!$P$186/100)+1)^AE$70)</f>
        <v>0</v>
      </c>
      <c r="AF135" s="35">
        <f>AF132/(((Data!$P$186/100)+1)^AF$70)</f>
        <v>0</v>
      </c>
      <c r="AG135" s="35">
        <f>AG132/(((Data!$P$186/100)+1)^AG$70)</f>
        <v>0</v>
      </c>
      <c r="AH135" s="35">
        <f>AH132/(((Data!$P$186/100)+1)^AH$70)</f>
        <v>0</v>
      </c>
      <c r="AI135" s="35">
        <f>AI132/(((Data!$P$186/100)+1)^AI$70)</f>
        <v>0</v>
      </c>
      <c r="AJ135" s="35">
        <f>AJ132/(((Data!$P$186/100)+1)^AJ$70)</f>
        <v>0</v>
      </c>
    </row>
    <row r="136" spans="2:36" ht="15" hidden="1" customHeight="1" x14ac:dyDescent="0.2">
      <c r="B136" s="47"/>
      <c r="C136" s="47"/>
      <c r="D136" s="47"/>
      <c r="E136" s="47"/>
      <c r="F136" s="8"/>
      <c r="G136" s="15" t="s">
        <v>184</v>
      </c>
      <c r="H136" s="15"/>
      <c r="I136" s="13"/>
      <c r="J136" s="13"/>
      <c r="K136" s="36">
        <f>K135</f>
        <v>0</v>
      </c>
      <c r="L136" s="36">
        <f t="shared" ref="L136:AJ136" si="24">K136+L135</f>
        <v>0</v>
      </c>
      <c r="M136" s="36">
        <f t="shared" si="24"/>
        <v>0</v>
      </c>
      <c r="N136" s="36">
        <f t="shared" si="24"/>
        <v>0</v>
      </c>
      <c r="O136" s="36">
        <f t="shared" si="24"/>
        <v>0</v>
      </c>
      <c r="P136" s="36">
        <f t="shared" si="24"/>
        <v>0</v>
      </c>
      <c r="Q136" s="36">
        <f t="shared" si="24"/>
        <v>0</v>
      </c>
      <c r="R136" s="36">
        <f t="shared" si="24"/>
        <v>0</v>
      </c>
      <c r="S136" s="36">
        <f t="shared" si="24"/>
        <v>0</v>
      </c>
      <c r="T136" s="36">
        <f t="shared" si="24"/>
        <v>0</v>
      </c>
      <c r="U136" s="36">
        <f t="shared" si="24"/>
        <v>0</v>
      </c>
      <c r="V136" s="36">
        <f t="shared" si="24"/>
        <v>0</v>
      </c>
      <c r="W136" s="36">
        <f t="shared" si="24"/>
        <v>0</v>
      </c>
      <c r="X136" s="36">
        <f t="shared" si="24"/>
        <v>0</v>
      </c>
      <c r="Y136" s="36">
        <f t="shared" si="24"/>
        <v>0</v>
      </c>
      <c r="Z136" s="36">
        <f t="shared" si="24"/>
        <v>0</v>
      </c>
      <c r="AA136" s="36">
        <f t="shared" si="24"/>
        <v>0</v>
      </c>
      <c r="AB136" s="83">
        <f t="shared" si="24"/>
        <v>0</v>
      </c>
      <c r="AC136" s="36">
        <f t="shared" si="24"/>
        <v>0</v>
      </c>
      <c r="AD136" s="36">
        <f t="shared" si="24"/>
        <v>0</v>
      </c>
      <c r="AE136" s="36">
        <f t="shared" si="24"/>
        <v>0</v>
      </c>
      <c r="AF136" s="36">
        <f t="shared" si="24"/>
        <v>0</v>
      </c>
      <c r="AG136" s="36">
        <f t="shared" si="24"/>
        <v>0</v>
      </c>
      <c r="AH136" s="36">
        <f t="shared" si="24"/>
        <v>0</v>
      </c>
      <c r="AI136" s="36">
        <f t="shared" si="24"/>
        <v>0</v>
      </c>
      <c r="AJ136" s="36">
        <f t="shared" si="24"/>
        <v>0</v>
      </c>
    </row>
    <row r="137" spans="2:36" ht="15" hidden="1" customHeight="1" x14ac:dyDescent="0.2">
      <c r="B137" s="47"/>
      <c r="C137" s="47"/>
      <c r="D137" s="47"/>
      <c r="E137" s="47"/>
      <c r="F137" s="8"/>
      <c r="G137" s="64"/>
      <c r="H137" s="64"/>
      <c r="I137" s="8"/>
      <c r="J137" s="8"/>
      <c r="K137" s="99"/>
      <c r="L137" s="99"/>
      <c r="M137" s="99"/>
      <c r="N137" s="99"/>
      <c r="O137" s="99"/>
      <c r="P137" s="99"/>
      <c r="Q137" s="99"/>
      <c r="R137" s="99"/>
      <c r="S137" s="99"/>
      <c r="T137" s="99"/>
      <c r="U137" s="99"/>
      <c r="V137" s="99"/>
      <c r="W137" s="99"/>
      <c r="X137" s="99"/>
      <c r="Y137" s="99"/>
      <c r="Z137" s="99"/>
      <c r="AA137" s="99"/>
      <c r="AB137" s="100"/>
      <c r="AC137" s="99"/>
      <c r="AD137" s="99"/>
      <c r="AE137" s="99"/>
      <c r="AF137" s="99"/>
      <c r="AG137" s="99"/>
      <c r="AH137" s="99"/>
      <c r="AI137" s="99"/>
      <c r="AJ137" s="99"/>
    </row>
    <row r="138" spans="2:36" ht="15" hidden="1" customHeight="1" x14ac:dyDescent="0.2">
      <c r="B138" s="47"/>
      <c r="C138" s="47"/>
      <c r="D138" s="47"/>
      <c r="E138" s="47"/>
      <c r="F138" s="8"/>
      <c r="G138" s="906" t="s">
        <v>530</v>
      </c>
      <c r="H138" s="839"/>
      <c r="I138" s="839"/>
      <c r="J138" s="839"/>
      <c r="K138" s="917"/>
      <c r="L138" s="917"/>
      <c r="M138" s="917"/>
      <c r="N138" s="917"/>
      <c r="O138" s="917"/>
      <c r="P138" s="917"/>
      <c r="Q138" s="917"/>
      <c r="R138" s="917"/>
      <c r="S138" s="917"/>
      <c r="T138" s="917"/>
      <c r="U138" s="917"/>
      <c r="V138" s="917"/>
      <c r="W138" s="917"/>
      <c r="X138" s="917"/>
      <c r="Y138" s="917"/>
      <c r="Z138" s="917"/>
      <c r="AA138" s="917"/>
      <c r="AB138" s="918"/>
      <c r="AC138" s="917"/>
      <c r="AD138" s="917"/>
      <c r="AE138" s="917"/>
      <c r="AF138" s="917"/>
      <c r="AG138" s="917"/>
      <c r="AH138" s="917"/>
      <c r="AI138" s="917"/>
      <c r="AJ138" s="917"/>
    </row>
    <row r="139" spans="2:36" ht="15" hidden="1" customHeight="1" x14ac:dyDescent="0.2">
      <c r="B139" s="47"/>
      <c r="C139" s="47"/>
      <c r="D139" s="47"/>
      <c r="E139" s="47"/>
      <c r="F139" s="8"/>
      <c r="G139" s="839"/>
      <c r="H139" s="839"/>
      <c r="I139" s="839"/>
      <c r="J139" s="839"/>
      <c r="K139" s="917"/>
      <c r="L139" s="917"/>
      <c r="M139" s="917"/>
      <c r="N139" s="917"/>
      <c r="O139" s="917"/>
      <c r="P139" s="917"/>
      <c r="Q139" s="917"/>
      <c r="R139" s="917"/>
      <c r="S139" s="917"/>
      <c r="T139" s="917"/>
      <c r="U139" s="917"/>
      <c r="V139" s="917"/>
      <c r="W139" s="917"/>
      <c r="X139" s="917"/>
      <c r="Y139" s="917"/>
      <c r="Z139" s="917"/>
      <c r="AA139" s="917"/>
      <c r="AB139" s="918"/>
      <c r="AC139" s="917"/>
      <c r="AD139" s="917"/>
      <c r="AE139" s="917"/>
      <c r="AF139" s="917"/>
      <c r="AG139" s="917"/>
      <c r="AH139" s="917"/>
      <c r="AI139" s="917"/>
      <c r="AJ139" s="917"/>
    </row>
    <row r="140" spans="2:36" ht="15" hidden="1" customHeight="1" x14ac:dyDescent="0.2">
      <c r="B140" s="47"/>
      <c r="C140" s="47"/>
      <c r="D140" s="47"/>
      <c r="E140" s="47"/>
      <c r="F140" s="8"/>
      <c r="G140" s="839" t="s">
        <v>478</v>
      </c>
      <c r="H140" s="864"/>
      <c r="I140" s="864"/>
      <c r="J140" s="864"/>
      <c r="K140" s="919">
        <f>IF(K$70&lt;$Q$37,VLOOKUP($I$15,$G$75:$AJ$79,K$70+5,FALSE),VLOOKUP($O$33,$G$75:$AJ$79,K$70+5,FALSE))</f>
        <v>0.19338</v>
      </c>
      <c r="L140" s="919">
        <f t="shared" ref="L140:AJ140" si="25">IF(L$70&lt;$Q$37,VLOOKUP($I$15,$G$75:$AJ$79,L$70+5,FALSE),VLOOKUP($O$33,$G$75:$AJ$79,L$70+5,FALSE))</f>
        <v>0.18757859999999998</v>
      </c>
      <c r="M140" s="919">
        <f t="shared" si="25"/>
        <v>0.18195124199999999</v>
      </c>
      <c r="N140" s="919">
        <f t="shared" si="25"/>
        <v>0.17649270473999998</v>
      </c>
      <c r="O140" s="919">
        <f t="shared" si="25"/>
        <v>0.17119792359779998</v>
      </c>
      <c r="P140" s="919">
        <f t="shared" si="25"/>
        <v>0.16606198588986598</v>
      </c>
      <c r="Q140" s="919">
        <f t="shared" si="25"/>
        <v>0.16108012631317001</v>
      </c>
      <c r="R140" s="919">
        <f t="shared" si="25"/>
        <v>0.15624772252377489</v>
      </c>
      <c r="S140" s="919">
        <f t="shared" si="25"/>
        <v>0.15156029084806164</v>
      </c>
      <c r="T140" s="919">
        <f t="shared" si="25"/>
        <v>0.14701348212261978</v>
      </c>
      <c r="U140" s="919">
        <f t="shared" si="25"/>
        <v>0.14260307765894117</v>
      </c>
      <c r="V140" s="919">
        <f t="shared" si="25"/>
        <v>0.13832498532917292</v>
      </c>
      <c r="W140" s="919">
        <f t="shared" si="25"/>
        <v>0.13417523576929774</v>
      </c>
      <c r="X140" s="919">
        <f t="shared" si="25"/>
        <v>0.1301499786962188</v>
      </c>
      <c r="Y140" s="919">
        <f t="shared" si="25"/>
        <v>0.12624547933533223</v>
      </c>
      <c r="Z140" s="919">
        <f t="shared" si="25"/>
        <v>0.12245811495527226</v>
      </c>
      <c r="AA140" s="919">
        <f t="shared" si="25"/>
        <v>0.11878437150661408</v>
      </c>
      <c r="AB140" s="919">
        <f t="shared" si="25"/>
        <v>0.11522084036141565</v>
      </c>
      <c r="AC140" s="919">
        <f t="shared" si="25"/>
        <v>0.11176421515057318</v>
      </c>
      <c r="AD140" s="919">
        <f t="shared" si="25"/>
        <v>0.10841128869605599</v>
      </c>
      <c r="AE140" s="919">
        <f t="shared" si="25"/>
        <v>0.10515895003517431</v>
      </c>
      <c r="AF140" s="919">
        <f t="shared" si="25"/>
        <v>0.10200418153411908</v>
      </c>
      <c r="AG140" s="919">
        <f t="shared" si="25"/>
        <v>9.8944056088095506E-2</v>
      </c>
      <c r="AH140" s="919">
        <f t="shared" si="25"/>
        <v>9.5975734405452637E-2</v>
      </c>
      <c r="AI140" s="919">
        <f t="shared" si="25"/>
        <v>9.3096462373289057E-2</v>
      </c>
      <c r="AJ140" s="919">
        <f t="shared" si="25"/>
        <v>9.0303568502090384E-2</v>
      </c>
    </row>
    <row r="141" spans="2:36" ht="15" hidden="1" customHeight="1" x14ac:dyDescent="0.2">
      <c r="B141" s="47"/>
      <c r="C141" s="47"/>
      <c r="D141" s="47"/>
      <c r="E141" s="47"/>
      <c r="F141" s="8"/>
      <c r="G141" s="839" t="s">
        <v>479</v>
      </c>
      <c r="H141" s="864"/>
      <c r="I141" s="864"/>
      <c r="J141" s="864"/>
      <c r="K141" s="919">
        <f>IF(K$70&lt;$Q$37,VLOOKUP($I$15,$G$81:$AJ$85,K$70+5,FALSE),VLOOKUP($O$33,$G$81:$AJ$85,K$70+5,FALSE))</f>
        <v>0.31</v>
      </c>
      <c r="L141" s="919">
        <f t="shared" ref="L141:AJ141" si="26">IF(L$70&lt;$Q$37,VLOOKUP($I$15,$G$81:$AJ$85,L$70+5,FALSE),VLOOKUP($O$33,$G$81:$AJ$85,L$70+5,FALSE))</f>
        <v>0.34100000000000003</v>
      </c>
      <c r="M141" s="919">
        <f t="shared" si="26"/>
        <v>0.37510000000000004</v>
      </c>
      <c r="N141" s="919">
        <f t="shared" si="26"/>
        <v>0.41261000000000009</v>
      </c>
      <c r="O141" s="919">
        <f t="shared" si="26"/>
        <v>0.45387100000000014</v>
      </c>
      <c r="P141" s="919">
        <f t="shared" si="26"/>
        <v>0.4992581000000002</v>
      </c>
      <c r="Q141" s="919">
        <f t="shared" si="26"/>
        <v>0.54918391000000022</v>
      </c>
      <c r="R141" s="919">
        <f t="shared" si="26"/>
        <v>0.60410230100000029</v>
      </c>
      <c r="S141" s="919">
        <f t="shared" si="26"/>
        <v>0.66451253110000041</v>
      </c>
      <c r="T141" s="919">
        <f t="shared" si="26"/>
        <v>0.73096378421000052</v>
      </c>
      <c r="U141" s="919">
        <f t="shared" si="26"/>
        <v>0.80406016263100066</v>
      </c>
      <c r="V141" s="919">
        <f t="shared" si="26"/>
        <v>0.88446617889410084</v>
      </c>
      <c r="W141" s="919">
        <f t="shared" si="26"/>
        <v>0.97291279678351106</v>
      </c>
      <c r="X141" s="919">
        <f t="shared" si="26"/>
        <v>1.0702040764618623</v>
      </c>
      <c r="Y141" s="919">
        <f t="shared" si="26"/>
        <v>1.1772244841080486</v>
      </c>
      <c r="Z141" s="919">
        <f t="shared" si="26"/>
        <v>1.2949469325188536</v>
      </c>
      <c r="AA141" s="919">
        <f t="shared" si="26"/>
        <v>1.4244416257707391</v>
      </c>
      <c r="AB141" s="919">
        <f t="shared" si="26"/>
        <v>1.5668857883478131</v>
      </c>
      <c r="AC141" s="919">
        <f t="shared" si="26"/>
        <v>1.7235743671825945</v>
      </c>
      <c r="AD141" s="919">
        <f t="shared" si="26"/>
        <v>1.8959318039008541</v>
      </c>
      <c r="AE141" s="919">
        <f t="shared" si="26"/>
        <v>2.0855249842909398</v>
      </c>
      <c r="AF141" s="919">
        <f t="shared" si="26"/>
        <v>2.2940774827200339</v>
      </c>
      <c r="AG141" s="919">
        <f t="shared" si="26"/>
        <v>2.5234852309920375</v>
      </c>
      <c r="AH141" s="919">
        <f t="shared" si="26"/>
        <v>2.7758337540912414</v>
      </c>
      <c r="AI141" s="919">
        <f t="shared" si="26"/>
        <v>3.053417129500366</v>
      </c>
      <c r="AJ141" s="919">
        <f t="shared" si="26"/>
        <v>3.3587588424504031</v>
      </c>
    </row>
    <row r="142" spans="2:36" ht="15" hidden="1" customHeight="1" x14ac:dyDescent="0.2">
      <c r="B142" s="47"/>
      <c r="C142" s="47"/>
      <c r="D142" s="47"/>
      <c r="E142" s="47"/>
      <c r="F142" s="8"/>
      <c r="G142" s="839"/>
      <c r="H142" s="839"/>
      <c r="I142" s="839"/>
      <c r="J142" s="839"/>
      <c r="K142" s="917"/>
      <c r="L142" s="917"/>
      <c r="M142" s="917"/>
      <c r="N142" s="917"/>
      <c r="O142" s="917"/>
      <c r="P142" s="917"/>
      <c r="Q142" s="917"/>
      <c r="R142" s="917"/>
      <c r="S142" s="917"/>
      <c r="T142" s="917"/>
      <c r="U142" s="917"/>
      <c r="V142" s="917"/>
      <c r="W142" s="917"/>
      <c r="X142" s="917"/>
      <c r="Y142" s="917"/>
      <c r="Z142" s="917"/>
      <c r="AA142" s="917"/>
      <c r="AB142" s="918"/>
      <c r="AC142" s="917"/>
      <c r="AD142" s="917"/>
      <c r="AE142" s="917"/>
      <c r="AF142" s="917"/>
      <c r="AG142" s="917"/>
      <c r="AH142" s="917"/>
      <c r="AI142" s="917"/>
      <c r="AJ142" s="917"/>
    </row>
    <row r="143" spans="2:36" ht="15" hidden="1" customHeight="1" x14ac:dyDescent="0.2">
      <c r="B143" s="47"/>
      <c r="C143" s="47"/>
      <c r="D143" s="47"/>
      <c r="E143" s="47"/>
      <c r="F143" s="8"/>
      <c r="G143" s="839" t="s">
        <v>4</v>
      </c>
      <c r="H143" s="839"/>
      <c r="I143" s="839"/>
      <c r="J143" s="839"/>
      <c r="K143" s="920"/>
      <c r="L143" s="920"/>
      <c r="M143" s="920"/>
      <c r="N143" s="920"/>
      <c r="O143" s="920"/>
      <c r="P143" s="920"/>
      <c r="Q143" s="920"/>
      <c r="R143" s="920"/>
      <c r="S143" s="920"/>
      <c r="T143" s="920"/>
      <c r="U143" s="920"/>
      <c r="V143" s="920"/>
      <c r="W143" s="920"/>
      <c r="X143" s="920"/>
      <c r="Y143" s="920"/>
      <c r="Z143" s="920"/>
      <c r="AA143" s="920"/>
      <c r="AB143" s="921"/>
      <c r="AC143" s="920"/>
      <c r="AD143" s="920"/>
      <c r="AE143" s="920"/>
      <c r="AF143" s="920"/>
      <c r="AG143" s="920"/>
      <c r="AH143" s="920"/>
      <c r="AI143" s="920"/>
      <c r="AJ143" s="920"/>
    </row>
    <row r="144" spans="2:36" ht="15" hidden="1" customHeight="1" x14ac:dyDescent="0.2">
      <c r="B144" s="47"/>
      <c r="C144" s="47"/>
      <c r="D144" s="47"/>
      <c r="E144" s="47"/>
      <c r="F144" s="8"/>
      <c r="G144" s="839" t="s">
        <v>5</v>
      </c>
      <c r="H144" s="839"/>
      <c r="I144" s="839"/>
      <c r="J144" s="839"/>
      <c r="K144" s="920"/>
      <c r="L144" s="920"/>
      <c r="M144" s="920"/>
      <c r="N144" s="920"/>
      <c r="O144" s="920"/>
      <c r="P144" s="920"/>
      <c r="Q144" s="920"/>
      <c r="R144" s="920"/>
      <c r="S144" s="920"/>
      <c r="T144" s="920"/>
      <c r="U144" s="920"/>
      <c r="V144" s="920"/>
      <c r="W144" s="920"/>
      <c r="X144" s="920"/>
      <c r="Y144" s="920"/>
      <c r="Z144" s="920"/>
      <c r="AA144" s="920"/>
      <c r="AB144" s="921"/>
      <c r="AC144" s="920"/>
      <c r="AD144" s="920"/>
      <c r="AE144" s="920"/>
      <c r="AF144" s="920"/>
      <c r="AG144" s="920"/>
      <c r="AH144" s="920"/>
      <c r="AI144" s="920"/>
      <c r="AJ144" s="920"/>
    </row>
    <row r="145" spans="2:36" ht="15" hidden="1" customHeight="1" x14ac:dyDescent="0.2">
      <c r="B145" s="47"/>
      <c r="C145" s="47"/>
      <c r="D145" s="47"/>
      <c r="E145" s="47"/>
      <c r="F145" s="8"/>
      <c r="G145" s="839" t="s">
        <v>6</v>
      </c>
      <c r="H145" s="839"/>
      <c r="I145" s="839"/>
      <c r="J145" s="839"/>
      <c r="K145" s="917">
        <f>IF(K$70&lt;$Q$37,$J$11,$Q$30)</f>
        <v>0</v>
      </c>
      <c r="L145" s="917">
        <f t="shared" ref="L145:AJ145" si="27">IF(L$70&lt;$Q$37,$J$11,$Q$30)</f>
        <v>0</v>
      </c>
      <c r="M145" s="917">
        <f t="shared" si="27"/>
        <v>0</v>
      </c>
      <c r="N145" s="917">
        <f t="shared" si="27"/>
        <v>0</v>
      </c>
      <c r="O145" s="917">
        <f t="shared" si="27"/>
        <v>0</v>
      </c>
      <c r="P145" s="917">
        <f t="shared" si="27"/>
        <v>0</v>
      </c>
      <c r="Q145" s="917">
        <f t="shared" si="27"/>
        <v>0</v>
      </c>
      <c r="R145" s="917">
        <f t="shared" si="27"/>
        <v>0</v>
      </c>
      <c r="S145" s="917">
        <f t="shared" si="27"/>
        <v>0</v>
      </c>
      <c r="T145" s="917">
        <f t="shared" si="27"/>
        <v>0</v>
      </c>
      <c r="U145" s="917">
        <f t="shared" si="27"/>
        <v>0</v>
      </c>
      <c r="V145" s="917">
        <f t="shared" si="27"/>
        <v>0</v>
      </c>
      <c r="W145" s="917">
        <f t="shared" si="27"/>
        <v>0</v>
      </c>
      <c r="X145" s="917">
        <f t="shared" si="27"/>
        <v>0</v>
      </c>
      <c r="Y145" s="917">
        <f t="shared" si="27"/>
        <v>0</v>
      </c>
      <c r="Z145" s="917">
        <f t="shared" si="27"/>
        <v>0</v>
      </c>
      <c r="AA145" s="917">
        <f t="shared" si="27"/>
        <v>0</v>
      </c>
      <c r="AB145" s="917">
        <f t="shared" si="27"/>
        <v>0</v>
      </c>
      <c r="AC145" s="917">
        <f t="shared" si="27"/>
        <v>0</v>
      </c>
      <c r="AD145" s="917">
        <f t="shared" si="27"/>
        <v>0</v>
      </c>
      <c r="AE145" s="917">
        <f t="shared" si="27"/>
        <v>0</v>
      </c>
      <c r="AF145" s="917">
        <f t="shared" si="27"/>
        <v>0</v>
      </c>
      <c r="AG145" s="917">
        <f t="shared" si="27"/>
        <v>0</v>
      </c>
      <c r="AH145" s="917">
        <f t="shared" si="27"/>
        <v>0</v>
      </c>
      <c r="AI145" s="917">
        <f t="shared" si="27"/>
        <v>0</v>
      </c>
      <c r="AJ145" s="917">
        <f t="shared" si="27"/>
        <v>0</v>
      </c>
    </row>
    <row r="146" spans="2:36" ht="15" hidden="1" customHeight="1" x14ac:dyDescent="0.2">
      <c r="B146" s="47"/>
      <c r="C146" s="47"/>
      <c r="D146" s="47"/>
      <c r="E146" s="47"/>
      <c r="F146" s="8"/>
      <c r="G146" s="839"/>
      <c r="H146" s="839"/>
      <c r="I146" s="839"/>
      <c r="J146" s="839"/>
      <c r="K146" s="917"/>
      <c r="L146" s="917"/>
      <c r="M146" s="917"/>
      <c r="N146" s="917"/>
      <c r="O146" s="917"/>
      <c r="P146" s="917"/>
      <c r="Q146" s="917"/>
      <c r="R146" s="917"/>
      <c r="S146" s="917"/>
      <c r="T146" s="917"/>
      <c r="U146" s="917"/>
      <c r="V146" s="917"/>
      <c r="W146" s="917"/>
      <c r="X146" s="917"/>
      <c r="Y146" s="917"/>
      <c r="Z146" s="917"/>
      <c r="AA146" s="917"/>
      <c r="AB146" s="918"/>
      <c r="AC146" s="917"/>
      <c r="AD146" s="917"/>
      <c r="AE146" s="917"/>
      <c r="AF146" s="917"/>
      <c r="AG146" s="917"/>
      <c r="AH146" s="917"/>
      <c r="AI146" s="917"/>
      <c r="AJ146" s="917"/>
    </row>
    <row r="147" spans="2:36" ht="15" hidden="1" customHeight="1" x14ac:dyDescent="0.2">
      <c r="B147" s="47"/>
      <c r="C147" s="47"/>
      <c r="D147" s="47"/>
      <c r="E147" s="47"/>
      <c r="F147" s="8"/>
      <c r="G147" s="839" t="s">
        <v>7</v>
      </c>
      <c r="H147" s="839"/>
      <c r="I147" s="839"/>
      <c r="J147" s="839"/>
      <c r="K147" s="920"/>
      <c r="L147" s="920"/>
      <c r="M147" s="920"/>
      <c r="N147" s="920"/>
      <c r="O147" s="920"/>
      <c r="P147" s="920"/>
      <c r="Q147" s="920"/>
      <c r="R147" s="920"/>
      <c r="S147" s="920"/>
      <c r="T147" s="920"/>
      <c r="U147" s="920"/>
      <c r="V147" s="920"/>
      <c r="W147" s="920"/>
      <c r="X147" s="920"/>
      <c r="Y147" s="920"/>
      <c r="Z147" s="920"/>
      <c r="AA147" s="920"/>
      <c r="AB147" s="921"/>
      <c r="AC147" s="920"/>
      <c r="AD147" s="920"/>
      <c r="AE147" s="920"/>
      <c r="AF147" s="920"/>
      <c r="AG147" s="920"/>
      <c r="AH147" s="920"/>
      <c r="AI147" s="920"/>
      <c r="AJ147" s="920"/>
    </row>
    <row r="148" spans="2:36" ht="15" hidden="1" customHeight="1" x14ac:dyDescent="0.2">
      <c r="B148" s="47"/>
      <c r="C148" s="47"/>
      <c r="D148" s="47"/>
      <c r="E148" s="47"/>
      <c r="F148" s="8"/>
      <c r="G148" s="839" t="s">
        <v>8</v>
      </c>
      <c r="H148" s="839"/>
      <c r="I148" s="839"/>
      <c r="J148" s="839"/>
      <c r="K148" s="920"/>
      <c r="L148" s="920"/>
      <c r="M148" s="920"/>
      <c r="N148" s="920"/>
      <c r="O148" s="920"/>
      <c r="P148" s="920"/>
      <c r="Q148" s="920"/>
      <c r="R148" s="920"/>
      <c r="S148" s="920"/>
      <c r="T148" s="920"/>
      <c r="U148" s="920"/>
      <c r="V148" s="920"/>
      <c r="W148" s="920"/>
      <c r="X148" s="920"/>
      <c r="Y148" s="920"/>
      <c r="Z148" s="920"/>
      <c r="AA148" s="920"/>
      <c r="AB148" s="921"/>
      <c r="AC148" s="920"/>
      <c r="AD148" s="920"/>
      <c r="AE148" s="920"/>
      <c r="AF148" s="920"/>
      <c r="AG148" s="920"/>
      <c r="AH148" s="920"/>
      <c r="AI148" s="920"/>
      <c r="AJ148" s="920"/>
    </row>
    <row r="149" spans="2:36" ht="15" hidden="1" customHeight="1" x14ac:dyDescent="0.2">
      <c r="B149" s="47"/>
      <c r="C149" s="47"/>
      <c r="D149" s="47"/>
      <c r="E149" s="47"/>
      <c r="F149" s="8"/>
      <c r="G149" s="839" t="s">
        <v>9</v>
      </c>
      <c r="H149" s="839"/>
      <c r="I149" s="839"/>
      <c r="J149" s="839"/>
      <c r="K149" s="917">
        <f>K$140*K145</f>
        <v>0</v>
      </c>
      <c r="L149" s="917">
        <f t="shared" ref="L149:AI149" si="28">L$140*L145</f>
        <v>0</v>
      </c>
      <c r="M149" s="917">
        <f t="shared" si="28"/>
        <v>0</v>
      </c>
      <c r="N149" s="917">
        <f t="shared" si="28"/>
        <v>0</v>
      </c>
      <c r="O149" s="917">
        <f t="shared" si="28"/>
        <v>0</v>
      </c>
      <c r="P149" s="917">
        <f t="shared" si="28"/>
        <v>0</v>
      </c>
      <c r="Q149" s="917">
        <f t="shared" si="28"/>
        <v>0</v>
      </c>
      <c r="R149" s="917">
        <f t="shared" si="28"/>
        <v>0</v>
      </c>
      <c r="S149" s="917">
        <f t="shared" si="28"/>
        <v>0</v>
      </c>
      <c r="T149" s="917">
        <f t="shared" si="28"/>
        <v>0</v>
      </c>
      <c r="U149" s="917">
        <f t="shared" si="28"/>
        <v>0</v>
      </c>
      <c r="V149" s="917">
        <f t="shared" si="28"/>
        <v>0</v>
      </c>
      <c r="W149" s="917">
        <f t="shared" si="28"/>
        <v>0</v>
      </c>
      <c r="X149" s="917">
        <f t="shared" si="28"/>
        <v>0</v>
      </c>
      <c r="Y149" s="917">
        <f t="shared" si="28"/>
        <v>0</v>
      </c>
      <c r="Z149" s="917">
        <f t="shared" si="28"/>
        <v>0</v>
      </c>
      <c r="AA149" s="917">
        <f t="shared" si="28"/>
        <v>0</v>
      </c>
      <c r="AB149" s="917">
        <f t="shared" si="28"/>
        <v>0</v>
      </c>
      <c r="AC149" s="917">
        <f t="shared" si="28"/>
        <v>0</v>
      </c>
      <c r="AD149" s="917">
        <f t="shared" si="28"/>
        <v>0</v>
      </c>
      <c r="AE149" s="917">
        <f t="shared" si="28"/>
        <v>0</v>
      </c>
      <c r="AF149" s="917">
        <f t="shared" si="28"/>
        <v>0</v>
      </c>
      <c r="AG149" s="917">
        <f t="shared" si="28"/>
        <v>0</v>
      </c>
      <c r="AH149" s="917">
        <f t="shared" si="28"/>
        <v>0</v>
      </c>
      <c r="AI149" s="917">
        <f t="shared" si="28"/>
        <v>0</v>
      </c>
      <c r="AJ149" s="917">
        <f>AJ$140*AJ145</f>
        <v>0</v>
      </c>
    </row>
    <row r="150" spans="2:36" ht="15" hidden="1" customHeight="1" x14ac:dyDescent="0.2">
      <c r="B150" s="47"/>
      <c r="C150" s="47"/>
      <c r="D150" s="47"/>
      <c r="E150" s="47"/>
      <c r="F150" s="8"/>
      <c r="G150" s="839"/>
      <c r="H150" s="839"/>
      <c r="I150" s="839"/>
      <c r="J150" s="839"/>
      <c r="K150" s="917"/>
      <c r="L150" s="917"/>
      <c r="M150" s="917"/>
      <c r="N150" s="917"/>
      <c r="O150" s="917"/>
      <c r="P150" s="917"/>
      <c r="Q150" s="917"/>
      <c r="R150" s="917"/>
      <c r="S150" s="917"/>
      <c r="T150" s="917"/>
      <c r="U150" s="917"/>
      <c r="V150" s="917"/>
      <c r="W150" s="917"/>
      <c r="X150" s="917"/>
      <c r="Y150" s="917"/>
      <c r="Z150" s="917"/>
      <c r="AA150" s="917"/>
      <c r="AB150" s="918"/>
      <c r="AC150" s="917"/>
      <c r="AD150" s="917"/>
      <c r="AE150" s="917"/>
      <c r="AF150" s="917"/>
      <c r="AG150" s="917"/>
      <c r="AH150" s="917"/>
      <c r="AI150" s="917"/>
      <c r="AJ150" s="917"/>
    </row>
    <row r="151" spans="2:36" ht="15" hidden="1" customHeight="1" x14ac:dyDescent="0.2">
      <c r="B151" s="47"/>
      <c r="C151" s="47"/>
      <c r="D151" s="47"/>
      <c r="E151" s="47"/>
      <c r="F151" s="8"/>
      <c r="G151" s="839" t="s">
        <v>10</v>
      </c>
      <c r="H151" s="839"/>
      <c r="I151" s="839"/>
      <c r="J151" s="839"/>
      <c r="K151" s="918">
        <f>IF($Q$42=0,IF(K70=$Q$37,$Q$36,0),IF(K$70=$Q$37,$Q$36*K$87,IF(OR(AND($Q$37=0,K$70=$Q$37),AND(K$70&gt;=$Q$37+$Q$42,INT((K$70-$Q$37)/($Q$42))=(K$70-$Q$37)/($Q$42))),$Q$41*K$87,0)))</f>
        <v>0</v>
      </c>
      <c r="L151" s="918">
        <f t="shared" ref="L151:AJ151" si="29">IF($Q$42=0,IF(L70=$Q$37,$Q$36,0),IF(L$70=$Q$37,$Q$36*L$87,IF(OR(AND($Q$37=0,L$70=$Q$37),AND(L$70&gt;=$Q$37+$Q$42,INT((L$70-$Q$37)/($Q$42))=(L$70-$Q$37)/($Q$42))),$Q$41*L$87,0)))</f>
        <v>0</v>
      </c>
      <c r="M151" s="918">
        <f t="shared" si="29"/>
        <v>0</v>
      </c>
      <c r="N151" s="918">
        <f t="shared" si="29"/>
        <v>0</v>
      </c>
      <c r="O151" s="918">
        <f t="shared" si="29"/>
        <v>0</v>
      </c>
      <c r="P151" s="918">
        <f t="shared" si="29"/>
        <v>0</v>
      </c>
      <c r="Q151" s="918">
        <f t="shared" si="29"/>
        <v>0</v>
      </c>
      <c r="R151" s="918">
        <f t="shared" si="29"/>
        <v>0</v>
      </c>
      <c r="S151" s="918">
        <f t="shared" si="29"/>
        <v>0</v>
      </c>
      <c r="T151" s="918">
        <f t="shared" si="29"/>
        <v>0</v>
      </c>
      <c r="U151" s="918">
        <f t="shared" si="29"/>
        <v>0</v>
      </c>
      <c r="V151" s="918">
        <f t="shared" si="29"/>
        <v>0</v>
      </c>
      <c r="W151" s="918">
        <f t="shared" si="29"/>
        <v>0</v>
      </c>
      <c r="X151" s="918">
        <f t="shared" si="29"/>
        <v>0</v>
      </c>
      <c r="Y151" s="918">
        <f t="shared" si="29"/>
        <v>0</v>
      </c>
      <c r="Z151" s="918">
        <f t="shared" si="29"/>
        <v>0</v>
      </c>
      <c r="AA151" s="918">
        <f t="shared" si="29"/>
        <v>0</v>
      </c>
      <c r="AB151" s="918">
        <f t="shared" si="29"/>
        <v>0</v>
      </c>
      <c r="AC151" s="918">
        <f t="shared" si="29"/>
        <v>0</v>
      </c>
      <c r="AD151" s="918">
        <f t="shared" si="29"/>
        <v>0</v>
      </c>
      <c r="AE151" s="918">
        <f t="shared" si="29"/>
        <v>0</v>
      </c>
      <c r="AF151" s="918">
        <f t="shared" si="29"/>
        <v>0</v>
      </c>
      <c r="AG151" s="918">
        <f t="shared" si="29"/>
        <v>0</v>
      </c>
      <c r="AH151" s="918">
        <f t="shared" si="29"/>
        <v>0</v>
      </c>
      <c r="AI151" s="918">
        <f t="shared" si="29"/>
        <v>0</v>
      </c>
      <c r="AJ151" s="918">
        <f t="shared" si="29"/>
        <v>0</v>
      </c>
    </row>
    <row r="152" spans="2:36" ht="15" hidden="1" customHeight="1" x14ac:dyDescent="0.2">
      <c r="B152" s="47"/>
      <c r="C152" s="47"/>
      <c r="D152" s="47"/>
      <c r="E152" s="47"/>
      <c r="F152" s="8"/>
      <c r="G152" s="839" t="s">
        <v>458</v>
      </c>
      <c r="H152" s="839"/>
      <c r="I152" s="839"/>
      <c r="J152" s="839"/>
      <c r="K152" s="917">
        <f>IF(K$70&lt;$Q$37,($K$21*K$87)-($K$22*K$87),($Q$39*K$87)-($Q$40*K$87))</f>
        <v>0</v>
      </c>
      <c r="L152" s="917">
        <f t="shared" ref="L152:AI152" si="30">IF(L$70&lt;$Q$37,($K$21*L$87)-($K$22*L$87),($Q$39*L$87)-($Q$40*L$87))</f>
        <v>0</v>
      </c>
      <c r="M152" s="917">
        <f t="shared" si="30"/>
        <v>0</v>
      </c>
      <c r="N152" s="917">
        <f t="shared" si="30"/>
        <v>0</v>
      </c>
      <c r="O152" s="917">
        <f t="shared" si="30"/>
        <v>0</v>
      </c>
      <c r="P152" s="917">
        <f t="shared" si="30"/>
        <v>0</v>
      </c>
      <c r="Q152" s="917">
        <f t="shared" si="30"/>
        <v>0</v>
      </c>
      <c r="R152" s="917">
        <f t="shared" si="30"/>
        <v>0</v>
      </c>
      <c r="S152" s="917">
        <f t="shared" si="30"/>
        <v>0</v>
      </c>
      <c r="T152" s="917">
        <f t="shared" si="30"/>
        <v>0</v>
      </c>
      <c r="U152" s="917">
        <f t="shared" si="30"/>
        <v>0</v>
      </c>
      <c r="V152" s="917">
        <f t="shared" si="30"/>
        <v>0</v>
      </c>
      <c r="W152" s="917">
        <f t="shared" si="30"/>
        <v>0</v>
      </c>
      <c r="X152" s="917">
        <f t="shared" si="30"/>
        <v>0</v>
      </c>
      <c r="Y152" s="917">
        <f t="shared" si="30"/>
        <v>0</v>
      </c>
      <c r="Z152" s="917">
        <f t="shared" si="30"/>
        <v>0</v>
      </c>
      <c r="AA152" s="917">
        <f t="shared" si="30"/>
        <v>0</v>
      </c>
      <c r="AB152" s="917">
        <f t="shared" si="30"/>
        <v>0</v>
      </c>
      <c r="AC152" s="917">
        <f t="shared" si="30"/>
        <v>0</v>
      </c>
      <c r="AD152" s="917">
        <f t="shared" si="30"/>
        <v>0</v>
      </c>
      <c r="AE152" s="917">
        <f t="shared" si="30"/>
        <v>0</v>
      </c>
      <c r="AF152" s="917">
        <f t="shared" si="30"/>
        <v>0</v>
      </c>
      <c r="AG152" s="917">
        <f t="shared" si="30"/>
        <v>0</v>
      </c>
      <c r="AH152" s="917">
        <f t="shared" si="30"/>
        <v>0</v>
      </c>
      <c r="AI152" s="917">
        <f t="shared" si="30"/>
        <v>0</v>
      </c>
      <c r="AJ152" s="917">
        <f>IF(AJ$70&lt;$Q$37,($K$21*AJ$87)-($K$22*AJ$87),($Q$39*AJ$87)-($Q$40*AJ$87))</f>
        <v>0</v>
      </c>
    </row>
    <row r="153" spans="2:36" ht="15" hidden="1" customHeight="1" x14ac:dyDescent="0.2">
      <c r="B153" s="47"/>
      <c r="C153" s="47"/>
      <c r="D153" s="47"/>
      <c r="E153" s="47"/>
      <c r="F153" s="8"/>
      <c r="G153" s="839" t="s">
        <v>12</v>
      </c>
      <c r="H153" s="839"/>
      <c r="I153" s="839"/>
      <c r="J153" s="839"/>
      <c r="K153" s="917">
        <f>K$141*K145</f>
        <v>0</v>
      </c>
      <c r="L153" s="917">
        <f t="shared" ref="L153:AI153" si="31">L$141*L145</f>
        <v>0</v>
      </c>
      <c r="M153" s="917">
        <f t="shared" si="31"/>
        <v>0</v>
      </c>
      <c r="N153" s="917">
        <f t="shared" si="31"/>
        <v>0</v>
      </c>
      <c r="O153" s="917">
        <f t="shared" si="31"/>
        <v>0</v>
      </c>
      <c r="P153" s="917">
        <f t="shared" si="31"/>
        <v>0</v>
      </c>
      <c r="Q153" s="917">
        <f t="shared" si="31"/>
        <v>0</v>
      </c>
      <c r="R153" s="917">
        <f t="shared" si="31"/>
        <v>0</v>
      </c>
      <c r="S153" s="917">
        <f t="shared" si="31"/>
        <v>0</v>
      </c>
      <c r="T153" s="917">
        <f t="shared" si="31"/>
        <v>0</v>
      </c>
      <c r="U153" s="917">
        <f t="shared" si="31"/>
        <v>0</v>
      </c>
      <c r="V153" s="917">
        <f t="shared" si="31"/>
        <v>0</v>
      </c>
      <c r="W153" s="917">
        <f t="shared" si="31"/>
        <v>0</v>
      </c>
      <c r="X153" s="917">
        <f t="shared" si="31"/>
        <v>0</v>
      </c>
      <c r="Y153" s="917">
        <f t="shared" si="31"/>
        <v>0</v>
      </c>
      <c r="Z153" s="917">
        <f t="shared" si="31"/>
        <v>0</v>
      </c>
      <c r="AA153" s="917">
        <f t="shared" si="31"/>
        <v>0</v>
      </c>
      <c r="AB153" s="917">
        <f t="shared" si="31"/>
        <v>0</v>
      </c>
      <c r="AC153" s="917">
        <f t="shared" si="31"/>
        <v>0</v>
      </c>
      <c r="AD153" s="917">
        <f t="shared" si="31"/>
        <v>0</v>
      </c>
      <c r="AE153" s="917">
        <f t="shared" si="31"/>
        <v>0</v>
      </c>
      <c r="AF153" s="917">
        <f t="shared" si="31"/>
        <v>0</v>
      </c>
      <c r="AG153" s="917">
        <f t="shared" si="31"/>
        <v>0</v>
      </c>
      <c r="AH153" s="917">
        <f t="shared" si="31"/>
        <v>0</v>
      </c>
      <c r="AI153" s="917">
        <f t="shared" si="31"/>
        <v>0</v>
      </c>
      <c r="AJ153" s="917">
        <f>AJ$141*AJ145</f>
        <v>0</v>
      </c>
    </row>
    <row r="154" spans="2:36" ht="15" hidden="1" customHeight="1" x14ac:dyDescent="0.2">
      <c r="B154" s="47"/>
      <c r="C154" s="47"/>
      <c r="D154" s="47"/>
      <c r="E154" s="47"/>
      <c r="F154" s="8"/>
      <c r="G154" s="839" t="s">
        <v>13</v>
      </c>
      <c r="H154" s="839"/>
      <c r="I154" s="839"/>
      <c r="J154" s="839"/>
      <c r="K154" s="917">
        <f t="shared" ref="K154:AI154" si="32">K88*K149</f>
        <v>0</v>
      </c>
      <c r="L154" s="917">
        <f t="shared" si="32"/>
        <v>0</v>
      </c>
      <c r="M154" s="917">
        <f t="shared" si="32"/>
        <v>0</v>
      </c>
      <c r="N154" s="917">
        <f t="shared" si="32"/>
        <v>0</v>
      </c>
      <c r="O154" s="917">
        <f t="shared" si="32"/>
        <v>0</v>
      </c>
      <c r="P154" s="917">
        <f t="shared" si="32"/>
        <v>0</v>
      </c>
      <c r="Q154" s="917">
        <f t="shared" si="32"/>
        <v>0</v>
      </c>
      <c r="R154" s="917">
        <f t="shared" si="32"/>
        <v>0</v>
      </c>
      <c r="S154" s="917">
        <f t="shared" si="32"/>
        <v>0</v>
      </c>
      <c r="T154" s="917">
        <f t="shared" si="32"/>
        <v>0</v>
      </c>
      <c r="U154" s="917">
        <f t="shared" si="32"/>
        <v>0</v>
      </c>
      <c r="V154" s="917">
        <f t="shared" si="32"/>
        <v>0</v>
      </c>
      <c r="W154" s="917">
        <f t="shared" si="32"/>
        <v>0</v>
      </c>
      <c r="X154" s="917">
        <f t="shared" si="32"/>
        <v>0</v>
      </c>
      <c r="Y154" s="917">
        <f t="shared" si="32"/>
        <v>0</v>
      </c>
      <c r="Z154" s="917">
        <f t="shared" si="32"/>
        <v>0</v>
      </c>
      <c r="AA154" s="917">
        <f t="shared" si="32"/>
        <v>0</v>
      </c>
      <c r="AB154" s="917">
        <f t="shared" si="32"/>
        <v>0</v>
      </c>
      <c r="AC154" s="917">
        <f t="shared" si="32"/>
        <v>0</v>
      </c>
      <c r="AD154" s="917">
        <f t="shared" si="32"/>
        <v>0</v>
      </c>
      <c r="AE154" s="917">
        <f t="shared" si="32"/>
        <v>0</v>
      </c>
      <c r="AF154" s="917">
        <f t="shared" si="32"/>
        <v>0</v>
      </c>
      <c r="AG154" s="917">
        <f t="shared" si="32"/>
        <v>0</v>
      </c>
      <c r="AH154" s="917">
        <f t="shared" si="32"/>
        <v>0</v>
      </c>
      <c r="AI154" s="917">
        <f t="shared" si="32"/>
        <v>0</v>
      </c>
      <c r="AJ154" s="917">
        <f>AJ88*AJ149</f>
        <v>0</v>
      </c>
    </row>
    <row r="155" spans="2:36" ht="15" hidden="1" customHeight="1" x14ac:dyDescent="0.2">
      <c r="B155" s="47"/>
      <c r="C155" s="47"/>
      <c r="D155" s="47"/>
      <c r="E155" s="47"/>
      <c r="F155" s="8"/>
      <c r="G155" s="839"/>
      <c r="H155" s="839"/>
      <c r="I155" s="839"/>
      <c r="J155" s="839"/>
      <c r="K155" s="917"/>
      <c r="L155" s="917"/>
      <c r="M155" s="917"/>
      <c r="N155" s="917"/>
      <c r="O155" s="917"/>
      <c r="P155" s="917"/>
      <c r="Q155" s="917"/>
      <c r="R155" s="917"/>
      <c r="S155" s="917"/>
      <c r="T155" s="917"/>
      <c r="U155" s="917"/>
      <c r="V155" s="917"/>
      <c r="W155" s="917"/>
      <c r="X155" s="917"/>
      <c r="Y155" s="917"/>
      <c r="Z155" s="917"/>
      <c r="AA155" s="917"/>
      <c r="AB155" s="918"/>
      <c r="AC155" s="917"/>
      <c r="AD155" s="917"/>
      <c r="AE155" s="917"/>
      <c r="AF155" s="917"/>
      <c r="AG155" s="917"/>
      <c r="AH155" s="917"/>
      <c r="AI155" s="917"/>
      <c r="AJ155" s="917"/>
    </row>
    <row r="156" spans="2:36" ht="15" hidden="1" customHeight="1" x14ac:dyDescent="0.2">
      <c r="B156" s="47"/>
      <c r="C156" s="47"/>
      <c r="D156" s="47"/>
      <c r="E156" s="47"/>
      <c r="F156" s="8"/>
      <c r="G156" s="839" t="s">
        <v>14</v>
      </c>
      <c r="H156" s="839"/>
      <c r="I156" s="839"/>
      <c r="J156" s="839"/>
      <c r="K156" s="917">
        <f>SUM(K151:K154)</f>
        <v>0</v>
      </c>
      <c r="L156" s="917">
        <f t="shared" ref="L156:AH156" si="33">SUM(L151:L154)</f>
        <v>0</v>
      </c>
      <c r="M156" s="917">
        <f t="shared" si="33"/>
        <v>0</v>
      </c>
      <c r="N156" s="917">
        <f t="shared" si="33"/>
        <v>0</v>
      </c>
      <c r="O156" s="917">
        <f t="shared" si="33"/>
        <v>0</v>
      </c>
      <c r="P156" s="917">
        <f t="shared" si="33"/>
        <v>0</v>
      </c>
      <c r="Q156" s="917">
        <f t="shared" si="33"/>
        <v>0</v>
      </c>
      <c r="R156" s="917">
        <f t="shared" si="33"/>
        <v>0</v>
      </c>
      <c r="S156" s="917">
        <f t="shared" si="33"/>
        <v>0</v>
      </c>
      <c r="T156" s="917">
        <f t="shared" si="33"/>
        <v>0</v>
      </c>
      <c r="U156" s="917">
        <f t="shared" si="33"/>
        <v>0</v>
      </c>
      <c r="V156" s="917">
        <f t="shared" si="33"/>
        <v>0</v>
      </c>
      <c r="W156" s="917">
        <f t="shared" si="33"/>
        <v>0</v>
      </c>
      <c r="X156" s="917">
        <f t="shared" si="33"/>
        <v>0</v>
      </c>
      <c r="Y156" s="917">
        <f t="shared" si="33"/>
        <v>0</v>
      </c>
      <c r="Z156" s="917">
        <f t="shared" si="33"/>
        <v>0</v>
      </c>
      <c r="AA156" s="917">
        <f t="shared" si="33"/>
        <v>0</v>
      </c>
      <c r="AB156" s="918">
        <f t="shared" si="33"/>
        <v>0</v>
      </c>
      <c r="AC156" s="917">
        <f t="shared" si="33"/>
        <v>0</v>
      </c>
      <c r="AD156" s="917">
        <f t="shared" si="33"/>
        <v>0</v>
      </c>
      <c r="AE156" s="917">
        <f t="shared" si="33"/>
        <v>0</v>
      </c>
      <c r="AF156" s="917">
        <f t="shared" si="33"/>
        <v>0</v>
      </c>
      <c r="AG156" s="917">
        <f t="shared" si="33"/>
        <v>0</v>
      </c>
      <c r="AH156" s="917">
        <f t="shared" si="33"/>
        <v>0</v>
      </c>
      <c r="AI156" s="917">
        <f>SUM(AI151:AI154)</f>
        <v>0</v>
      </c>
      <c r="AJ156" s="917">
        <f>SUM(AJ151:AJ154)</f>
        <v>0</v>
      </c>
    </row>
    <row r="157" spans="2:36" ht="15" hidden="1" customHeight="1" x14ac:dyDescent="0.2">
      <c r="B157" s="47"/>
      <c r="C157" s="47"/>
      <c r="D157" s="47"/>
      <c r="E157" s="47"/>
      <c r="F157" s="8"/>
      <c r="G157" s="839" t="s">
        <v>435</v>
      </c>
      <c r="H157" s="839"/>
      <c r="I157" s="839"/>
      <c r="J157" s="839"/>
      <c r="K157" s="917">
        <f>K156</f>
        <v>0</v>
      </c>
      <c r="L157" s="917">
        <f t="shared" ref="L157:AJ157" si="34">K157+L156</f>
        <v>0</v>
      </c>
      <c r="M157" s="917">
        <f t="shared" si="34"/>
        <v>0</v>
      </c>
      <c r="N157" s="917">
        <f t="shared" si="34"/>
        <v>0</v>
      </c>
      <c r="O157" s="917">
        <f t="shared" si="34"/>
        <v>0</v>
      </c>
      <c r="P157" s="917">
        <f t="shared" si="34"/>
        <v>0</v>
      </c>
      <c r="Q157" s="917">
        <f t="shared" si="34"/>
        <v>0</v>
      </c>
      <c r="R157" s="917">
        <f t="shared" si="34"/>
        <v>0</v>
      </c>
      <c r="S157" s="917">
        <f t="shared" si="34"/>
        <v>0</v>
      </c>
      <c r="T157" s="917">
        <f t="shared" si="34"/>
        <v>0</v>
      </c>
      <c r="U157" s="917">
        <f t="shared" si="34"/>
        <v>0</v>
      </c>
      <c r="V157" s="917">
        <f t="shared" si="34"/>
        <v>0</v>
      </c>
      <c r="W157" s="917">
        <f t="shared" si="34"/>
        <v>0</v>
      </c>
      <c r="X157" s="917">
        <f t="shared" si="34"/>
        <v>0</v>
      </c>
      <c r="Y157" s="917">
        <f t="shared" si="34"/>
        <v>0</v>
      </c>
      <c r="Z157" s="917">
        <f t="shared" si="34"/>
        <v>0</v>
      </c>
      <c r="AA157" s="917">
        <f t="shared" si="34"/>
        <v>0</v>
      </c>
      <c r="AB157" s="918">
        <f t="shared" si="34"/>
        <v>0</v>
      </c>
      <c r="AC157" s="917">
        <f t="shared" si="34"/>
        <v>0</v>
      </c>
      <c r="AD157" s="917">
        <f t="shared" si="34"/>
        <v>0</v>
      </c>
      <c r="AE157" s="917">
        <f t="shared" si="34"/>
        <v>0</v>
      </c>
      <c r="AF157" s="917">
        <f t="shared" si="34"/>
        <v>0</v>
      </c>
      <c r="AG157" s="917">
        <f t="shared" si="34"/>
        <v>0</v>
      </c>
      <c r="AH157" s="917">
        <f t="shared" si="34"/>
        <v>0</v>
      </c>
      <c r="AI157" s="917">
        <f t="shared" si="34"/>
        <v>0</v>
      </c>
      <c r="AJ157" s="917">
        <f t="shared" si="34"/>
        <v>0</v>
      </c>
    </row>
    <row r="158" spans="2:36" ht="15" hidden="1" customHeight="1" x14ac:dyDescent="0.2">
      <c r="B158" s="47"/>
      <c r="C158" s="47"/>
      <c r="D158" s="47"/>
      <c r="E158" s="47"/>
      <c r="F158" s="8"/>
      <c r="G158" s="839"/>
      <c r="H158" s="839"/>
      <c r="I158" s="839"/>
      <c r="J158" s="839"/>
      <c r="K158" s="839"/>
      <c r="L158" s="839"/>
      <c r="M158" s="839"/>
      <c r="N158" s="839"/>
      <c r="O158" s="839"/>
      <c r="P158" s="839"/>
      <c r="Q158" s="839"/>
      <c r="R158" s="839"/>
      <c r="S158" s="839"/>
      <c r="T158" s="839"/>
      <c r="U158" s="839"/>
      <c r="V158" s="839"/>
      <c r="W158" s="839"/>
      <c r="X158" s="839"/>
      <c r="Y158" s="839"/>
      <c r="Z158" s="839"/>
      <c r="AA158" s="839"/>
      <c r="AB158" s="922"/>
      <c r="AC158" s="839"/>
      <c r="AD158" s="839"/>
      <c r="AE158" s="839"/>
      <c r="AF158" s="839"/>
      <c r="AG158" s="839"/>
      <c r="AH158" s="839"/>
      <c r="AI158" s="839"/>
      <c r="AJ158" s="839"/>
    </row>
    <row r="159" spans="2:36" ht="15" hidden="1" customHeight="1" x14ac:dyDescent="0.2">
      <c r="B159" s="47"/>
      <c r="C159" s="47"/>
      <c r="D159" s="47"/>
      <c r="E159" s="47"/>
      <c r="F159" s="8"/>
      <c r="G159" s="839" t="s">
        <v>17</v>
      </c>
      <c r="H159" s="839"/>
      <c r="I159" s="839"/>
      <c r="J159" s="839"/>
      <c r="K159" s="917">
        <f>K156/(((Data!$P$186/100)+1)^K$70)</f>
        <v>0</v>
      </c>
      <c r="L159" s="917">
        <f>L156/(((Data!$P$186/100)+1)^L$70)</f>
        <v>0</v>
      </c>
      <c r="M159" s="917">
        <f>M156/(((Data!$P$186/100)+1)^M$70)</f>
        <v>0</v>
      </c>
      <c r="N159" s="917">
        <f>N156/(((Data!$P$186/100)+1)^N$70)</f>
        <v>0</v>
      </c>
      <c r="O159" s="917">
        <f>O156/(((Data!$P$186/100)+1)^O$70)</f>
        <v>0</v>
      </c>
      <c r="P159" s="917">
        <f>P156/(((Data!$P$186/100)+1)^P$70)</f>
        <v>0</v>
      </c>
      <c r="Q159" s="917">
        <f>Q156/(((Data!$P$186/100)+1)^Q$70)</f>
        <v>0</v>
      </c>
      <c r="R159" s="917">
        <f>R156/(((Data!$P$186/100)+1)^R$70)</f>
        <v>0</v>
      </c>
      <c r="S159" s="917">
        <f>S156/(((Data!$P$186/100)+1)^S$70)</f>
        <v>0</v>
      </c>
      <c r="T159" s="917">
        <f>T156/(((Data!$P$186/100)+1)^T$70)</f>
        <v>0</v>
      </c>
      <c r="U159" s="917">
        <f>U156/(((Data!$P$186/100)+1)^U$70)</f>
        <v>0</v>
      </c>
      <c r="V159" s="917">
        <f>V156/(((Data!$P$186/100)+1)^V$70)</f>
        <v>0</v>
      </c>
      <c r="W159" s="917">
        <f>W156/(((Data!$P$186/100)+1)^W$70)</f>
        <v>0</v>
      </c>
      <c r="X159" s="917">
        <f>X156/(((Data!$P$186/100)+1)^X$70)</f>
        <v>0</v>
      </c>
      <c r="Y159" s="917">
        <f>Y156/(((Data!$P$186/100)+1)^Y$70)</f>
        <v>0</v>
      </c>
      <c r="Z159" s="917">
        <f>Z156/(((Data!$P$186/100)+1)^Z$70)</f>
        <v>0</v>
      </c>
      <c r="AA159" s="917">
        <f>AA156/(((Data!$P$186/100)+1)^AA$70)</f>
        <v>0</v>
      </c>
      <c r="AB159" s="918">
        <f>AB156/(((Data!$P$186/100)+1)^AB$70)</f>
        <v>0</v>
      </c>
      <c r="AC159" s="917">
        <f>AC156/(((Data!$P$186/100)+1)^AC$70)</f>
        <v>0</v>
      </c>
      <c r="AD159" s="917">
        <f>AD156/(((Data!$P$186/100)+1)^AD$70)</f>
        <v>0</v>
      </c>
      <c r="AE159" s="917">
        <f>AE156/(((Data!$P$186/100)+1)^AE$70)</f>
        <v>0</v>
      </c>
      <c r="AF159" s="917">
        <f>AF156/(((Data!$P$186/100)+1)^AF$70)</f>
        <v>0</v>
      </c>
      <c r="AG159" s="917">
        <f>AG156/(((Data!$P$186/100)+1)^AG$70)</f>
        <v>0</v>
      </c>
      <c r="AH159" s="917">
        <f>AH156/(((Data!$P$186/100)+1)^AH$70)</f>
        <v>0</v>
      </c>
      <c r="AI159" s="917">
        <f>AI156/(((Data!$P$186/100)+1)^AI$70)</f>
        <v>0</v>
      </c>
      <c r="AJ159" s="917">
        <f>AJ156/(((Data!$P$186/100)+1)^AJ$70)</f>
        <v>0</v>
      </c>
    </row>
    <row r="160" spans="2:36" ht="15" hidden="1" customHeight="1" x14ac:dyDescent="0.2">
      <c r="B160" s="47"/>
      <c r="C160" s="47"/>
      <c r="D160" s="47"/>
      <c r="E160" s="47"/>
      <c r="F160" s="8"/>
      <c r="G160" s="859" t="s">
        <v>184</v>
      </c>
      <c r="H160" s="859"/>
      <c r="I160" s="839"/>
      <c r="J160" s="839"/>
      <c r="K160" s="923">
        <f>K159</f>
        <v>0</v>
      </c>
      <c r="L160" s="923">
        <f t="shared" ref="L160:AJ160" si="35">K160+L159</f>
        <v>0</v>
      </c>
      <c r="M160" s="923">
        <f t="shared" si="35"/>
        <v>0</v>
      </c>
      <c r="N160" s="923">
        <f t="shared" si="35"/>
        <v>0</v>
      </c>
      <c r="O160" s="923">
        <f t="shared" si="35"/>
        <v>0</v>
      </c>
      <c r="P160" s="923">
        <f t="shared" si="35"/>
        <v>0</v>
      </c>
      <c r="Q160" s="923">
        <f t="shared" si="35"/>
        <v>0</v>
      </c>
      <c r="R160" s="923">
        <f t="shared" si="35"/>
        <v>0</v>
      </c>
      <c r="S160" s="923">
        <f t="shared" si="35"/>
        <v>0</v>
      </c>
      <c r="T160" s="923">
        <f t="shared" si="35"/>
        <v>0</v>
      </c>
      <c r="U160" s="923">
        <f t="shared" si="35"/>
        <v>0</v>
      </c>
      <c r="V160" s="923">
        <f t="shared" si="35"/>
        <v>0</v>
      </c>
      <c r="W160" s="923">
        <f t="shared" si="35"/>
        <v>0</v>
      </c>
      <c r="X160" s="923">
        <f t="shared" si="35"/>
        <v>0</v>
      </c>
      <c r="Y160" s="923">
        <f t="shared" si="35"/>
        <v>0</v>
      </c>
      <c r="Z160" s="923">
        <f t="shared" si="35"/>
        <v>0</v>
      </c>
      <c r="AA160" s="923">
        <f t="shared" si="35"/>
        <v>0</v>
      </c>
      <c r="AB160" s="924">
        <f t="shared" si="35"/>
        <v>0</v>
      </c>
      <c r="AC160" s="923">
        <f t="shared" si="35"/>
        <v>0</v>
      </c>
      <c r="AD160" s="923">
        <f t="shared" si="35"/>
        <v>0</v>
      </c>
      <c r="AE160" s="923">
        <f t="shared" si="35"/>
        <v>0</v>
      </c>
      <c r="AF160" s="923">
        <f t="shared" si="35"/>
        <v>0</v>
      </c>
      <c r="AG160" s="923">
        <f t="shared" si="35"/>
        <v>0</v>
      </c>
      <c r="AH160" s="923">
        <f t="shared" si="35"/>
        <v>0</v>
      </c>
      <c r="AI160" s="923">
        <f t="shared" si="35"/>
        <v>0</v>
      </c>
      <c r="AJ160" s="923">
        <f t="shared" si="35"/>
        <v>0</v>
      </c>
    </row>
    <row r="161" spans="2:36" ht="15" customHeight="1" x14ac:dyDescent="0.2">
      <c r="B161" s="47"/>
      <c r="C161" s="47"/>
      <c r="D161" s="47"/>
      <c r="E161" s="47"/>
      <c r="F161" s="8"/>
      <c r="G161" s="8"/>
      <c r="H161" s="8"/>
      <c r="I161" s="8"/>
      <c r="J161" s="8"/>
      <c r="K161" s="99"/>
      <c r="L161" s="67"/>
      <c r="M161" s="99"/>
      <c r="N161" s="99"/>
      <c r="O161" s="99"/>
      <c r="P161" s="99"/>
      <c r="Q161" s="99"/>
      <c r="R161" s="99"/>
      <c r="S161" s="67"/>
      <c r="T161" s="99"/>
      <c r="U161" s="99"/>
      <c r="V161" s="99"/>
      <c r="W161" s="99"/>
      <c r="X161" s="99"/>
      <c r="Y161" s="99"/>
      <c r="Z161" s="67"/>
      <c r="AA161" s="99"/>
      <c r="AB161" s="99"/>
      <c r="AC161" s="99"/>
      <c r="AD161" s="99"/>
      <c r="AE161" s="99"/>
      <c r="AF161" s="99"/>
      <c r="AG161" s="99"/>
      <c r="AH161" s="99"/>
      <c r="AI161" s="99"/>
      <c r="AJ161" s="99"/>
    </row>
    <row r="162" spans="2:36" ht="15" customHeight="1" x14ac:dyDescent="0.2">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row>
  </sheetData>
  <mergeCells count="6">
    <mergeCell ref="G33:K43"/>
    <mergeCell ref="S10:W10"/>
    <mergeCell ref="A1:E3"/>
    <mergeCell ref="G5:H7"/>
    <mergeCell ref="B7:D7"/>
    <mergeCell ref="H31:K31"/>
  </mergeCells>
  <conditionalFormatting sqref="G10">
    <cfRule type="expression" dxfId="391" priority="15">
      <formula>#REF!="No"</formula>
    </cfRule>
  </conditionalFormatting>
  <conditionalFormatting sqref="G18">
    <cfRule type="expression" dxfId="390" priority="45">
      <formula>#REF!="No"</formula>
    </cfRule>
  </conditionalFormatting>
  <conditionalFormatting sqref="G21">
    <cfRule type="expression" dxfId="389" priority="46">
      <formula>#REF!="No"</formula>
    </cfRule>
  </conditionalFormatting>
  <conditionalFormatting sqref="G22">
    <cfRule type="expression" dxfId="388" priority="35">
      <formula>#REF!="No"</formula>
    </cfRule>
  </conditionalFormatting>
  <conditionalFormatting sqref="G24">
    <cfRule type="expression" dxfId="387" priority="8">
      <formula>#REF!="No"</formula>
    </cfRule>
  </conditionalFormatting>
  <conditionalFormatting sqref="G29">
    <cfRule type="expression" dxfId="386" priority="12">
      <formula>#REF!="No"</formula>
    </cfRule>
  </conditionalFormatting>
  <conditionalFormatting sqref="G90">
    <cfRule type="expression" dxfId="385" priority="34">
      <formula>#REF!="No"</formula>
    </cfRule>
  </conditionalFormatting>
  <conditionalFormatting sqref="G114">
    <cfRule type="expression" dxfId="384" priority="33">
      <formula>#REF!="No"</formula>
    </cfRule>
  </conditionalFormatting>
  <conditionalFormatting sqref="G138">
    <cfRule type="expression" dxfId="383" priority="22">
      <formula>#REF!="No"</formula>
    </cfRule>
  </conditionalFormatting>
  <conditionalFormatting sqref="M10">
    <cfRule type="expression" dxfId="382" priority="14">
      <formula>#REF!="No"</formula>
    </cfRule>
  </conditionalFormatting>
  <conditionalFormatting sqref="M13">
    <cfRule type="expression" dxfId="381" priority="37">
      <formula>#REF!="No"</formula>
    </cfRule>
  </conditionalFormatting>
  <conditionalFormatting sqref="M18">
    <cfRule type="expression" dxfId="380" priority="42">
      <formula>#REF!="No"</formula>
    </cfRule>
  </conditionalFormatting>
  <conditionalFormatting sqref="M21:M22">
    <cfRule type="expression" dxfId="379" priority="17">
      <formula>#REF!="No"</formula>
    </cfRule>
  </conditionalFormatting>
  <conditionalFormatting sqref="M24">
    <cfRule type="expression" dxfId="378" priority="41">
      <formula>#REF!="No"</formula>
    </cfRule>
  </conditionalFormatting>
  <conditionalFormatting sqref="M29">
    <cfRule type="expression" dxfId="377" priority="9">
      <formula>#REF!="No"</formula>
    </cfRule>
  </conditionalFormatting>
  <conditionalFormatting sqref="M31">
    <cfRule type="expression" dxfId="376" priority="29">
      <formula>#REF!="No"</formula>
    </cfRule>
  </conditionalFormatting>
  <conditionalFormatting sqref="M36">
    <cfRule type="expression" dxfId="375" priority="6">
      <formula>#REF!="No"</formula>
    </cfRule>
  </conditionalFormatting>
  <conditionalFormatting sqref="M39:M40">
    <cfRule type="expression" dxfId="374" priority="10">
      <formula>#REF!="No"</formula>
    </cfRule>
  </conditionalFormatting>
  <conditionalFormatting sqref="M42">
    <cfRule type="expression" dxfId="373" priority="7">
      <formula>#REF!="No"</formula>
    </cfRule>
  </conditionalFormatting>
  <conditionalFormatting sqref="S10">
    <cfRule type="expression" dxfId="372" priority="1">
      <formula>#REF!="No"</formula>
    </cfRule>
  </conditionalFormatting>
  <conditionalFormatting sqref="S11:S13 S15">
    <cfRule type="expression" dxfId="371" priority="44">
      <formula>#REF!="No"</formula>
    </cfRule>
  </conditionalFormatting>
  <conditionalFormatting sqref="S41:S43">
    <cfRule type="expression" dxfId="370" priority="4">
      <formula>#REF!="No"</formula>
    </cfRule>
  </conditionalFormatting>
  <conditionalFormatting sqref="V42:W43">
    <cfRule type="expression" dxfId="369" priority="2">
      <formula>#REF!="No"</formula>
    </cfRule>
  </conditionalFormatting>
  <conditionalFormatting sqref="W40">
    <cfRule type="expression" dxfId="368" priority="20">
      <formula>#REF!="No"</formula>
    </cfRule>
  </conditionalFormatting>
  <conditionalFormatting sqref="AF10">
    <cfRule type="expression" dxfId="367" priority="13">
      <formula>#REF!="No"</formula>
    </cfRule>
  </conditionalFormatting>
  <conditionalFormatting sqref="AF36:AF39">
    <cfRule type="expression" dxfId="366" priority="23">
      <formula>#REF!="No"</formula>
    </cfRule>
  </conditionalFormatting>
  <conditionalFormatting sqref="AF46:AF47 AF49 AF52:AF65">
    <cfRule type="expression" dxfId="365" priority="36">
      <formula>#REF!="No"</formula>
    </cfRule>
  </conditionalFormatting>
  <conditionalFormatting sqref="AF67">
    <cfRule type="expression" dxfId="364" priority="38">
      <formula>#REF!="No"</formula>
    </cfRule>
  </conditionalFormatting>
  <dataValidations count="1">
    <dataValidation type="list" allowBlank="1" showInputMessage="1" showErrorMessage="1" sqref="AH15" xr:uid="{00000000-0002-0000-0500-000000000000}">
      <formula1>$G$181:$G$184</formula1>
    </dataValidation>
  </dataValidations>
  <hyperlinks>
    <hyperlink ref="G5:H7" location="SimpleStep2!A1" display="Done" xr:uid="{00000000-0004-0000-0500-000000000000}"/>
  </hyperlinks>
  <pageMargins left="0.25" right="0.25" top="0.75" bottom="0.75" header="0.3" footer="0.3"/>
  <pageSetup paperSize="9" scale="23" orientation="landscape" r:id="rId1"/>
  <rowBreaks count="1" manualBreakCount="1">
    <brk id="161" max="1638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1000000}">
          <x14:formula1>
            <xm:f>Data!$G$171:$G$174</xm:f>
          </x14:formula1>
          <xm:sqref>I15 O15 O33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AO322"/>
  <sheetViews>
    <sheetView showGridLines="0" zoomScale="85" zoomScaleNormal="85" zoomScaleSheetLayoutView="50" workbookViewId="0">
      <selection activeCell="J11" sqref="J11"/>
    </sheetView>
  </sheetViews>
  <sheetFormatPr defaultColWidth="8.7109375" defaultRowHeight="15" customHeight="1" x14ac:dyDescent="0.2"/>
  <cols>
    <col min="1" max="1" width="3.7109375" style="127" customWidth="1"/>
    <col min="2" max="2" width="8.85546875" style="134" customWidth="1"/>
    <col min="3" max="3" width="8.7109375" style="570" customWidth="1"/>
    <col min="4" max="4" width="8.7109375" style="130" customWidth="1"/>
    <col min="5" max="5" width="3.7109375" style="129" customWidth="1"/>
    <col min="6" max="8" width="8.7109375" style="8" customWidth="1"/>
    <col min="9" max="9" width="25.7109375" style="8" customWidth="1"/>
    <col min="10" max="11" width="12.7109375" style="8" customWidth="1"/>
    <col min="12" max="14" width="8.7109375" style="8" customWidth="1"/>
    <col min="15" max="15" width="25.7109375" style="8" customWidth="1"/>
    <col min="16" max="17" width="12.7109375" style="8" customWidth="1"/>
    <col min="18" max="18" width="8.7109375" style="9" customWidth="1"/>
    <col min="19" max="25" width="8.7109375" style="8" customWidth="1"/>
    <col min="26" max="26" width="9.28515625" style="8" bestFit="1" customWidth="1"/>
    <col min="27" max="27" width="25.7109375" style="8" customWidth="1"/>
    <col min="28" max="28" width="12.7109375" style="73" customWidth="1"/>
    <col min="29" max="29" width="12.7109375" style="8" customWidth="1"/>
    <col min="30" max="30" width="9.28515625" style="8" bestFit="1" customWidth="1"/>
    <col min="31" max="32" width="9.28515625" style="8" customWidth="1"/>
    <col min="33" max="33" width="8.7109375" style="8" customWidth="1"/>
    <col min="34" max="36" width="8.7109375" style="8"/>
    <col min="37" max="37" width="8.85546875" style="8" customWidth="1"/>
    <col min="38" max="38" width="8.7109375" style="121"/>
    <col min="39" max="16384" width="8.7109375" style="8"/>
  </cols>
  <sheetData>
    <row r="1" spans="1:41" ht="15" customHeight="1" x14ac:dyDescent="0.25">
      <c r="A1" s="1058"/>
      <c r="B1" s="1058"/>
      <c r="C1" s="1058"/>
      <c r="D1" s="1058"/>
      <c r="E1" s="1058"/>
    </row>
    <row r="2" spans="1:41" ht="15" customHeight="1" x14ac:dyDescent="0.25">
      <c r="A2" s="1058"/>
      <c r="B2" s="1058"/>
      <c r="C2" s="1058"/>
      <c r="D2" s="1058"/>
      <c r="E2" s="1058"/>
      <c r="H2" s="19"/>
      <c r="I2" s="19"/>
      <c r="J2" s="19"/>
      <c r="K2" s="20"/>
      <c r="L2" s="10"/>
      <c r="M2" s="20"/>
      <c r="N2" s="19"/>
      <c r="O2" s="19"/>
      <c r="P2" s="19"/>
      <c r="Q2" s="21"/>
    </row>
    <row r="3" spans="1:41" ht="15" customHeight="1" x14ac:dyDescent="0.25">
      <c r="A3" s="1058"/>
      <c r="B3" s="1058"/>
      <c r="C3" s="1058"/>
      <c r="D3" s="1058"/>
      <c r="E3" s="1058"/>
    </row>
    <row r="4" spans="1:41" ht="15" customHeight="1" x14ac:dyDescent="0.25">
      <c r="A4" s="620"/>
      <c r="B4" s="620"/>
      <c r="C4" s="620"/>
      <c r="D4" s="620"/>
      <c r="E4" s="620"/>
    </row>
    <row r="5" spans="1:41" ht="15" customHeight="1" x14ac:dyDescent="0.25">
      <c r="A5" s="668"/>
      <c r="B5" s="134" t="s">
        <v>251</v>
      </c>
      <c r="C5" s="668"/>
      <c r="D5" s="668"/>
      <c r="E5" s="668"/>
      <c r="G5" s="1020" t="s">
        <v>201</v>
      </c>
      <c r="H5" s="1020"/>
    </row>
    <row r="6" spans="1:41" ht="15" customHeight="1" x14ac:dyDescent="0.2">
      <c r="A6" s="668"/>
      <c r="C6" s="129"/>
      <c r="E6" s="668"/>
      <c r="G6" s="1020"/>
      <c r="H6" s="1020"/>
      <c r="W6" s="627"/>
      <c r="X6" s="627"/>
    </row>
    <row r="7" spans="1:41" ht="15" customHeight="1" x14ac:dyDescent="0.25">
      <c r="A7" s="668"/>
      <c r="B7" s="1060" t="str">
        <f>IF(Step1!K12="New building",Step1!Q12,Step1!K15)</f>
        <v>1-19 Torrington Place</v>
      </c>
      <c r="C7" s="1060"/>
      <c r="D7" s="1060"/>
      <c r="E7" s="668"/>
      <c r="G7" s="1020"/>
      <c r="H7" s="1020"/>
      <c r="I7" s="22"/>
      <c r="J7" s="22"/>
      <c r="W7" s="627"/>
      <c r="X7" s="627"/>
    </row>
    <row r="8" spans="1:41" ht="15" customHeight="1" x14ac:dyDescent="0.2">
      <c r="B8" s="128"/>
      <c r="C8" s="129"/>
    </row>
    <row r="9" spans="1:41" ht="15" customHeight="1" x14ac:dyDescent="0.2">
      <c r="B9" s="128"/>
      <c r="C9" s="129"/>
    </row>
    <row r="10" spans="1:41" ht="15" customHeight="1" x14ac:dyDescent="0.2">
      <c r="B10" s="567"/>
      <c r="C10" s="129"/>
      <c r="G10" s="817" t="s">
        <v>573</v>
      </c>
      <c r="H10" s="297"/>
      <c r="I10" s="297"/>
      <c r="J10" s="297"/>
      <c r="K10" s="298"/>
      <c r="L10" s="1"/>
      <c r="M10" s="339" t="s">
        <v>525</v>
      </c>
      <c r="N10" s="299"/>
      <c r="O10" s="299"/>
      <c r="P10" s="299"/>
      <c r="Q10" s="300"/>
      <c r="S10" s="1019" t="s">
        <v>496</v>
      </c>
      <c r="T10" s="1019"/>
      <c r="U10" s="1019"/>
      <c r="V10" s="1019"/>
      <c r="W10" s="1019"/>
      <c r="Y10" s="829" t="s">
        <v>530</v>
      </c>
      <c r="Z10" s="297"/>
      <c r="AA10" s="297"/>
      <c r="AB10" s="297"/>
      <c r="AC10" s="298"/>
    </row>
    <row r="11" spans="1:41" ht="15" customHeight="1" thickBot="1" x14ac:dyDescent="0.25">
      <c r="B11" s="131"/>
      <c r="C11" s="129"/>
      <c r="G11" s="818" t="s">
        <v>392</v>
      </c>
      <c r="H11" s="220"/>
      <c r="I11" s="223"/>
      <c r="J11" s="568">
        <f>(Step1!K35+Step1!K37+Step1!K39)*Step1!K24</f>
        <v>1243832.0000000002</v>
      </c>
      <c r="K11" s="245"/>
      <c r="L11" s="90"/>
      <c r="M11" s="232" t="s">
        <v>392</v>
      </c>
      <c r="N11" s="220"/>
      <c r="O11" s="220"/>
      <c r="P11" s="973">
        <f>$J$11*(1-P13)</f>
        <v>870682.40000000026</v>
      </c>
      <c r="Q11" s="296"/>
      <c r="R11" s="427"/>
      <c r="S11" s="426"/>
      <c r="T11" s="426"/>
      <c r="U11" s="426"/>
      <c r="V11" s="426"/>
      <c r="W11" s="426"/>
      <c r="X11" s="426"/>
      <c r="Y11" s="830" t="s">
        <v>392</v>
      </c>
      <c r="Z11" s="220"/>
      <c r="AA11" s="220"/>
      <c r="AB11" s="1009">
        <f>$J$11*(1-AB13)</f>
        <v>1243832.0000000002</v>
      </c>
      <c r="AC11" s="245"/>
      <c r="AD11" s="426"/>
      <c r="AE11" s="426"/>
    </row>
    <row r="12" spans="1:41" ht="15" customHeight="1" thickBot="1" x14ac:dyDescent="0.25">
      <c r="B12" s="569"/>
      <c r="G12" s="819"/>
      <c r="H12" s="171"/>
      <c r="I12" s="171"/>
      <c r="J12" s="171"/>
      <c r="K12" s="243"/>
      <c r="M12" s="170"/>
      <c r="N12" s="171"/>
      <c r="O12" s="171"/>
      <c r="P12" s="170"/>
      <c r="Q12" s="243"/>
      <c r="Y12" s="831"/>
      <c r="Z12" s="171"/>
      <c r="AA12" s="171"/>
      <c r="AB12" s="837"/>
      <c r="AC12" s="256"/>
      <c r="AK12" s="24"/>
      <c r="AL12" s="987"/>
      <c r="AM12" s="23"/>
      <c r="AN12" s="23"/>
      <c r="AO12" s="23"/>
    </row>
    <row r="13" spans="1:41" ht="15" customHeight="1" thickBot="1" x14ac:dyDescent="0.25">
      <c r="B13" s="131"/>
      <c r="C13" s="132"/>
      <c r="G13" s="819"/>
      <c r="H13" s="171"/>
      <c r="I13" s="171"/>
      <c r="J13" s="171"/>
      <c r="K13" s="243"/>
      <c r="M13" s="167" t="s">
        <v>0</v>
      </c>
      <c r="N13" s="171"/>
      <c r="O13" s="171"/>
      <c r="P13" s="263">
        <f>1-(P45/J45)</f>
        <v>0.29999999999999993</v>
      </c>
      <c r="Q13" s="243"/>
      <c r="R13" s="92"/>
      <c r="S13" s="92"/>
      <c r="T13" s="92"/>
      <c r="U13" s="92"/>
      <c r="V13" s="92"/>
      <c r="W13" s="92"/>
      <c r="X13" s="92"/>
      <c r="Y13" s="832" t="s">
        <v>0</v>
      </c>
      <c r="Z13" s="171"/>
      <c r="AA13" s="171"/>
      <c r="AB13" s="1007">
        <f>1-(AB45/J45)</f>
        <v>0</v>
      </c>
      <c r="AC13" s="243"/>
      <c r="AD13" s="92"/>
      <c r="AE13" s="92"/>
      <c r="AK13" s="25"/>
      <c r="AM13" s="26"/>
      <c r="AN13" s="26"/>
    </row>
    <row r="14" spans="1:41" ht="15" customHeight="1" x14ac:dyDescent="0.2">
      <c r="B14" s="567"/>
      <c r="C14" s="129"/>
      <c r="G14" s="820"/>
      <c r="H14" s="342"/>
      <c r="I14" s="342"/>
      <c r="J14" s="342"/>
      <c r="K14" s="352"/>
      <c r="M14" s="350"/>
      <c r="N14" s="342"/>
      <c r="O14" s="342"/>
      <c r="P14" s="342"/>
      <c r="Q14" s="352"/>
      <c r="Y14" s="833"/>
      <c r="Z14" s="342"/>
      <c r="AA14" s="342"/>
      <c r="AB14" s="358"/>
      <c r="AC14" s="359"/>
      <c r="AK14" s="25"/>
      <c r="AM14" s="26"/>
      <c r="AN14" s="26"/>
    </row>
    <row r="15" spans="1:41" ht="15" customHeight="1" thickBot="1" x14ac:dyDescent="0.25">
      <c r="B15" s="133"/>
      <c r="C15" s="129"/>
      <c r="G15" s="821" t="s">
        <v>283</v>
      </c>
      <c r="H15" s="310"/>
      <c r="I15" s="632" t="str">
        <f>Step1!$K$64</f>
        <v>District heating</v>
      </c>
      <c r="J15" s="220"/>
      <c r="K15" s="528"/>
      <c r="L15" s="1"/>
      <c r="M15" s="226" t="s">
        <v>283</v>
      </c>
      <c r="N15" s="310"/>
      <c r="O15" s="632" t="str">
        <f>Step1!$K$64</f>
        <v>District heating</v>
      </c>
      <c r="P15" s="220"/>
      <c r="Q15" s="528"/>
      <c r="Y15" s="834" t="s">
        <v>283</v>
      </c>
      <c r="Z15" s="310"/>
      <c r="AA15" s="632" t="str">
        <f>Step1!$K$64</f>
        <v>District heating</v>
      </c>
      <c r="AB15" s="310"/>
      <c r="AC15" s="528"/>
      <c r="AM15" s="26"/>
      <c r="AN15" s="26"/>
    </row>
    <row r="16" spans="1:41" ht="15" customHeight="1" x14ac:dyDescent="0.2">
      <c r="B16" s="133"/>
      <c r="C16" s="129"/>
      <c r="G16" s="822"/>
      <c r="H16" s="563"/>
      <c r="I16" s="563"/>
      <c r="J16" s="563"/>
      <c r="K16" s="564"/>
      <c r="M16" s="816"/>
      <c r="N16" s="563"/>
      <c r="O16" s="563"/>
      <c r="P16" s="563"/>
      <c r="Q16" s="564"/>
      <c r="Y16" s="835"/>
      <c r="Z16" s="563"/>
      <c r="AA16" s="523"/>
      <c r="AB16" s="563"/>
      <c r="AC16" s="564"/>
      <c r="AM16" s="26"/>
      <c r="AN16" s="26"/>
    </row>
    <row r="17" spans="2:40" ht="15" customHeight="1" thickBot="1" x14ac:dyDescent="0.25">
      <c r="B17" s="133"/>
      <c r="C17" s="129"/>
      <c r="G17" s="823" t="s">
        <v>426</v>
      </c>
      <c r="H17" s="310"/>
      <c r="I17" s="310"/>
      <c r="J17" s="310"/>
      <c r="K17" s="930" t="s">
        <v>627</v>
      </c>
      <c r="L17" s="1"/>
      <c r="M17" s="225" t="s">
        <v>427</v>
      </c>
      <c r="N17" s="310"/>
      <c r="O17" s="310"/>
      <c r="P17" s="310"/>
      <c r="Q17" s="528"/>
      <c r="Y17" s="830" t="s">
        <v>384</v>
      </c>
      <c r="Z17" s="310"/>
      <c r="AA17" s="571"/>
      <c r="AB17" s="310"/>
      <c r="AC17" s="528"/>
      <c r="AM17" s="26"/>
      <c r="AN17" s="26"/>
    </row>
    <row r="18" spans="2:40" ht="15" customHeight="1" thickBot="1" x14ac:dyDescent="0.25">
      <c r="B18" s="133"/>
      <c r="C18" s="129"/>
      <c r="G18" s="824" t="s">
        <v>336</v>
      </c>
      <c r="H18" s="171"/>
      <c r="I18" s="171"/>
      <c r="J18" s="186">
        <f>2*200</f>
        <v>400</v>
      </c>
      <c r="K18" s="247">
        <f>J18</f>
        <v>400</v>
      </c>
      <c r="L18" s="98">
        <f>K28*K18*Data!$P$205*24/1000</f>
        <v>68757.119999999981</v>
      </c>
      <c r="M18" s="170" t="s">
        <v>293</v>
      </c>
      <c r="N18" s="171"/>
      <c r="O18" s="171"/>
      <c r="P18" s="186">
        <f>2*200</f>
        <v>400</v>
      </c>
      <c r="Q18" s="247">
        <f>P18</f>
        <v>400</v>
      </c>
      <c r="R18" s="98">
        <f>IF(Q18&lt;K18,((K18-Q18)*K28+(Q18)*Q28)*Data!$P$205*24/1000,Q18*Q28*Data!$P$205*24/1000)</f>
        <v>23915.52</v>
      </c>
      <c r="Y18" s="837" t="s">
        <v>293</v>
      </c>
      <c r="Z18" s="171"/>
      <c r="AA18" s="171"/>
      <c r="AB18" s="186">
        <v>0</v>
      </c>
      <c r="AC18" s="247">
        <f>AB18</f>
        <v>0</v>
      </c>
      <c r="AD18" s="98">
        <f>IF(AC18&lt;K18,((K18-AC18)*K28+(AC18)*AC28)*Data!$P$205*24/1000,AC18*AC28*Data!$P$205*24/1000)</f>
        <v>68757.119999999981</v>
      </c>
      <c r="AM18" s="26"/>
      <c r="AN18" s="26"/>
    </row>
    <row r="19" spans="2:40" ht="15" customHeight="1" thickBot="1" x14ac:dyDescent="0.25">
      <c r="B19" s="133"/>
      <c r="C19" s="129"/>
      <c r="G19" s="824" t="s">
        <v>337</v>
      </c>
      <c r="H19" s="171"/>
      <c r="I19" s="171"/>
      <c r="J19" s="186">
        <f>300+300+240+240</f>
        <v>1080</v>
      </c>
      <c r="K19" s="247">
        <f>J19</f>
        <v>1080</v>
      </c>
      <c r="L19" s="98">
        <f>K29*K19*Data!$P$205*24/1000</f>
        <v>80714.880000000005</v>
      </c>
      <c r="M19" s="170" t="s">
        <v>294</v>
      </c>
      <c r="N19" s="171"/>
      <c r="O19" s="171"/>
      <c r="P19" s="186">
        <f>300+300+240+240</f>
        <v>1080</v>
      </c>
      <c r="Q19" s="247">
        <f>P19</f>
        <v>1080</v>
      </c>
      <c r="R19" s="98">
        <f>IF(Q19&lt;K19,((K19-Q19)*K29+(Q19)*Q29)*Data!$P$205*24/1000,Q19*Q29*Data!$P$205*24/1000)</f>
        <v>80714.880000000005</v>
      </c>
      <c r="Y19" s="837" t="s">
        <v>294</v>
      </c>
      <c r="Z19" s="171"/>
      <c r="AA19" s="171"/>
      <c r="AB19" s="186">
        <v>0</v>
      </c>
      <c r="AC19" s="247">
        <f>AB19</f>
        <v>0</v>
      </c>
      <c r="AD19" s="98">
        <f>IF(AC19&lt;K19,((K19-AC19)*K29+(AC19)*AC29)*Data!$P$205*24/1000,AC19*AC29*Data!$P$205*24/1000)</f>
        <v>80714.880000000005</v>
      </c>
    </row>
    <row r="20" spans="2:40" ht="15" customHeight="1" thickBot="1" x14ac:dyDescent="0.25">
      <c r="B20" s="133"/>
      <c r="C20" s="129"/>
      <c r="G20" s="824" t="s">
        <v>338</v>
      </c>
      <c r="H20" s="171"/>
      <c r="I20" s="171"/>
      <c r="J20" s="186">
        <v>0</v>
      </c>
      <c r="K20" s="247">
        <f>J20</f>
        <v>0</v>
      </c>
      <c r="L20" s="98">
        <f>K30*K20*Data!$P$205*24/1000</f>
        <v>0</v>
      </c>
      <c r="M20" s="170" t="s">
        <v>295</v>
      </c>
      <c r="N20" s="171"/>
      <c r="O20" s="171"/>
      <c r="P20" s="186">
        <v>0</v>
      </c>
      <c r="Q20" s="247">
        <f>P20</f>
        <v>0</v>
      </c>
      <c r="R20" s="98">
        <f>IF(Q20&lt;K20,((K20-Q20)*K30+(Q20)*Q30)*Data!$P$205*24/1000,Q20*Q30*Data!$P$205*24/1000)</f>
        <v>0</v>
      </c>
      <c r="Y20" s="837" t="s">
        <v>295</v>
      </c>
      <c r="Z20" s="171"/>
      <c r="AA20" s="171"/>
      <c r="AB20" s="639">
        <v>0</v>
      </c>
      <c r="AC20" s="247">
        <f>AB20</f>
        <v>0</v>
      </c>
      <c r="AD20" s="98">
        <f>IF(AC20&lt;K20,((K20-AC20)*K30+(AC20)*AC30)*Data!$P$205*24/1000,AC20*AC30*Data!$P$205*24/1000)</f>
        <v>0</v>
      </c>
    </row>
    <row r="21" spans="2:40" ht="15" customHeight="1" thickBot="1" x14ac:dyDescent="0.25">
      <c r="B21" s="133"/>
      <c r="C21" s="129"/>
      <c r="G21" s="825" t="s">
        <v>382</v>
      </c>
      <c r="H21" s="171"/>
      <c r="I21" s="171"/>
      <c r="J21" s="186">
        <v>0</v>
      </c>
      <c r="K21" s="247">
        <f>J21</f>
        <v>0</v>
      </c>
      <c r="L21" s="98">
        <f>K31*K21*Data!$P$205*24/1000</f>
        <v>0</v>
      </c>
      <c r="M21" s="170" t="s">
        <v>383</v>
      </c>
      <c r="N21" s="170"/>
      <c r="O21" s="171"/>
      <c r="P21" s="186">
        <v>0</v>
      </c>
      <c r="Q21" s="247">
        <f>P21</f>
        <v>0</v>
      </c>
      <c r="R21" s="98">
        <f>IF(Q21&lt;K21,((K21-Q21)*K31+(Q21)*Q31)*Data!$P$205*24/1000,Q21*Q31*Data!$P$205*24/1000)</f>
        <v>0</v>
      </c>
      <c r="Y21" s="837" t="s">
        <v>383</v>
      </c>
      <c r="Z21" s="171"/>
      <c r="AA21" s="171"/>
      <c r="AB21" s="639">
        <v>0</v>
      </c>
      <c r="AC21" s="247">
        <f>AB21</f>
        <v>0</v>
      </c>
      <c r="AD21" s="98">
        <f>IF(AC21&lt;K21,((K21-AC21)*K31+(AC21)*AC31)*Data!$P$205*24/1000,AC21*AC31*Data!$P$205*24/1000)</f>
        <v>0</v>
      </c>
    </row>
    <row r="22" spans="2:40" ht="15" customHeight="1" thickBot="1" x14ac:dyDescent="0.25">
      <c r="G22" s="819"/>
      <c r="H22" s="171"/>
      <c r="I22" s="176"/>
      <c r="J22" s="169"/>
      <c r="K22" s="247"/>
      <c r="L22" s="9"/>
      <c r="M22" s="170"/>
      <c r="N22" s="171"/>
      <c r="O22" s="176"/>
      <c r="P22" s="169"/>
      <c r="Q22" s="247"/>
      <c r="Y22" s="837"/>
      <c r="Z22" s="171"/>
      <c r="AA22" s="402"/>
      <c r="AB22" s="173"/>
      <c r="AC22" s="247"/>
    </row>
    <row r="23" spans="2:40" ht="15" customHeight="1" thickBot="1" x14ac:dyDescent="0.25">
      <c r="G23" s="819" t="s">
        <v>291</v>
      </c>
      <c r="H23" s="171"/>
      <c r="I23" s="176"/>
      <c r="J23" s="186">
        <v>9</v>
      </c>
      <c r="K23" s="247">
        <f>J23</f>
        <v>9</v>
      </c>
      <c r="L23" s="9"/>
      <c r="M23" s="170" t="s">
        <v>291</v>
      </c>
      <c r="N23" s="171"/>
      <c r="O23" s="176"/>
      <c r="P23" s="262">
        <f>Q23</f>
        <v>9</v>
      </c>
      <c r="Q23" s="247">
        <f>K23</f>
        <v>9</v>
      </c>
      <c r="U23" s="10"/>
      <c r="W23" s="10"/>
      <c r="Y23" s="837" t="s">
        <v>291</v>
      </c>
      <c r="Z23" s="171"/>
      <c r="AA23" s="176"/>
      <c r="AB23" s="1001">
        <f>J23</f>
        <v>9</v>
      </c>
      <c r="AC23" s="247">
        <f>K23</f>
        <v>9</v>
      </c>
    </row>
    <row r="24" spans="2:40" ht="15" customHeight="1" thickBot="1" x14ac:dyDescent="0.25">
      <c r="B24" s="131"/>
      <c r="C24" s="132"/>
      <c r="G24" s="819" t="s">
        <v>292</v>
      </c>
      <c r="H24" s="171"/>
      <c r="I24" s="176"/>
      <c r="J24" s="187">
        <v>2.8</v>
      </c>
      <c r="K24" s="247">
        <f>J24</f>
        <v>2.8</v>
      </c>
      <c r="L24" s="9"/>
      <c r="M24" s="170" t="s">
        <v>292</v>
      </c>
      <c r="N24" s="171"/>
      <c r="O24" s="176"/>
      <c r="P24" s="266">
        <f>Q24</f>
        <v>2.8</v>
      </c>
      <c r="Q24" s="253">
        <f>K24</f>
        <v>2.8</v>
      </c>
      <c r="R24" s="12"/>
      <c r="U24" s="10"/>
      <c r="W24" s="10"/>
      <c r="Y24" s="837" t="s">
        <v>292</v>
      </c>
      <c r="Z24" s="171"/>
      <c r="AA24" s="176"/>
      <c r="AB24" s="1010">
        <f>J24</f>
        <v>2.8</v>
      </c>
      <c r="AC24" s="253">
        <f>K24</f>
        <v>2.8</v>
      </c>
    </row>
    <row r="25" spans="2:40" ht="15" customHeight="1" thickBot="1" x14ac:dyDescent="0.25">
      <c r="B25" s="567"/>
      <c r="C25" s="132"/>
      <c r="G25" s="819" t="s">
        <v>501</v>
      </c>
      <c r="H25" s="171"/>
      <c r="I25" s="171"/>
      <c r="J25" s="183">
        <f>K25</f>
        <v>0</v>
      </c>
      <c r="K25" s="247">
        <f>K21*K23*K24</f>
        <v>0</v>
      </c>
      <c r="L25" s="98">
        <f>1/3*K34*K25*Data!$P$205*24/1000</f>
        <v>0</v>
      </c>
      <c r="M25" s="170" t="s">
        <v>501</v>
      </c>
      <c r="N25" s="170"/>
      <c r="O25" s="171"/>
      <c r="P25" s="262">
        <f>Q25</f>
        <v>0</v>
      </c>
      <c r="Q25" s="247">
        <f>K25</f>
        <v>0</v>
      </c>
      <c r="R25" s="98">
        <f>1/3*Q34*Q25*Data!$P$205*24/1000</f>
        <v>0</v>
      </c>
      <c r="U25" s="10"/>
      <c r="W25" s="10"/>
      <c r="Y25" s="837" t="s">
        <v>501</v>
      </c>
      <c r="Z25" s="171"/>
      <c r="AA25" s="171"/>
      <c r="AB25" s="1011">
        <f>J25</f>
        <v>0</v>
      </c>
      <c r="AC25" s="246">
        <f>AB25</f>
        <v>0</v>
      </c>
      <c r="AD25" s="98">
        <f>1/3*AC34*AC25*Data!$P$205*24/1000</f>
        <v>0</v>
      </c>
    </row>
    <row r="26" spans="2:40" ht="15" customHeight="1" x14ac:dyDescent="0.2">
      <c r="B26" s="128"/>
      <c r="C26" s="129"/>
      <c r="G26" s="822"/>
      <c r="H26" s="563"/>
      <c r="I26" s="563"/>
      <c r="J26" s="563"/>
      <c r="K26" s="564"/>
      <c r="M26" s="816"/>
      <c r="N26" s="563"/>
      <c r="O26" s="563"/>
      <c r="P26" s="563"/>
      <c r="Q26" s="564"/>
      <c r="Y26" s="835"/>
      <c r="Z26" s="563"/>
      <c r="AA26" s="563"/>
      <c r="AB26" s="563"/>
      <c r="AC26" s="564"/>
    </row>
    <row r="27" spans="2:40" ht="15" customHeight="1" thickBot="1" x14ac:dyDescent="0.25">
      <c r="B27" s="128"/>
      <c r="C27" s="129"/>
      <c r="G27" s="823" t="s">
        <v>621</v>
      </c>
      <c r="H27" s="220"/>
      <c r="I27" s="221"/>
      <c r="J27" s="221"/>
      <c r="K27" s="929" t="s">
        <v>626</v>
      </c>
      <c r="L27" s="12"/>
      <c r="M27" s="225" t="s">
        <v>628</v>
      </c>
      <c r="N27" s="220"/>
      <c r="O27" s="220"/>
      <c r="P27" s="220"/>
      <c r="Q27" s="929" t="s">
        <v>626</v>
      </c>
      <c r="R27" s="12"/>
      <c r="U27" s="10"/>
      <c r="W27" s="10"/>
      <c r="Y27" s="838" t="s">
        <v>629</v>
      </c>
      <c r="Z27" s="220"/>
      <c r="AA27" s="220"/>
      <c r="AB27" s="220"/>
      <c r="AC27" s="929" t="s">
        <v>626</v>
      </c>
    </row>
    <row r="28" spans="2:40" ht="15" customHeight="1" thickBot="1" x14ac:dyDescent="0.25">
      <c r="B28" s="128"/>
      <c r="C28" s="129"/>
      <c r="G28" s="819" t="s">
        <v>339</v>
      </c>
      <c r="H28" s="171"/>
      <c r="I28" s="631" t="s">
        <v>400</v>
      </c>
      <c r="J28" s="638"/>
      <c r="K28" s="249">
        <f>IF(I28="User defined",J28,VLOOKUP(I28,Data!$G$40:$P$45,10,FALSE))</f>
        <v>4.5999999999999996</v>
      </c>
      <c r="L28" s="12"/>
      <c r="M28" s="170" t="s">
        <v>339</v>
      </c>
      <c r="N28" s="171"/>
      <c r="O28" s="631" t="s">
        <v>679</v>
      </c>
      <c r="P28" s="638"/>
      <c r="Q28" s="249">
        <f>IF(O28="User defined",P28,VLOOKUP(O28,Data!$G$40:$P$45,10,FALSE))</f>
        <v>1.6</v>
      </c>
      <c r="R28" s="12"/>
      <c r="U28" s="67"/>
      <c r="W28" s="67"/>
      <c r="Y28" s="837" t="s">
        <v>339</v>
      </c>
      <c r="Z28" s="171"/>
      <c r="AA28" s="631" t="s">
        <v>309</v>
      </c>
      <c r="AB28" s="638"/>
      <c r="AC28" s="249">
        <f>IF(AA28="User defined",AB28,VLOOKUP(AA28,Data!$G$40:$P$45,10,FALSE))</f>
        <v>0</v>
      </c>
    </row>
    <row r="29" spans="2:40" ht="15" customHeight="1" thickBot="1" x14ac:dyDescent="0.25">
      <c r="B29" s="128"/>
      <c r="C29" s="129"/>
      <c r="G29" s="819" t="s">
        <v>340</v>
      </c>
      <c r="H29" s="171"/>
      <c r="I29" s="631" t="s">
        <v>404</v>
      </c>
      <c r="J29" s="638"/>
      <c r="K29" s="249">
        <f>IF(I29="User defined",J29,VLOOKUP(I29,Data!$G$48:$P$54,10,FALSE))</f>
        <v>2</v>
      </c>
      <c r="L29" s="12"/>
      <c r="M29" s="170" t="s">
        <v>340</v>
      </c>
      <c r="N29" s="194"/>
      <c r="O29" s="631" t="s">
        <v>404</v>
      </c>
      <c r="P29" s="638"/>
      <c r="Q29" s="249">
        <f>IF(O29="User defined",P29,VLOOKUP(O29,Data!$G$48:$P$54,10,FALSE))</f>
        <v>2</v>
      </c>
      <c r="Y29" s="837" t="s">
        <v>340</v>
      </c>
      <c r="Z29" s="171"/>
      <c r="AA29" s="631" t="s">
        <v>309</v>
      </c>
      <c r="AB29" s="638"/>
      <c r="AC29" s="249">
        <f>IF(AA29="User defined",AB29,VLOOKUP(AA29,Data!$G$48:$P$54,10,FALSE))</f>
        <v>0</v>
      </c>
    </row>
    <row r="30" spans="2:40" ht="15" customHeight="1" thickBot="1" x14ac:dyDescent="0.25">
      <c r="C30" s="129"/>
      <c r="G30" s="819" t="s">
        <v>341</v>
      </c>
      <c r="H30" s="171"/>
      <c r="I30" s="631" t="s">
        <v>309</v>
      </c>
      <c r="J30" s="638"/>
      <c r="K30" s="249">
        <f>IF(I30="User defined",J30,VLOOKUP(I30,Data!$G$58:$P$63,10,FALSE))</f>
        <v>0</v>
      </c>
      <c r="L30" s="12"/>
      <c r="M30" s="170" t="s">
        <v>341</v>
      </c>
      <c r="N30" s="171"/>
      <c r="O30" s="631" t="s">
        <v>309</v>
      </c>
      <c r="P30" s="638"/>
      <c r="Q30" s="249">
        <f>IF(O30="User defined",P30,VLOOKUP(O30,Data!$G$58:$P$63,10,FALSE))</f>
        <v>0</v>
      </c>
      <c r="U30" s="85"/>
      <c r="V30" s="85"/>
      <c r="W30" s="85"/>
      <c r="X30" s="85"/>
      <c r="Y30" s="837" t="s">
        <v>341</v>
      </c>
      <c r="Z30" s="171"/>
      <c r="AA30" s="631" t="s">
        <v>309</v>
      </c>
      <c r="AB30" s="638"/>
      <c r="AC30" s="249">
        <f>IF(AA30="User defined",AB30,VLOOKUP(AA30,Data!$G$58:$P$63,10,FALSE))</f>
        <v>0</v>
      </c>
    </row>
    <row r="31" spans="2:40" ht="15" customHeight="1" thickBot="1" x14ac:dyDescent="0.25">
      <c r="B31" s="1059"/>
      <c r="C31" s="1059"/>
      <c r="D31" s="1059"/>
      <c r="G31" s="819" t="s">
        <v>342</v>
      </c>
      <c r="H31" s="171"/>
      <c r="I31" s="633" t="s">
        <v>309</v>
      </c>
      <c r="J31" s="638"/>
      <c r="K31" s="249">
        <f>IF(I31="User defined",J31,VLOOKUP(I31,Data!$G$66:$P$71,10,FALSE))</f>
        <v>0</v>
      </c>
      <c r="M31" s="170" t="s">
        <v>342</v>
      </c>
      <c r="N31" s="171"/>
      <c r="O31" s="633" t="s">
        <v>309</v>
      </c>
      <c r="P31" s="638"/>
      <c r="Q31" s="249">
        <f>IF(O31="User defined",P31,VLOOKUP(O31,Data!$G$66:$P$71,10,FALSE))</f>
        <v>0</v>
      </c>
      <c r="Y31" s="837" t="s">
        <v>342</v>
      </c>
      <c r="Z31" s="171"/>
      <c r="AA31" s="633" t="s">
        <v>309</v>
      </c>
      <c r="AB31" s="638"/>
      <c r="AC31" s="249">
        <f>IF(AA31="User defined",AB31,VLOOKUP(AA31,Data!$G$66:$P$71,10,FALSE))</f>
        <v>0</v>
      </c>
    </row>
    <row r="32" spans="2:40" ht="15" customHeight="1" x14ac:dyDescent="0.2">
      <c r="C32" s="129"/>
      <c r="E32" s="135"/>
      <c r="G32" s="822"/>
      <c r="H32" s="563"/>
      <c r="I32" s="563"/>
      <c r="J32" s="563"/>
      <c r="K32" s="564"/>
      <c r="M32" s="816"/>
      <c r="N32" s="563"/>
      <c r="O32" s="563"/>
      <c r="P32" s="563"/>
      <c r="Q32" s="564"/>
      <c r="Y32" s="835"/>
      <c r="Z32" s="563"/>
      <c r="AA32" s="407"/>
      <c r="AB32" s="563"/>
      <c r="AC32" s="564"/>
    </row>
    <row r="33" spans="2:36" ht="15" customHeight="1" thickBot="1" x14ac:dyDescent="0.25">
      <c r="C33" s="129"/>
      <c r="G33" s="823" t="s">
        <v>622</v>
      </c>
      <c r="H33" s="220"/>
      <c r="I33" s="221"/>
      <c r="J33" s="221"/>
      <c r="K33" s="929" t="s">
        <v>411</v>
      </c>
      <c r="L33" s="12"/>
      <c r="M33" s="225" t="s">
        <v>388</v>
      </c>
      <c r="N33" s="220"/>
      <c r="O33" s="220"/>
      <c r="P33" s="220"/>
      <c r="Q33" s="929" t="s">
        <v>411</v>
      </c>
      <c r="R33" s="12"/>
      <c r="U33" s="10"/>
      <c r="W33" s="10"/>
      <c r="Y33" s="838" t="s">
        <v>388</v>
      </c>
      <c r="Z33" s="220"/>
      <c r="AA33" s="220"/>
      <c r="AB33" s="220"/>
      <c r="AC33" s="929" t="s">
        <v>411</v>
      </c>
    </row>
    <row r="34" spans="2:36" ht="15" customHeight="1" thickBot="1" x14ac:dyDescent="0.25">
      <c r="C34" s="129"/>
      <c r="G34" s="819" t="s">
        <v>620</v>
      </c>
      <c r="H34" s="176"/>
      <c r="I34" s="174" t="s">
        <v>309</v>
      </c>
      <c r="J34" s="638"/>
      <c r="K34" s="249">
        <f>IF(I34="User defined",J34,VLOOKUP(I34,Data!$G$74:$P$79,10,FALSE))</f>
        <v>0</v>
      </c>
      <c r="M34" s="170" t="s">
        <v>620</v>
      </c>
      <c r="N34" s="176"/>
      <c r="O34" s="174" t="s">
        <v>309</v>
      </c>
      <c r="P34" s="638"/>
      <c r="Q34" s="249">
        <f>IF(O34="User defined",P34,VLOOKUP(O34,Data!$G$74:$P$79,10,FALSE))</f>
        <v>0</v>
      </c>
      <c r="Y34" s="837" t="s">
        <v>620</v>
      </c>
      <c r="Z34" s="176"/>
      <c r="AA34" s="174" t="s">
        <v>309</v>
      </c>
      <c r="AB34" s="638"/>
      <c r="AC34" s="249">
        <f>IF(AA34="User defined",AB34,VLOOKUP(AA34,Data!$G$74:$P$79,10,FALSE))</f>
        <v>0</v>
      </c>
    </row>
    <row r="35" spans="2:36" ht="15" customHeight="1" x14ac:dyDescent="0.2">
      <c r="C35" s="572"/>
      <c r="D35" s="572"/>
      <c r="G35" s="822"/>
      <c r="H35" s="563"/>
      <c r="I35" s="563"/>
      <c r="J35" s="563"/>
      <c r="K35" s="564"/>
      <c r="M35" s="816"/>
      <c r="N35" s="563"/>
      <c r="O35" s="563"/>
      <c r="P35" s="563"/>
      <c r="Q35" s="564"/>
      <c r="Y35" s="835"/>
      <c r="Z35" s="563"/>
      <c r="AA35" s="342"/>
      <c r="AB35" s="523"/>
      <c r="AC35" s="564"/>
    </row>
    <row r="36" spans="2:36" ht="15" customHeight="1" thickBot="1" x14ac:dyDescent="0.25">
      <c r="C36" s="573"/>
      <c r="E36" s="135"/>
      <c r="G36" s="823" t="s">
        <v>386</v>
      </c>
      <c r="H36" s="223"/>
      <c r="I36" s="220"/>
      <c r="J36" s="224"/>
      <c r="K36" s="245"/>
      <c r="M36" s="225" t="s">
        <v>386</v>
      </c>
      <c r="N36" s="223"/>
      <c r="O36" s="220"/>
      <c r="P36" s="224"/>
      <c r="Q36" s="245"/>
      <c r="Y36" s="838" t="s">
        <v>386</v>
      </c>
      <c r="Z36" s="223"/>
      <c r="AA36" s="220"/>
      <c r="AB36" s="220"/>
      <c r="AC36" s="264"/>
    </row>
    <row r="37" spans="2:36" ht="15" customHeight="1" thickBot="1" x14ac:dyDescent="0.25">
      <c r="C37" s="135"/>
      <c r="G37" s="819" t="s">
        <v>205</v>
      </c>
      <c r="H37" s="13"/>
      <c r="I37" s="13"/>
      <c r="J37" s="184">
        <v>0</v>
      </c>
      <c r="K37" s="247">
        <f>J37</f>
        <v>0</v>
      </c>
      <c r="M37" s="170" t="s">
        <v>205</v>
      </c>
      <c r="N37" s="171"/>
      <c r="O37" s="171"/>
      <c r="P37" s="184">
        <v>0</v>
      </c>
      <c r="Q37" s="247">
        <f>P37</f>
        <v>0</v>
      </c>
      <c r="Y37" s="837" t="s">
        <v>205</v>
      </c>
      <c r="Z37" s="171"/>
      <c r="AA37" s="171"/>
      <c r="AB37" s="184">
        <v>0</v>
      </c>
      <c r="AC37" s="247">
        <f>AB37</f>
        <v>0</v>
      </c>
    </row>
    <row r="38" spans="2:36" ht="15" customHeight="1" thickBot="1" x14ac:dyDescent="0.25">
      <c r="C38" s="129"/>
      <c r="G38" s="819" t="s">
        <v>531</v>
      </c>
      <c r="H38" s="171"/>
      <c r="I38" s="175"/>
      <c r="J38" s="184">
        <v>0</v>
      </c>
      <c r="K38" s="243">
        <f>J38</f>
        <v>0</v>
      </c>
      <c r="M38" s="170" t="s">
        <v>531</v>
      </c>
      <c r="N38" s="171"/>
      <c r="O38" s="171"/>
      <c r="P38" s="184">
        <v>0</v>
      </c>
      <c r="Q38" s="243">
        <f>P38</f>
        <v>0</v>
      </c>
      <c r="Y38" s="837" t="s">
        <v>531</v>
      </c>
      <c r="Z38" s="171"/>
      <c r="AA38" s="171"/>
      <c r="AB38" s="184">
        <v>0</v>
      </c>
      <c r="AC38" s="247">
        <f>AB38</f>
        <v>0</v>
      </c>
    </row>
    <row r="39" spans="2:36" ht="15" customHeight="1" thickBot="1" x14ac:dyDescent="0.25">
      <c r="C39" s="572"/>
      <c r="D39" s="572"/>
      <c r="G39" s="826"/>
      <c r="H39" s="13"/>
      <c r="I39" s="13"/>
      <c r="J39" s="13"/>
      <c r="K39" s="13"/>
      <c r="M39" s="17"/>
      <c r="N39" s="13"/>
      <c r="O39" s="13"/>
      <c r="P39" s="13"/>
      <c r="Q39" s="13"/>
      <c r="Y39" s="839"/>
      <c r="Z39" s="13"/>
      <c r="AA39" s="13"/>
      <c r="AB39" s="13"/>
      <c r="AC39" s="13"/>
    </row>
    <row r="40" spans="2:36" ht="15" customHeight="1" thickBot="1" x14ac:dyDescent="0.25">
      <c r="B40" s="128"/>
      <c r="C40" s="129"/>
      <c r="G40" s="819" t="s">
        <v>16</v>
      </c>
      <c r="H40" s="171"/>
      <c r="I40" s="177"/>
      <c r="J40" s="184">
        <v>0</v>
      </c>
      <c r="K40" s="243">
        <f>J40</f>
        <v>0</v>
      </c>
      <c r="M40" s="170" t="s">
        <v>16</v>
      </c>
      <c r="N40" s="171"/>
      <c r="O40" s="171"/>
      <c r="P40" s="184">
        <v>0</v>
      </c>
      <c r="Q40" s="243">
        <f>P40</f>
        <v>0</v>
      </c>
      <c r="Y40" s="837" t="s">
        <v>16</v>
      </c>
      <c r="Z40" s="171"/>
      <c r="AA40" s="171"/>
      <c r="AB40" s="184">
        <v>0</v>
      </c>
      <c r="AC40" s="247">
        <f>AB40</f>
        <v>0</v>
      </c>
    </row>
    <row r="41" spans="2:36" ht="15" customHeight="1" thickBot="1" x14ac:dyDescent="0.25">
      <c r="C41" s="129"/>
      <c r="G41" s="826"/>
      <c r="H41" s="13"/>
      <c r="I41" s="13"/>
      <c r="J41" s="13"/>
      <c r="K41" s="13"/>
      <c r="M41" s="17"/>
      <c r="N41" s="13"/>
      <c r="O41" s="13"/>
      <c r="P41" s="13"/>
      <c r="Q41" s="13"/>
      <c r="S41" s="899" t="s">
        <v>316</v>
      </c>
      <c r="T41" s="659"/>
      <c r="U41" s="659"/>
      <c r="V41" s="659"/>
      <c r="W41" s="659"/>
      <c r="Y41" s="839"/>
      <c r="Z41" s="171"/>
      <c r="AA41" s="171"/>
      <c r="AB41" s="13"/>
      <c r="AC41" s="243"/>
    </row>
    <row r="42" spans="2:36" ht="15" customHeight="1" thickBot="1" x14ac:dyDescent="0.25">
      <c r="C42" s="129"/>
      <c r="G42" s="819" t="s">
        <v>385</v>
      </c>
      <c r="H42" s="171"/>
      <c r="I42" s="175"/>
      <c r="J42" s="184">
        <v>0</v>
      </c>
      <c r="K42" s="247">
        <f>J42</f>
        <v>0</v>
      </c>
      <c r="L42" s="1"/>
      <c r="M42" s="170" t="s">
        <v>385</v>
      </c>
      <c r="N42" s="171"/>
      <c r="O42" s="171"/>
      <c r="P42" s="184">
        <v>0</v>
      </c>
      <c r="Q42" s="247">
        <f>P42</f>
        <v>0</v>
      </c>
      <c r="S42" s="532" t="s">
        <v>541</v>
      </c>
      <c r="T42" s="60"/>
      <c r="U42" s="13"/>
      <c r="V42" s="661">
        <f>J72</f>
        <v>0</v>
      </c>
      <c r="W42" s="662" t="s">
        <v>542</v>
      </c>
      <c r="Y42" s="837" t="s">
        <v>385</v>
      </c>
      <c r="Z42" s="13"/>
      <c r="AA42" s="13"/>
      <c r="AB42" s="184">
        <v>0</v>
      </c>
      <c r="AC42" s="247">
        <f>AB42</f>
        <v>0</v>
      </c>
    </row>
    <row r="43" spans="2:36" ht="15" customHeight="1" thickBot="1" x14ac:dyDescent="0.25">
      <c r="C43" s="572"/>
      <c r="D43" s="572"/>
      <c r="G43" s="819" t="s">
        <v>532</v>
      </c>
      <c r="H43" s="176"/>
      <c r="I43" s="340"/>
      <c r="J43" s="184">
        <v>0</v>
      </c>
      <c r="K43" s="243">
        <f>J43</f>
        <v>0</v>
      </c>
      <c r="L43" s="1"/>
      <c r="M43" s="170" t="s">
        <v>532</v>
      </c>
      <c r="N43" s="176"/>
      <c r="O43" s="340"/>
      <c r="P43" s="184">
        <v>0</v>
      </c>
      <c r="Q43" s="243">
        <f>P43</f>
        <v>0</v>
      </c>
      <c r="S43" s="906" t="s">
        <v>594</v>
      </c>
      <c r="T43" s="864"/>
      <c r="U43" s="839"/>
      <c r="V43" s="907" t="e">
        <f>J73</f>
        <v>#N/A</v>
      </c>
      <c r="W43" s="908" t="s">
        <v>542</v>
      </c>
      <c r="Y43" s="837" t="s">
        <v>532</v>
      </c>
      <c r="Z43" s="171"/>
      <c r="AA43" s="171"/>
      <c r="AB43" s="184">
        <v>0</v>
      </c>
      <c r="AC43" s="247">
        <f>AB43</f>
        <v>0</v>
      </c>
    </row>
    <row r="44" spans="2:36" ht="15" customHeight="1" x14ac:dyDescent="0.2">
      <c r="B44" s="128"/>
      <c r="C44" s="129"/>
      <c r="G44" s="827"/>
      <c r="M44" s="66"/>
      <c r="Q44" s="250"/>
      <c r="Y44" s="840"/>
      <c r="AB44" s="8"/>
      <c r="AC44" s="250"/>
    </row>
    <row r="45" spans="2:36" ht="15" customHeight="1" x14ac:dyDescent="0.2">
      <c r="B45" s="128"/>
      <c r="C45" s="129"/>
      <c r="G45" s="828" t="s">
        <v>442</v>
      </c>
      <c r="H45" s="283"/>
      <c r="I45" s="283"/>
      <c r="J45" s="284">
        <f>SUM(L18:L25)</f>
        <v>149472</v>
      </c>
      <c r="K45" s="252"/>
      <c r="L45" s="288"/>
      <c r="M45" s="286" t="s">
        <v>442</v>
      </c>
      <c r="N45" s="283"/>
      <c r="O45" s="283"/>
      <c r="P45" s="291">
        <f>SUM(R18:R25)</f>
        <v>104630.40000000001</v>
      </c>
      <c r="Q45" s="252"/>
      <c r="Y45" s="841" t="s">
        <v>442</v>
      </c>
      <c r="Z45" s="13"/>
      <c r="AA45" s="13"/>
      <c r="AB45" s="917">
        <f>SUM(AD18:AD25)</f>
        <v>149472</v>
      </c>
      <c r="AC45" s="648"/>
    </row>
    <row r="46" spans="2:36" ht="15" customHeight="1" x14ac:dyDescent="0.2">
      <c r="B46" s="128"/>
      <c r="C46" s="129"/>
      <c r="G46" s="7"/>
      <c r="K46" s="67"/>
      <c r="R46" s="8"/>
      <c r="AJ46" s="73"/>
    </row>
    <row r="69" spans="7:38" ht="15" customHeight="1" x14ac:dyDescent="0.2">
      <c r="U69" s="85"/>
      <c r="V69" s="85"/>
    </row>
    <row r="70" spans="7:38" ht="15" hidden="1" customHeight="1" x14ac:dyDescent="0.2">
      <c r="G70" s="14"/>
      <c r="H70" s="14"/>
      <c r="I70" s="13"/>
      <c r="J70" s="13"/>
      <c r="K70" s="40">
        <v>0</v>
      </c>
      <c r="L70" s="40">
        <v>1</v>
      </c>
      <c r="M70" s="40">
        <v>2</v>
      </c>
      <c r="N70" s="40">
        <v>3</v>
      </c>
      <c r="O70" s="40">
        <v>4</v>
      </c>
      <c r="P70" s="40">
        <v>5</v>
      </c>
      <c r="Q70" s="40">
        <v>6</v>
      </c>
      <c r="R70" s="40">
        <v>7</v>
      </c>
      <c r="S70" s="40">
        <v>8</v>
      </c>
      <c r="T70" s="40">
        <v>9</v>
      </c>
      <c r="U70" s="40">
        <v>10</v>
      </c>
      <c r="V70" s="40">
        <v>11</v>
      </c>
      <c r="W70" s="40">
        <v>12</v>
      </c>
      <c r="X70" s="40">
        <v>13</v>
      </c>
      <c r="Y70" s="40">
        <v>14</v>
      </c>
      <c r="Z70" s="40">
        <v>15</v>
      </c>
      <c r="AA70" s="40">
        <v>16</v>
      </c>
      <c r="AB70" s="40">
        <v>17</v>
      </c>
      <c r="AC70" s="40">
        <v>18</v>
      </c>
      <c r="AD70" s="40">
        <v>19</v>
      </c>
      <c r="AE70" s="40">
        <v>20</v>
      </c>
      <c r="AF70" s="40">
        <v>21</v>
      </c>
      <c r="AG70" s="40">
        <v>22</v>
      </c>
      <c r="AH70" s="40">
        <v>23</v>
      </c>
      <c r="AI70" s="40">
        <v>24</v>
      </c>
      <c r="AJ70" s="40">
        <v>25</v>
      </c>
    </row>
    <row r="71" spans="7:38" ht="15" hidden="1" customHeight="1" x14ac:dyDescent="0.2">
      <c r="G71" s="14" t="s">
        <v>183</v>
      </c>
      <c r="H71" s="14"/>
      <c r="I71" s="13"/>
      <c r="J71" s="13"/>
      <c r="K71" s="41">
        <v>1</v>
      </c>
      <c r="L71" s="41">
        <f>K71+1</f>
        <v>2</v>
      </c>
      <c r="M71" s="41">
        <f t="shared" ref="M71:Z71" si="0">L71+1</f>
        <v>3</v>
      </c>
      <c r="N71" s="41">
        <f t="shared" si="0"/>
        <v>4</v>
      </c>
      <c r="O71" s="41">
        <f t="shared" si="0"/>
        <v>5</v>
      </c>
      <c r="P71" s="41">
        <f t="shared" si="0"/>
        <v>6</v>
      </c>
      <c r="Q71" s="41">
        <f t="shared" si="0"/>
        <v>7</v>
      </c>
      <c r="R71" s="41">
        <f t="shared" si="0"/>
        <v>8</v>
      </c>
      <c r="S71" s="41">
        <f t="shared" si="0"/>
        <v>9</v>
      </c>
      <c r="T71" s="41">
        <f t="shared" si="0"/>
        <v>10</v>
      </c>
      <c r="U71" s="41">
        <f t="shared" si="0"/>
        <v>11</v>
      </c>
      <c r="V71" s="41">
        <f t="shared" si="0"/>
        <v>12</v>
      </c>
      <c r="W71" s="41">
        <f t="shared" si="0"/>
        <v>13</v>
      </c>
      <c r="X71" s="41">
        <f t="shared" si="0"/>
        <v>14</v>
      </c>
      <c r="Y71" s="41">
        <f t="shared" si="0"/>
        <v>15</v>
      </c>
      <c r="Z71" s="41">
        <f t="shared" si="0"/>
        <v>16</v>
      </c>
      <c r="AA71" s="41">
        <f t="shared" ref="AA71:AH71" si="1">Z71+1</f>
        <v>17</v>
      </c>
      <c r="AB71" s="41">
        <f t="shared" si="1"/>
        <v>18</v>
      </c>
      <c r="AC71" s="41">
        <f t="shared" si="1"/>
        <v>19</v>
      </c>
      <c r="AD71" s="41">
        <f t="shared" si="1"/>
        <v>20</v>
      </c>
      <c r="AE71" s="41">
        <f t="shared" si="1"/>
        <v>21</v>
      </c>
      <c r="AF71" s="41">
        <f t="shared" si="1"/>
        <v>22</v>
      </c>
      <c r="AG71" s="41">
        <f t="shared" si="1"/>
        <v>23</v>
      </c>
      <c r="AH71" s="41">
        <f t="shared" si="1"/>
        <v>24</v>
      </c>
      <c r="AI71" s="41">
        <f>AH71+1</f>
        <v>25</v>
      </c>
      <c r="AJ71" s="41">
        <f>AI71+1</f>
        <v>26</v>
      </c>
    </row>
    <row r="72" spans="7:38" ht="15" hidden="1" customHeight="1" x14ac:dyDescent="0.2">
      <c r="G72" s="14" t="s">
        <v>548</v>
      </c>
      <c r="H72" s="69"/>
      <c r="I72" s="69"/>
      <c r="J72" s="196">
        <f>INDEX(K$70:AJ$70,MATCH(TRUE,INDEX(K72:AJ72&lt;&gt;0,),0))</f>
        <v>0</v>
      </c>
      <c r="K72" s="69">
        <f>IF(K70&lt;$Q$38,0,IF(K136&lt;K112,1,0))</f>
        <v>1</v>
      </c>
      <c r="L72" s="69">
        <f>IF(L70&lt;$Q$38,0,IF(L136&lt;L112,1,0))</f>
        <v>1</v>
      </c>
      <c r="M72" s="69">
        <f t="shared" ref="M72:AI72" si="2">IF(M70&lt;$Q$38,0,IF(M136&lt;M112,1,0))</f>
        <v>1</v>
      </c>
      <c r="N72" s="69">
        <f t="shared" si="2"/>
        <v>1</v>
      </c>
      <c r="O72" s="69">
        <f t="shared" si="2"/>
        <v>1</v>
      </c>
      <c r="P72" s="69">
        <f t="shared" si="2"/>
        <v>1</v>
      </c>
      <c r="Q72" s="69">
        <f t="shared" si="2"/>
        <v>1</v>
      </c>
      <c r="R72" s="69">
        <f t="shared" si="2"/>
        <v>1</v>
      </c>
      <c r="S72" s="69">
        <f t="shared" si="2"/>
        <v>1</v>
      </c>
      <c r="T72" s="69">
        <f t="shared" si="2"/>
        <v>1</v>
      </c>
      <c r="U72" s="69">
        <f t="shared" si="2"/>
        <v>1</v>
      </c>
      <c r="V72" s="69">
        <f t="shared" si="2"/>
        <v>1</v>
      </c>
      <c r="W72" s="69">
        <f t="shared" si="2"/>
        <v>1</v>
      </c>
      <c r="X72" s="69">
        <f t="shared" si="2"/>
        <v>1</v>
      </c>
      <c r="Y72" s="69">
        <f t="shared" si="2"/>
        <v>1</v>
      </c>
      <c r="Z72" s="69">
        <f t="shared" si="2"/>
        <v>1</v>
      </c>
      <c r="AA72" s="69">
        <f t="shared" si="2"/>
        <v>1</v>
      </c>
      <c r="AB72" s="69">
        <f t="shared" si="2"/>
        <v>1</v>
      </c>
      <c r="AC72" s="69">
        <f t="shared" si="2"/>
        <v>1</v>
      </c>
      <c r="AD72" s="69">
        <f t="shared" si="2"/>
        <v>1</v>
      </c>
      <c r="AE72" s="69">
        <f t="shared" si="2"/>
        <v>1</v>
      </c>
      <c r="AF72" s="69">
        <f t="shared" si="2"/>
        <v>1</v>
      </c>
      <c r="AG72" s="69">
        <f t="shared" si="2"/>
        <v>1</v>
      </c>
      <c r="AH72" s="69">
        <f t="shared" si="2"/>
        <v>1</v>
      </c>
      <c r="AI72" s="69">
        <f t="shared" si="2"/>
        <v>1</v>
      </c>
      <c r="AJ72" s="69">
        <f>IF(AJ70&lt;$Q$38,0,IF(AJ136&lt;AJ112,1,0))</f>
        <v>1</v>
      </c>
      <c r="AL72" s="986"/>
    </row>
    <row r="73" spans="7:38" ht="15" hidden="1" customHeight="1" x14ac:dyDescent="0.2">
      <c r="G73" s="14" t="s">
        <v>592</v>
      </c>
      <c r="H73" s="69"/>
      <c r="I73" s="69"/>
      <c r="J73" s="196" t="e">
        <f>INDEX(K$70:AJ$70,MATCH(TRUE,INDEX(K73:AJ73&lt;&gt;0,),0))</f>
        <v>#N/A</v>
      </c>
      <c r="K73" s="69">
        <f>IF(K71&lt;$AC$38,0,IF(K160&lt;K112,1,0))</f>
        <v>0</v>
      </c>
      <c r="L73" s="69">
        <f t="shared" ref="L73:AI73" si="3">IF(L71&lt;$AC$38,0,IF(L160&lt;L112,1,0))</f>
        <v>0</v>
      </c>
      <c r="M73" s="69">
        <f t="shared" si="3"/>
        <v>0</v>
      </c>
      <c r="N73" s="69">
        <f t="shared" si="3"/>
        <v>0</v>
      </c>
      <c r="O73" s="69">
        <f t="shared" si="3"/>
        <v>0</v>
      </c>
      <c r="P73" s="69">
        <f t="shared" si="3"/>
        <v>0</v>
      </c>
      <c r="Q73" s="69">
        <f t="shared" si="3"/>
        <v>0</v>
      </c>
      <c r="R73" s="69">
        <f t="shared" si="3"/>
        <v>0</v>
      </c>
      <c r="S73" s="69">
        <f t="shared" si="3"/>
        <v>0</v>
      </c>
      <c r="T73" s="69">
        <f t="shared" si="3"/>
        <v>0</v>
      </c>
      <c r="U73" s="69">
        <f t="shared" si="3"/>
        <v>0</v>
      </c>
      <c r="V73" s="69">
        <f t="shared" si="3"/>
        <v>0</v>
      </c>
      <c r="W73" s="69">
        <f t="shared" si="3"/>
        <v>0</v>
      </c>
      <c r="X73" s="69">
        <f t="shared" si="3"/>
        <v>0</v>
      </c>
      <c r="Y73" s="69">
        <f t="shared" si="3"/>
        <v>0</v>
      </c>
      <c r="Z73" s="69">
        <f t="shared" si="3"/>
        <v>0</v>
      </c>
      <c r="AA73" s="69">
        <f t="shared" si="3"/>
        <v>0</v>
      </c>
      <c r="AB73" s="69">
        <f t="shared" si="3"/>
        <v>0</v>
      </c>
      <c r="AC73" s="69">
        <f t="shared" si="3"/>
        <v>0</v>
      </c>
      <c r="AD73" s="69">
        <f t="shared" si="3"/>
        <v>0</v>
      </c>
      <c r="AE73" s="69">
        <f t="shared" si="3"/>
        <v>0</v>
      </c>
      <c r="AF73" s="69">
        <f t="shared" si="3"/>
        <v>0</v>
      </c>
      <c r="AG73" s="69">
        <f t="shared" si="3"/>
        <v>0</v>
      </c>
      <c r="AH73" s="69">
        <f t="shared" si="3"/>
        <v>0</v>
      </c>
      <c r="AI73" s="69">
        <f t="shared" si="3"/>
        <v>0</v>
      </c>
      <c r="AJ73" s="69">
        <f>IF(AJ71&lt;$AC$38,0,IF(AJ160&lt;AJ112,1,0))</f>
        <v>0</v>
      </c>
      <c r="AL73" s="986"/>
    </row>
    <row r="74" spans="7:38" ht="15" hidden="1" customHeight="1" x14ac:dyDescent="0.2">
      <c r="G74" s="14"/>
      <c r="H74" s="69"/>
      <c r="I74" s="69"/>
      <c r="J74" s="196"/>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row>
    <row r="75" spans="7:38" ht="15" hidden="1" customHeight="1" x14ac:dyDescent="0.2">
      <c r="G75" s="14" t="s">
        <v>309</v>
      </c>
      <c r="H75" s="69"/>
      <c r="I75" s="69"/>
      <c r="J75" s="196"/>
      <c r="K75" s="394">
        <f>Data!$P$170</f>
        <v>0</v>
      </c>
      <c r="L75" s="103">
        <f>K75*(1+(Data!$P$196/100))</f>
        <v>0</v>
      </c>
      <c r="M75" s="103">
        <f>L75*(1+(Data!$P$196/100))</f>
        <v>0</v>
      </c>
      <c r="N75" s="103">
        <f>M75*(1+(Data!$P$196/100))</f>
        <v>0</v>
      </c>
      <c r="O75" s="103">
        <f>N75*(1+(Data!$P$196/100))</f>
        <v>0</v>
      </c>
      <c r="P75" s="103">
        <f>O75*(1+(Data!$P$196/100))</f>
        <v>0</v>
      </c>
      <c r="Q75" s="103">
        <f>P75*(1+(Data!$P$196/100))</f>
        <v>0</v>
      </c>
      <c r="R75" s="103">
        <f>Q75*(1+(Data!$P$196/100))</f>
        <v>0</v>
      </c>
      <c r="S75" s="103">
        <f>R75*(1+(Data!$P$196/100))</f>
        <v>0</v>
      </c>
      <c r="T75" s="103">
        <f>S75*(1+(Data!$P$196/100))</f>
        <v>0</v>
      </c>
      <c r="U75" s="103">
        <f>T75*(1+(Data!$P$196/100))</f>
        <v>0</v>
      </c>
      <c r="V75" s="103">
        <f>U75*(1+(Data!$P$196/100))</f>
        <v>0</v>
      </c>
      <c r="W75" s="103">
        <f>V75*(1+(Data!$P$196/100))</f>
        <v>0</v>
      </c>
      <c r="X75" s="103">
        <f>W75*(1+(Data!$P$196/100))</f>
        <v>0</v>
      </c>
      <c r="Y75" s="103">
        <f>X75*(1+(Data!$P$196/100))</f>
        <v>0</v>
      </c>
      <c r="Z75" s="103">
        <f>Y75*(1+(Data!$P$196/100))</f>
        <v>0</v>
      </c>
      <c r="AA75" s="103">
        <f>Z75*(1+(Data!$P$196/100))</f>
        <v>0</v>
      </c>
      <c r="AB75" s="103">
        <f>AA75*(1+(Data!$P$196/100))</f>
        <v>0</v>
      </c>
      <c r="AC75" s="103">
        <f>AB75*(1+(Data!$P$196/100))</f>
        <v>0</v>
      </c>
      <c r="AD75" s="103">
        <f>AC75*(1+(Data!$P$196/100))</f>
        <v>0</v>
      </c>
      <c r="AE75" s="103">
        <f>AD75*(1+(Data!$P$196/100))</f>
        <v>0</v>
      </c>
      <c r="AF75" s="103">
        <f>AE75*(1+(Data!$P$196/100))</f>
        <v>0</v>
      </c>
      <c r="AG75" s="103">
        <f>AF75*(1+(Data!$P$196/100))</f>
        <v>0</v>
      </c>
      <c r="AH75" s="103">
        <f>AG75*(1+(Data!$P$196/100))</f>
        <v>0</v>
      </c>
      <c r="AI75" s="103">
        <f>AH75*(1+(Data!$P$196/100))</f>
        <v>0</v>
      </c>
      <c r="AJ75" s="103">
        <f>AI75*(1+(Data!$P$196/100))</f>
        <v>0</v>
      </c>
    </row>
    <row r="76" spans="7:38" ht="15" hidden="1" customHeight="1" x14ac:dyDescent="0.2">
      <c r="G76" s="14" t="s">
        <v>284</v>
      </c>
      <c r="H76" s="14"/>
      <c r="I76" s="14"/>
      <c r="J76" s="14"/>
      <c r="K76" s="103">
        <f>Data!$P$171</f>
        <v>0.184</v>
      </c>
      <c r="L76" s="103">
        <f>K76*(1+(Data!$P$197/100))</f>
        <v>0.184</v>
      </c>
      <c r="M76" s="103">
        <f>L76*(1+(Data!$P$197/100))</f>
        <v>0.184</v>
      </c>
      <c r="N76" s="103">
        <f>M76*(1+(Data!$P$197/100))</f>
        <v>0.184</v>
      </c>
      <c r="O76" s="103">
        <f>N76*(1+(Data!$P$197/100))</f>
        <v>0.184</v>
      </c>
      <c r="P76" s="103">
        <f>O76*(1+(Data!$P$197/100))</f>
        <v>0.184</v>
      </c>
      <c r="Q76" s="103">
        <f>P76*(1+(Data!$P$197/100))</f>
        <v>0.184</v>
      </c>
      <c r="R76" s="103">
        <f>Q76*(1+(Data!$P$197/100))</f>
        <v>0.184</v>
      </c>
      <c r="S76" s="103">
        <f>R76*(1+(Data!$P$197/100))</f>
        <v>0.184</v>
      </c>
      <c r="T76" s="103">
        <f>S76*(1+(Data!$P$197/100))</f>
        <v>0.184</v>
      </c>
      <c r="U76" s="103">
        <f>T76*(1+(Data!$P$197/100))</f>
        <v>0.184</v>
      </c>
      <c r="V76" s="103">
        <f>U76*(1+(Data!$P$197/100))</f>
        <v>0.184</v>
      </c>
      <c r="W76" s="103">
        <f>V76*(1+(Data!$P$197/100))</f>
        <v>0.184</v>
      </c>
      <c r="X76" s="103">
        <f>W76*(1+(Data!$P$197/100))</f>
        <v>0.184</v>
      </c>
      <c r="Y76" s="103">
        <f>X76*(1+(Data!$P$197/100))</f>
        <v>0.184</v>
      </c>
      <c r="Z76" s="103">
        <f>Y76*(1+(Data!$P$197/100))</f>
        <v>0.184</v>
      </c>
      <c r="AA76" s="103">
        <f>Z76*(1+(Data!$P$197/100))</f>
        <v>0.184</v>
      </c>
      <c r="AB76" s="103">
        <f>AA76*(1+(Data!$P$197/100))</f>
        <v>0.184</v>
      </c>
      <c r="AC76" s="103">
        <f>AB76*(1+(Data!$P$197/100))</f>
        <v>0.184</v>
      </c>
      <c r="AD76" s="103">
        <f>AC76*(1+(Data!$P$197/100))</f>
        <v>0.184</v>
      </c>
      <c r="AE76" s="103">
        <f>AD76*(1+(Data!$P$197/100))</f>
        <v>0.184</v>
      </c>
      <c r="AF76" s="103">
        <f>AE76*(1+(Data!$P$197/100))</f>
        <v>0.184</v>
      </c>
      <c r="AG76" s="103">
        <f>AF76*(1+(Data!$P$197/100))</f>
        <v>0.184</v>
      </c>
      <c r="AH76" s="103">
        <f>AG76*(1+(Data!$P$197/100))</f>
        <v>0.184</v>
      </c>
      <c r="AI76" s="103">
        <f>AH76*(1+(Data!$P$197/100))</f>
        <v>0.184</v>
      </c>
      <c r="AJ76" s="103">
        <f>AI76*(1+(Data!$P$197/100))</f>
        <v>0.184</v>
      </c>
    </row>
    <row r="77" spans="7:38" ht="15" hidden="1" customHeight="1" x14ac:dyDescent="0.2">
      <c r="G77" s="14" t="s">
        <v>259</v>
      </c>
      <c r="H77" s="14"/>
      <c r="I77" s="14"/>
      <c r="J77" s="14"/>
      <c r="K77" s="103">
        <f>Data!$P$172</f>
        <v>0.17072999999999999</v>
      </c>
      <c r="L77" s="103">
        <f>K77*(1+(Data!$P$198/100))</f>
        <v>0.17072999999999999</v>
      </c>
      <c r="M77" s="103">
        <f>L77*(1+(Data!$P$198/100))</f>
        <v>0.17072999999999999</v>
      </c>
      <c r="N77" s="103">
        <f>M77*(1+(Data!$P$198/100))</f>
        <v>0.17072999999999999</v>
      </c>
      <c r="O77" s="103">
        <f>N77*(1+(Data!$P$198/100))</f>
        <v>0.17072999999999999</v>
      </c>
      <c r="P77" s="103">
        <f>O77*(1+(Data!$P$198/100))</f>
        <v>0.17072999999999999</v>
      </c>
      <c r="Q77" s="103">
        <f>P77*(1+(Data!$P$198/100))</f>
        <v>0.17072999999999999</v>
      </c>
      <c r="R77" s="103">
        <f>Q77*(1+(Data!$P$198/100))</f>
        <v>0.17072999999999999</v>
      </c>
      <c r="S77" s="103">
        <f>R77*(1+(Data!$P$198/100))</f>
        <v>0.17072999999999999</v>
      </c>
      <c r="T77" s="103">
        <f>S77*(1+(Data!$P$198/100))</f>
        <v>0.17072999999999999</v>
      </c>
      <c r="U77" s="103">
        <f>T77*(1+(Data!$P$198/100))</f>
        <v>0.17072999999999999</v>
      </c>
      <c r="V77" s="103">
        <f>U77*(1+(Data!$P$198/100))</f>
        <v>0.17072999999999999</v>
      </c>
      <c r="W77" s="103">
        <f>V77*(1+(Data!$P$198/100))</f>
        <v>0.17072999999999999</v>
      </c>
      <c r="X77" s="103">
        <f>W77*(1+(Data!$P$198/100))</f>
        <v>0.17072999999999999</v>
      </c>
      <c r="Y77" s="103">
        <f>X77*(1+(Data!$P$198/100))</f>
        <v>0.17072999999999999</v>
      </c>
      <c r="Z77" s="103">
        <f>Y77*(1+(Data!$P$198/100))</f>
        <v>0.17072999999999999</v>
      </c>
      <c r="AA77" s="103">
        <f>Z77*(1+(Data!$P$198/100))</f>
        <v>0.17072999999999999</v>
      </c>
      <c r="AB77" s="103">
        <f>AA77*(1+(Data!$P$198/100))</f>
        <v>0.17072999999999999</v>
      </c>
      <c r="AC77" s="103">
        <f>AB77*(1+(Data!$P$198/100))</f>
        <v>0.17072999999999999</v>
      </c>
      <c r="AD77" s="103">
        <f>AC77*(1+(Data!$P$198/100))</f>
        <v>0.17072999999999999</v>
      </c>
      <c r="AE77" s="103">
        <f>AD77*(1+(Data!$P$198/100))</f>
        <v>0.17072999999999999</v>
      </c>
      <c r="AF77" s="103">
        <f>AE77*(1+(Data!$P$198/100))</f>
        <v>0.17072999999999999</v>
      </c>
      <c r="AG77" s="103">
        <f>AF77*(1+(Data!$P$198/100))</f>
        <v>0.17072999999999999</v>
      </c>
      <c r="AH77" s="103">
        <f>AG77*(1+(Data!$P$198/100))</f>
        <v>0.17072999999999999</v>
      </c>
      <c r="AI77" s="103">
        <f>AH77*(1+(Data!$P$198/100))</f>
        <v>0.17072999999999999</v>
      </c>
      <c r="AJ77" s="103">
        <f>AI77*(1+(Data!$P$198/100))</f>
        <v>0.17072999999999999</v>
      </c>
    </row>
    <row r="78" spans="7:38" ht="15" hidden="1" customHeight="1" x14ac:dyDescent="0.2">
      <c r="G78" s="14" t="s">
        <v>320</v>
      </c>
      <c r="H78" s="14"/>
      <c r="I78" s="14"/>
      <c r="J78" s="14"/>
      <c r="K78" s="103">
        <f>Data!$P$173</f>
        <v>0.17072999999999999</v>
      </c>
      <c r="L78" s="103">
        <f>K78*(1+(Data!$P$199/100))</f>
        <v>0.17072999999999999</v>
      </c>
      <c r="M78" s="103">
        <f>L78*(1+(Data!$P$199/100))</f>
        <v>0.17072999999999999</v>
      </c>
      <c r="N78" s="103">
        <f>M78*(1+(Data!$P$199/100))</f>
        <v>0.17072999999999999</v>
      </c>
      <c r="O78" s="103">
        <f>N78*(1+(Data!$P$199/100))</f>
        <v>0.17072999999999999</v>
      </c>
      <c r="P78" s="103">
        <f>O78*(1+(Data!$P$199/100))</f>
        <v>0.17072999999999999</v>
      </c>
      <c r="Q78" s="103">
        <f>P78*(1+(Data!$P$199/100))</f>
        <v>0.17072999999999999</v>
      </c>
      <c r="R78" s="103">
        <f>Q78*(1+(Data!$P$199/100))</f>
        <v>0.17072999999999999</v>
      </c>
      <c r="S78" s="103">
        <f>R78*(1+(Data!$P$199/100))</f>
        <v>0.17072999999999999</v>
      </c>
      <c r="T78" s="103">
        <f>S78*(1+(Data!$P$199/100))</f>
        <v>0.17072999999999999</v>
      </c>
      <c r="U78" s="103">
        <f>T78*(1+(Data!$P$199/100))</f>
        <v>0.17072999999999999</v>
      </c>
      <c r="V78" s="103">
        <f>U78*(1+(Data!$P$199/100))</f>
        <v>0.17072999999999999</v>
      </c>
      <c r="W78" s="103">
        <f>V78*(1+(Data!$P$199/100))</f>
        <v>0.17072999999999999</v>
      </c>
      <c r="X78" s="103">
        <f>W78*(1+(Data!$P$199/100))</f>
        <v>0.17072999999999999</v>
      </c>
      <c r="Y78" s="103">
        <f>X78*(1+(Data!$P$199/100))</f>
        <v>0.17072999999999999</v>
      </c>
      <c r="Z78" s="103">
        <f>Y78*(1+(Data!$P$199/100))</f>
        <v>0.17072999999999999</v>
      </c>
      <c r="AA78" s="103">
        <f>Z78*(1+(Data!$P$199/100))</f>
        <v>0.17072999999999999</v>
      </c>
      <c r="AB78" s="103">
        <f>AA78*(1+(Data!$P$199/100))</f>
        <v>0.17072999999999999</v>
      </c>
      <c r="AC78" s="103">
        <f>AB78*(1+(Data!$P$199/100))</f>
        <v>0.17072999999999999</v>
      </c>
      <c r="AD78" s="103">
        <f>AC78*(1+(Data!$P$199/100))</f>
        <v>0.17072999999999999</v>
      </c>
      <c r="AE78" s="103">
        <f>AD78*(1+(Data!$P$199/100))</f>
        <v>0.17072999999999999</v>
      </c>
      <c r="AF78" s="103">
        <f>AE78*(1+(Data!$P$199/100))</f>
        <v>0.17072999999999999</v>
      </c>
      <c r="AG78" s="103">
        <f>AF78*(1+(Data!$P$199/100))</f>
        <v>0.17072999999999999</v>
      </c>
      <c r="AH78" s="103">
        <f>AG78*(1+(Data!$P$199/100))</f>
        <v>0.17072999999999999</v>
      </c>
      <c r="AI78" s="103">
        <f>AH78*(1+(Data!$P$199/100))</f>
        <v>0.17072999999999999</v>
      </c>
      <c r="AJ78" s="103">
        <f>AI78*(1+(Data!$P$199/100))</f>
        <v>0.17072999999999999</v>
      </c>
    </row>
    <row r="79" spans="7:38" ht="15" hidden="1" customHeight="1" x14ac:dyDescent="0.2">
      <c r="G79" s="14" t="s">
        <v>252</v>
      </c>
      <c r="H79" s="14"/>
      <c r="I79" s="14"/>
      <c r="J79" s="14"/>
      <c r="K79" s="103">
        <f>Data!$P$174</f>
        <v>0.19338</v>
      </c>
      <c r="L79" s="103">
        <f>K79*(1+(Data!$P$200/100))</f>
        <v>0.18757859999999998</v>
      </c>
      <c r="M79" s="103">
        <f>L79*(1+(Data!$P$200/100))</f>
        <v>0.18195124199999999</v>
      </c>
      <c r="N79" s="103">
        <f>M79*(1+(Data!$P$200/100))</f>
        <v>0.17649270473999998</v>
      </c>
      <c r="O79" s="103">
        <f>N79*(1+(Data!$P$200/100))</f>
        <v>0.17119792359779998</v>
      </c>
      <c r="P79" s="103">
        <f>O79*(1+(Data!$P$200/100))</f>
        <v>0.16606198588986598</v>
      </c>
      <c r="Q79" s="103">
        <f>P79*(1+(Data!$P$200/100))</f>
        <v>0.16108012631317001</v>
      </c>
      <c r="R79" s="103">
        <f>Q79*(1+(Data!$P$200/100))</f>
        <v>0.15624772252377489</v>
      </c>
      <c r="S79" s="103">
        <f>R79*(1+(Data!$P$200/100))</f>
        <v>0.15156029084806164</v>
      </c>
      <c r="T79" s="103">
        <f>S79*(1+(Data!$P$200/100))</f>
        <v>0.14701348212261978</v>
      </c>
      <c r="U79" s="103">
        <f>T79*(1+(Data!$P$200/100))</f>
        <v>0.14260307765894117</v>
      </c>
      <c r="V79" s="103">
        <f>U79*(1+(Data!$P$200/100))</f>
        <v>0.13832498532917292</v>
      </c>
      <c r="W79" s="103">
        <f>V79*(1+(Data!$P$200/100))</f>
        <v>0.13417523576929774</v>
      </c>
      <c r="X79" s="103">
        <f>W79*(1+(Data!$P$200/100))</f>
        <v>0.1301499786962188</v>
      </c>
      <c r="Y79" s="103">
        <f>X79*(1+(Data!$P$200/100))</f>
        <v>0.12624547933533223</v>
      </c>
      <c r="Z79" s="103">
        <f>Y79*(1+(Data!$P$200/100))</f>
        <v>0.12245811495527226</v>
      </c>
      <c r="AA79" s="103">
        <f>Z79*(1+(Data!$P$200/100))</f>
        <v>0.11878437150661408</v>
      </c>
      <c r="AB79" s="103">
        <f>AA79*(1+(Data!$P$200/100))</f>
        <v>0.11522084036141565</v>
      </c>
      <c r="AC79" s="103">
        <f>AB79*(1+(Data!$P$200/100))</f>
        <v>0.11176421515057318</v>
      </c>
      <c r="AD79" s="103">
        <f>AC79*(1+(Data!$P$200/100))</f>
        <v>0.10841128869605599</v>
      </c>
      <c r="AE79" s="103">
        <f>AD79*(1+(Data!$P$200/100))</f>
        <v>0.10515895003517431</v>
      </c>
      <c r="AF79" s="103">
        <f>AE79*(1+(Data!$P$200/100))</f>
        <v>0.10200418153411908</v>
      </c>
      <c r="AG79" s="103">
        <f>AF79*(1+(Data!$P$200/100))</f>
        <v>9.8944056088095506E-2</v>
      </c>
      <c r="AH79" s="103">
        <f>AG79*(1+(Data!$P$200/100))</f>
        <v>9.5975734405452637E-2</v>
      </c>
      <c r="AI79" s="103">
        <f>AH79*(1+(Data!$P$200/100))</f>
        <v>9.3096462373289057E-2</v>
      </c>
      <c r="AJ79" s="103">
        <f>AI79*(1+(Data!$P$200/100))</f>
        <v>9.0303568502090384E-2</v>
      </c>
    </row>
    <row r="80" spans="7:38" ht="15" hidden="1" customHeight="1" x14ac:dyDescent="0.2">
      <c r="G80" s="14"/>
      <c r="H80" s="69"/>
      <c r="I80" s="69"/>
      <c r="J80" s="196"/>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row>
    <row r="81" spans="7:38" ht="15" hidden="1" customHeight="1" x14ac:dyDescent="0.2">
      <c r="G81" s="14" t="s">
        <v>309</v>
      </c>
      <c r="H81" s="69"/>
      <c r="I81" s="69"/>
      <c r="J81" s="196"/>
      <c r="K81" s="394">
        <f>Data!$P$177</f>
        <v>0</v>
      </c>
      <c r="L81" s="103">
        <f>K81*(1+(Data!$P$188/100))</f>
        <v>0</v>
      </c>
      <c r="M81" s="103">
        <f>L81*(1+(Data!$P$188/100))</f>
        <v>0</v>
      </c>
      <c r="N81" s="103">
        <f>M81*(1+(Data!$P$188/100))</f>
        <v>0</v>
      </c>
      <c r="O81" s="103">
        <f>N81*(1+(Data!$P$188/100))</f>
        <v>0</v>
      </c>
      <c r="P81" s="103">
        <f>O81*(1+(Data!$P$188/100))</f>
        <v>0</v>
      </c>
      <c r="Q81" s="103">
        <f>P81*(1+(Data!$P$188/100))</f>
        <v>0</v>
      </c>
      <c r="R81" s="103">
        <f>Q81*(1+(Data!$P$188/100))</f>
        <v>0</v>
      </c>
      <c r="S81" s="103">
        <f>R81*(1+(Data!$P$188/100))</f>
        <v>0</v>
      </c>
      <c r="T81" s="103">
        <f>S81*(1+(Data!$P$188/100))</f>
        <v>0</v>
      </c>
      <c r="U81" s="103">
        <f>T81*(1+(Data!$P$188/100))</f>
        <v>0</v>
      </c>
      <c r="V81" s="103">
        <f>U81*(1+(Data!$P$188/100))</f>
        <v>0</v>
      </c>
      <c r="W81" s="103">
        <f>V81*(1+(Data!$P$188/100))</f>
        <v>0</v>
      </c>
      <c r="X81" s="103">
        <f>W81*(1+(Data!$P$188/100))</f>
        <v>0</v>
      </c>
      <c r="Y81" s="103">
        <f>X81*(1+(Data!$P$188/100))</f>
        <v>0</v>
      </c>
      <c r="Z81" s="103">
        <f>Y81*(1+(Data!$P$188/100))</f>
        <v>0</v>
      </c>
      <c r="AA81" s="103">
        <f>Z81*(1+(Data!$P$188/100))</f>
        <v>0</v>
      </c>
      <c r="AB81" s="103">
        <f>AA81*(1+(Data!$P$188/100))</f>
        <v>0</v>
      </c>
      <c r="AC81" s="103">
        <f>AB81*(1+(Data!$P$188/100))</f>
        <v>0</v>
      </c>
      <c r="AD81" s="103">
        <f>AC81*(1+(Data!$P$188/100))</f>
        <v>0</v>
      </c>
      <c r="AE81" s="103">
        <f>AD81*(1+(Data!$P$188/100))</f>
        <v>0</v>
      </c>
      <c r="AF81" s="103">
        <f>AE81*(1+(Data!$P$188/100))</f>
        <v>0</v>
      </c>
      <c r="AG81" s="103">
        <f>AF81*(1+(Data!$P$188/100))</f>
        <v>0</v>
      </c>
      <c r="AH81" s="103">
        <f>AG81*(1+(Data!$P$188/100))</f>
        <v>0</v>
      </c>
      <c r="AI81" s="103">
        <f>AH81*(1+(Data!$P$188/100))</f>
        <v>0</v>
      </c>
      <c r="AJ81" s="103">
        <f>AI81*(1+(Data!$P$188/100))</f>
        <v>0</v>
      </c>
    </row>
    <row r="82" spans="7:38" ht="15" hidden="1" customHeight="1" x14ac:dyDescent="0.2">
      <c r="G82" s="14" t="s">
        <v>284</v>
      </c>
      <c r="H82" s="69"/>
      <c r="I82" s="69"/>
      <c r="J82" s="196"/>
      <c r="K82" s="392">
        <f>Data!$P$178</f>
        <v>0.09</v>
      </c>
      <c r="L82" s="103">
        <f>K82*(1+(Data!$P$189/100))</f>
        <v>9.5399999999999999E-2</v>
      </c>
      <c r="M82" s="103">
        <f>L82*(1+(Data!$P$189/100))</f>
        <v>0.10112400000000001</v>
      </c>
      <c r="N82" s="103">
        <f>M82*(1+(Data!$P$189/100))</f>
        <v>0.10719144000000001</v>
      </c>
      <c r="O82" s="103">
        <f>N82*(1+(Data!$P$189/100))</f>
        <v>0.11362292640000002</v>
      </c>
      <c r="P82" s="103">
        <f>O82*(1+(Data!$P$189/100))</f>
        <v>0.12044030198400002</v>
      </c>
      <c r="Q82" s="103">
        <f>P82*(1+(Data!$P$189/100))</f>
        <v>0.12766672010304003</v>
      </c>
      <c r="R82" s="103">
        <f>Q82*(1+(Data!$P$189/100))</f>
        <v>0.13532672330922244</v>
      </c>
      <c r="S82" s="103">
        <f>R82*(1+(Data!$P$189/100))</f>
        <v>0.1434463267077758</v>
      </c>
      <c r="T82" s="103">
        <f>S82*(1+(Data!$P$189/100))</f>
        <v>0.15205310631024235</v>
      </c>
      <c r="U82" s="103">
        <f>T82*(1+(Data!$P$189/100))</f>
        <v>0.16117629268885691</v>
      </c>
      <c r="V82" s="103">
        <f>U82*(1+(Data!$P$189/100))</f>
        <v>0.17084687025018833</v>
      </c>
      <c r="W82" s="103">
        <f>V82*(1+(Data!$P$189/100))</f>
        <v>0.18109768246519964</v>
      </c>
      <c r="X82" s="103">
        <f>W82*(1+(Data!$P$189/100))</f>
        <v>0.19196354341311161</v>
      </c>
      <c r="Y82" s="103">
        <f>X82*(1+(Data!$P$189/100))</f>
        <v>0.20348135601789832</v>
      </c>
      <c r="Z82" s="103">
        <f>Y82*(1+(Data!$P$189/100))</f>
        <v>0.21569023737897222</v>
      </c>
      <c r="AA82" s="103">
        <f>Z82*(1+(Data!$P$189/100))</f>
        <v>0.22863165162171056</v>
      </c>
      <c r="AB82" s="103">
        <f>AA82*(1+(Data!$P$189/100))</f>
        <v>0.24234955071901321</v>
      </c>
      <c r="AC82" s="103">
        <f>AB82*(1+(Data!$P$189/100))</f>
        <v>0.25689052376215399</v>
      </c>
      <c r="AD82" s="103">
        <f>AC82*(1+(Data!$P$189/100))</f>
        <v>0.27230395518788325</v>
      </c>
      <c r="AE82" s="103">
        <f>AD82*(1+(Data!$P$189/100))</f>
        <v>0.28864219249915624</v>
      </c>
      <c r="AF82" s="103">
        <f>AE82*(1+(Data!$P$189/100))</f>
        <v>0.30596072404910563</v>
      </c>
      <c r="AG82" s="103">
        <f>AF82*(1+(Data!$P$189/100))</f>
        <v>0.32431836749205201</v>
      </c>
      <c r="AH82" s="103">
        <f>AG82*(1+(Data!$P$189/100))</f>
        <v>0.34377746954157512</v>
      </c>
      <c r="AI82" s="103">
        <f>AH82*(1+(Data!$P$189/100))</f>
        <v>0.36440411771406966</v>
      </c>
      <c r="AJ82" s="103">
        <f>AI82*(1+(Data!$P$189/100))</f>
        <v>0.38626836477691384</v>
      </c>
    </row>
    <row r="83" spans="7:38" ht="15" hidden="1" customHeight="1" x14ac:dyDescent="0.2">
      <c r="G83" s="14" t="s">
        <v>259</v>
      </c>
      <c r="H83" s="69"/>
      <c r="I83" s="69"/>
      <c r="J83" s="196"/>
      <c r="K83" s="392">
        <f>Data!$P$179</f>
        <v>0.09</v>
      </c>
      <c r="L83" s="103">
        <f>K83*(1+(Data!$P$190/100))</f>
        <v>9.5399999999999999E-2</v>
      </c>
      <c r="M83" s="103">
        <f>L83*(1+(Data!$P$190/100))</f>
        <v>0.10112400000000001</v>
      </c>
      <c r="N83" s="103">
        <f>M83*(1+(Data!$P$190/100))</f>
        <v>0.10719144000000001</v>
      </c>
      <c r="O83" s="103">
        <f>N83*(1+(Data!$P$190/100))</f>
        <v>0.11362292640000002</v>
      </c>
      <c r="P83" s="103">
        <f>O83*(1+(Data!$P$190/100))</f>
        <v>0.12044030198400002</v>
      </c>
      <c r="Q83" s="103">
        <f>P83*(1+(Data!$P$190/100))</f>
        <v>0.12766672010304003</v>
      </c>
      <c r="R83" s="103">
        <f>Q83*(1+(Data!$P$190/100))</f>
        <v>0.13532672330922244</v>
      </c>
      <c r="S83" s="103">
        <f>R83*(1+(Data!$P$190/100))</f>
        <v>0.1434463267077758</v>
      </c>
      <c r="T83" s="103">
        <f>S83*(1+(Data!$P$190/100))</f>
        <v>0.15205310631024235</v>
      </c>
      <c r="U83" s="103">
        <f>T83*(1+(Data!$P$190/100))</f>
        <v>0.16117629268885691</v>
      </c>
      <c r="V83" s="103">
        <f>U83*(1+(Data!$P$190/100))</f>
        <v>0.17084687025018833</v>
      </c>
      <c r="W83" s="103">
        <f>V83*(1+(Data!$P$190/100))</f>
        <v>0.18109768246519964</v>
      </c>
      <c r="X83" s="103">
        <f>W83*(1+(Data!$P$190/100))</f>
        <v>0.19196354341311161</v>
      </c>
      <c r="Y83" s="103">
        <f>X83*(1+(Data!$P$190/100))</f>
        <v>0.20348135601789832</v>
      </c>
      <c r="Z83" s="103">
        <f>Y83*(1+(Data!$P$190/100))</f>
        <v>0.21569023737897222</v>
      </c>
      <c r="AA83" s="103">
        <f>Z83*(1+(Data!$P$190/100))</f>
        <v>0.22863165162171056</v>
      </c>
      <c r="AB83" s="103">
        <f>AA83*(1+(Data!$P$190/100))</f>
        <v>0.24234955071901321</v>
      </c>
      <c r="AC83" s="103">
        <f>AB83*(1+(Data!$P$190/100))</f>
        <v>0.25689052376215399</v>
      </c>
      <c r="AD83" s="103">
        <f>AC83*(1+(Data!$P$190/100))</f>
        <v>0.27230395518788325</v>
      </c>
      <c r="AE83" s="103">
        <f>AD83*(1+(Data!$P$190/100))</f>
        <v>0.28864219249915624</v>
      </c>
      <c r="AF83" s="103">
        <f>AE83*(1+(Data!$P$190/100))</f>
        <v>0.30596072404910563</v>
      </c>
      <c r="AG83" s="103">
        <f>AF83*(1+(Data!$P$190/100))</f>
        <v>0.32431836749205201</v>
      </c>
      <c r="AH83" s="103">
        <f>AG83*(1+(Data!$P$190/100))</f>
        <v>0.34377746954157512</v>
      </c>
      <c r="AI83" s="103">
        <f>AH83*(1+(Data!$P$190/100))</f>
        <v>0.36440411771406966</v>
      </c>
      <c r="AJ83" s="103">
        <f>AI83*(1+(Data!$P$190/100))</f>
        <v>0.38626836477691384</v>
      </c>
    </row>
    <row r="84" spans="7:38" ht="15" hidden="1" customHeight="1" x14ac:dyDescent="0.2">
      <c r="G84" s="14" t="s">
        <v>320</v>
      </c>
      <c r="H84" s="69"/>
      <c r="I84" s="69"/>
      <c r="J84" s="196"/>
      <c r="K84" s="392">
        <f>Data!$P$180</f>
        <v>0.16463429999999998</v>
      </c>
      <c r="L84" s="103">
        <f>K84*(1+(Data!$P$191/100))</f>
        <v>0.17451235799999998</v>
      </c>
      <c r="M84" s="103">
        <f>L84*(1+(Data!$P$191/100))</f>
        <v>0.18498309948</v>
      </c>
      <c r="N84" s="103">
        <f>M84*(1+(Data!$P$191/100))</f>
        <v>0.19608208544880001</v>
      </c>
      <c r="O84" s="103">
        <f>N84*(1+(Data!$P$191/100))</f>
        <v>0.20784701057572802</v>
      </c>
      <c r="P84" s="103">
        <f>O84*(1+(Data!$P$191/100))</f>
        <v>0.22031783121027171</v>
      </c>
      <c r="Q84" s="103">
        <f>P84*(1+(Data!$P$191/100))</f>
        <v>0.23353690108288802</v>
      </c>
      <c r="R84" s="103">
        <f>Q84*(1+(Data!$P$191/100))</f>
        <v>0.24754911514786132</v>
      </c>
      <c r="S84" s="103">
        <f>R84*(1+(Data!$P$191/100))</f>
        <v>0.262402062056733</v>
      </c>
      <c r="T84" s="103">
        <f>S84*(1+(Data!$P$191/100))</f>
        <v>0.278146185780137</v>
      </c>
      <c r="U84" s="103">
        <f>T84*(1+(Data!$P$191/100))</f>
        <v>0.29483495692694522</v>
      </c>
      <c r="V84" s="103">
        <f>U84*(1+(Data!$P$191/100))</f>
        <v>0.31252505434256195</v>
      </c>
      <c r="W84" s="103">
        <f>V84*(1+(Data!$P$191/100))</f>
        <v>0.3312765576031157</v>
      </c>
      <c r="X84" s="103">
        <f>W84*(1+(Data!$P$191/100))</f>
        <v>0.35115315105930267</v>
      </c>
      <c r="Y84" s="103">
        <f>X84*(1+(Data!$P$191/100))</f>
        <v>0.37222234012286087</v>
      </c>
      <c r="Z84" s="103">
        <f>Y84*(1+(Data!$P$191/100))</f>
        <v>0.39455568053023254</v>
      </c>
      <c r="AA84" s="103">
        <f>Z84*(1+(Data!$P$191/100))</f>
        <v>0.41822902136204654</v>
      </c>
      <c r="AB84" s="103">
        <f>AA84*(1+(Data!$P$191/100))</f>
        <v>0.44332276264376935</v>
      </c>
      <c r="AC84" s="103">
        <f>AB84*(1+(Data!$P$191/100))</f>
        <v>0.46992212840239556</v>
      </c>
      <c r="AD84" s="103">
        <f>AC84*(1+(Data!$P$191/100))</f>
        <v>0.49811745610653929</v>
      </c>
      <c r="AE84" s="103">
        <f>AD84*(1+(Data!$P$191/100))</f>
        <v>0.52800450347293171</v>
      </c>
      <c r="AF84" s="103">
        <f>AE84*(1+(Data!$P$191/100))</f>
        <v>0.55968477368130765</v>
      </c>
      <c r="AG84" s="103">
        <f>AF84*(1+(Data!$P$191/100))</f>
        <v>0.59326586010218618</v>
      </c>
      <c r="AH84" s="103">
        <f>AG84*(1+(Data!$P$191/100))</f>
        <v>0.62886181170831734</v>
      </c>
      <c r="AI84" s="103">
        <f>AH84*(1+(Data!$P$191/100))</f>
        <v>0.66659352041081643</v>
      </c>
      <c r="AJ84" s="103">
        <f>AI84*(1+(Data!$P$191/100))</f>
        <v>0.70658913163546544</v>
      </c>
    </row>
    <row r="85" spans="7:38" ht="15" hidden="1" customHeight="1" x14ac:dyDescent="0.2">
      <c r="G85" s="14" t="s">
        <v>252</v>
      </c>
      <c r="H85" s="69"/>
      <c r="I85" s="69"/>
      <c r="J85" s="196"/>
      <c r="K85" s="392">
        <f>Data!$P$181</f>
        <v>0.31</v>
      </c>
      <c r="L85" s="103">
        <f>K85*(1+(Data!$P$192/100))</f>
        <v>0.34100000000000003</v>
      </c>
      <c r="M85" s="103">
        <f>L85*(1+(Data!$P$192/100))</f>
        <v>0.37510000000000004</v>
      </c>
      <c r="N85" s="103">
        <f>M85*(1+(Data!$P$192/100))</f>
        <v>0.41261000000000009</v>
      </c>
      <c r="O85" s="103">
        <f>N85*(1+(Data!$P$192/100))</f>
        <v>0.45387100000000014</v>
      </c>
      <c r="P85" s="103">
        <f>O85*(1+(Data!$P$192/100))</f>
        <v>0.4992581000000002</v>
      </c>
      <c r="Q85" s="103">
        <f>P85*(1+(Data!$P$192/100))</f>
        <v>0.54918391000000022</v>
      </c>
      <c r="R85" s="103">
        <f>Q85*(1+(Data!$P$192/100))</f>
        <v>0.60410230100000029</v>
      </c>
      <c r="S85" s="103">
        <f>R85*(1+(Data!$P$192/100))</f>
        <v>0.66451253110000041</v>
      </c>
      <c r="T85" s="103">
        <f>S85*(1+(Data!$P$192/100))</f>
        <v>0.73096378421000052</v>
      </c>
      <c r="U85" s="103">
        <f>T85*(1+(Data!$P$192/100))</f>
        <v>0.80406016263100066</v>
      </c>
      <c r="V85" s="103">
        <f>U85*(1+(Data!$P$192/100))</f>
        <v>0.88446617889410084</v>
      </c>
      <c r="W85" s="103">
        <f>V85*(1+(Data!$P$192/100))</f>
        <v>0.97291279678351106</v>
      </c>
      <c r="X85" s="103">
        <f>W85*(1+(Data!$P$192/100))</f>
        <v>1.0702040764618623</v>
      </c>
      <c r="Y85" s="103">
        <f>X85*(1+(Data!$P$192/100))</f>
        <v>1.1772244841080486</v>
      </c>
      <c r="Z85" s="103">
        <f>Y85*(1+(Data!$P$192/100))</f>
        <v>1.2949469325188536</v>
      </c>
      <c r="AA85" s="103">
        <f>Z85*(1+(Data!$P$192/100))</f>
        <v>1.4244416257707391</v>
      </c>
      <c r="AB85" s="103">
        <f>AA85*(1+(Data!$P$192/100))</f>
        <v>1.5668857883478131</v>
      </c>
      <c r="AC85" s="103">
        <f>AB85*(1+(Data!$P$192/100))</f>
        <v>1.7235743671825945</v>
      </c>
      <c r="AD85" s="103">
        <f>AC85*(1+(Data!$P$192/100))</f>
        <v>1.8959318039008541</v>
      </c>
      <c r="AE85" s="103">
        <f>AD85*(1+(Data!$P$192/100))</f>
        <v>2.0855249842909398</v>
      </c>
      <c r="AF85" s="103">
        <f>AE85*(1+(Data!$P$192/100))</f>
        <v>2.2940774827200339</v>
      </c>
      <c r="AG85" s="103">
        <f>AF85*(1+(Data!$P$192/100))</f>
        <v>2.5234852309920375</v>
      </c>
      <c r="AH85" s="103">
        <f>AG85*(1+(Data!$P$192/100))</f>
        <v>2.7758337540912414</v>
      </c>
      <c r="AI85" s="103">
        <f>AH85*(1+(Data!$P$192/100))</f>
        <v>3.053417129500366</v>
      </c>
      <c r="AJ85" s="103">
        <f>AI85*(1+(Data!$P$192/100))</f>
        <v>3.3587588424504031</v>
      </c>
    </row>
    <row r="86" spans="7:38" ht="15" hidden="1" customHeight="1" x14ac:dyDescent="0.2">
      <c r="G86" s="14"/>
      <c r="H86" s="69"/>
      <c r="I86" s="69"/>
      <c r="J86" s="196"/>
      <c r="K86" s="392"/>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row>
    <row r="87" spans="7:38" ht="15" hidden="1" customHeight="1" x14ac:dyDescent="0.2">
      <c r="G87" s="14" t="s">
        <v>307</v>
      </c>
      <c r="H87" s="14"/>
      <c r="I87" s="14"/>
      <c r="J87" s="14"/>
      <c r="K87" s="103">
        <v>1</v>
      </c>
      <c r="L87" s="103">
        <f>K87*(1+(Data!$P$194)/100)</f>
        <v>1.02</v>
      </c>
      <c r="M87" s="103">
        <f>L87*(1+(Data!$P$194)/100)</f>
        <v>1.0404</v>
      </c>
      <c r="N87" s="103">
        <f>M87*(1+(Data!$P$194)/100)</f>
        <v>1.0612079999999999</v>
      </c>
      <c r="O87" s="103">
        <f>N87*(1+(Data!$P$194)/100)</f>
        <v>1.08243216</v>
      </c>
      <c r="P87" s="103">
        <f>O87*(1+(Data!$P$194)/100)</f>
        <v>1.1040808032</v>
      </c>
      <c r="Q87" s="103">
        <f>P87*(1+(Data!$P$194)/100)</f>
        <v>1.1261624192640001</v>
      </c>
      <c r="R87" s="103">
        <f>Q87*(1+(Data!$P$194)/100)</f>
        <v>1.14868566764928</v>
      </c>
      <c r="S87" s="103">
        <f>R87*(1+(Data!$P$194)/100)</f>
        <v>1.1716593810022657</v>
      </c>
      <c r="T87" s="103">
        <f>S87*(1+(Data!$P$194)/100)</f>
        <v>1.1950925686223111</v>
      </c>
      <c r="U87" s="103">
        <f>T87*(1+(Data!$P$194)/100)</f>
        <v>1.2189944199947573</v>
      </c>
      <c r="V87" s="103">
        <f>U87*(1+(Data!$P$194)/100)</f>
        <v>1.2433743083946525</v>
      </c>
      <c r="W87" s="103">
        <f>V87*(1+(Data!$P$194)/100)</f>
        <v>1.2682417945625455</v>
      </c>
      <c r="X87" s="103">
        <f>W87*(1+(Data!$P$194)/100)</f>
        <v>1.2936066304537963</v>
      </c>
      <c r="Y87" s="103">
        <f>X87*(1+(Data!$P$194)/100)</f>
        <v>1.3194787630628724</v>
      </c>
      <c r="Z87" s="103">
        <f>Y87*(1+(Data!$P$194)/100)</f>
        <v>1.3458683383241299</v>
      </c>
      <c r="AA87" s="103">
        <f>Z87*(1+(Data!$P$194)/100)</f>
        <v>1.3727857050906125</v>
      </c>
      <c r="AB87" s="103">
        <f>AA87*(1+(Data!$P$194)/100)</f>
        <v>1.4002414191924248</v>
      </c>
      <c r="AC87" s="103">
        <f>AB87*(1+(Data!$P$194)/100)</f>
        <v>1.4282462475762734</v>
      </c>
      <c r="AD87" s="103">
        <f>AC87*(1+(Data!$P$194)/100)</f>
        <v>1.4568111725277988</v>
      </c>
      <c r="AE87" s="103">
        <f>AD87*(1+(Data!$P$194)/100)</f>
        <v>1.4859473959783549</v>
      </c>
      <c r="AF87" s="103">
        <f>AE87*(1+(Data!$P$194)/100)</f>
        <v>1.5156663438979221</v>
      </c>
      <c r="AG87" s="103">
        <f>AF87*(1+(Data!$P$194)/100)</f>
        <v>1.5459796707758806</v>
      </c>
      <c r="AH87" s="103">
        <f>AG87*(1+(Data!$P$194)/100)</f>
        <v>1.5768992641913981</v>
      </c>
      <c r="AI87" s="103">
        <f>AH87*(1+(Data!$P$194)/100)</f>
        <v>1.6084372494752261</v>
      </c>
      <c r="AJ87" s="103">
        <f>AI87*(1+(Data!$P$194)/100)</f>
        <v>1.6406059944647307</v>
      </c>
      <c r="AL87" s="986"/>
    </row>
    <row r="88" spans="7:38" ht="15" hidden="1" customHeight="1" x14ac:dyDescent="0.2">
      <c r="G88" s="14" t="s">
        <v>3</v>
      </c>
      <c r="H88" s="14"/>
      <c r="I88" s="14"/>
      <c r="J88" s="14"/>
      <c r="K88" s="103">
        <f>Data!$P$183</f>
        <v>0.1</v>
      </c>
      <c r="L88" s="103">
        <f>K88*((100+Data!$P$202)/100)</f>
        <v>0.10200000000000001</v>
      </c>
      <c r="M88" s="103">
        <f>L88*((100+Data!$P$202)/100)</f>
        <v>0.10404000000000001</v>
      </c>
      <c r="N88" s="103">
        <f>M88*((100+Data!$P$202)/100)</f>
        <v>0.10612080000000002</v>
      </c>
      <c r="O88" s="103">
        <f>N88*((100+Data!$P$202)/100)</f>
        <v>0.10824321600000002</v>
      </c>
      <c r="P88" s="103">
        <f>O88*((100+Data!$P$202)/100)</f>
        <v>0.11040808032000002</v>
      </c>
      <c r="Q88" s="103">
        <f>P88*((100+Data!$P$202)/100)</f>
        <v>0.11261624192640002</v>
      </c>
      <c r="R88" s="103">
        <f>Q88*((100+Data!$P$202)/100)</f>
        <v>0.11486856676492802</v>
      </c>
      <c r="S88" s="103">
        <f>R88*((100+Data!$P$202)/100)</f>
        <v>0.11716593810022657</v>
      </c>
      <c r="T88" s="103">
        <f>S88*((100+Data!$P$202)/100)</f>
        <v>0.11950925686223111</v>
      </c>
      <c r="U88" s="103">
        <f>T88*((100+Data!$P$202)/100)</f>
        <v>0.12189944199947574</v>
      </c>
      <c r="V88" s="103">
        <f>U88*((100+Data!$P$202)/100)</f>
        <v>0.12433743083946525</v>
      </c>
      <c r="W88" s="103">
        <f>V88*((100+Data!$P$202)/100)</f>
        <v>0.12682417945625454</v>
      </c>
      <c r="X88" s="103">
        <f>W88*((100+Data!$P$202)/100)</f>
        <v>0.12936066304537963</v>
      </c>
      <c r="Y88" s="103">
        <f>X88*((100+Data!$P$202)/100)</f>
        <v>0.13194787630628724</v>
      </c>
      <c r="Z88" s="103">
        <f>Y88*((100+Data!$P$202)/100)</f>
        <v>0.13458683383241299</v>
      </c>
      <c r="AA88" s="103">
        <f>Z88*((100+Data!$P$202)/100)</f>
        <v>0.13727857050906125</v>
      </c>
      <c r="AB88" s="103">
        <f>AA88*((100+Data!$P$202)/100)</f>
        <v>0.14002414191924248</v>
      </c>
      <c r="AC88" s="103">
        <f>AB88*((100+Data!$P$202)/100)</f>
        <v>0.14282462475762733</v>
      </c>
      <c r="AD88" s="103">
        <f>AC88*((100+Data!$P$202)/100)</f>
        <v>0.14568111725277988</v>
      </c>
      <c r="AE88" s="103">
        <f>AD88*((100+Data!$P$202)/100)</f>
        <v>0.14859473959783548</v>
      </c>
      <c r="AF88" s="103">
        <f>AE88*((100+Data!$P$202)/100)</f>
        <v>0.1515666343897922</v>
      </c>
      <c r="AG88" s="103">
        <f>AF88*((100+Data!$P$202)/100)</f>
        <v>0.15459796707758805</v>
      </c>
      <c r="AH88" s="103">
        <f>AG88*((100+Data!$P$202)/100)</f>
        <v>0.15768992641913981</v>
      </c>
      <c r="AI88" s="103">
        <f>AH88*((100+Data!$P$202)/100)</f>
        <v>0.16084372494752261</v>
      </c>
      <c r="AJ88" s="103">
        <f>AI88*((100+Data!$P$202)/100)</f>
        <v>0.16406059944647305</v>
      </c>
      <c r="AL88" s="986"/>
    </row>
    <row r="89" spans="7:38" ht="15" hidden="1" customHeight="1" x14ac:dyDescent="0.2">
      <c r="G89" s="7"/>
      <c r="H89" s="10"/>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row>
    <row r="90" spans="7:38" ht="15" hidden="1" customHeight="1" x14ac:dyDescent="0.2">
      <c r="G90" s="489" t="s">
        <v>290</v>
      </c>
      <c r="H90" s="14"/>
      <c r="I90" s="13"/>
      <c r="J90" s="13"/>
      <c r="K90" s="14"/>
      <c r="L90" s="14"/>
      <c r="M90" s="14"/>
      <c r="N90" s="14"/>
      <c r="O90" s="14"/>
      <c r="P90" s="14"/>
      <c r="Q90" s="14"/>
      <c r="R90" s="14"/>
      <c r="S90" s="14"/>
      <c r="T90" s="14"/>
      <c r="U90" s="14"/>
      <c r="V90" s="14"/>
      <c r="W90" s="14"/>
      <c r="X90" s="14"/>
      <c r="Y90" s="14"/>
      <c r="Z90" s="14"/>
      <c r="AA90" s="14"/>
      <c r="AB90" s="41"/>
      <c r="AC90" s="14"/>
      <c r="AD90" s="14"/>
      <c r="AE90" s="14"/>
      <c r="AF90" s="14"/>
      <c r="AG90" s="14"/>
      <c r="AH90" s="14"/>
      <c r="AI90" s="14"/>
      <c r="AJ90" s="14"/>
    </row>
    <row r="91" spans="7:38" ht="15" hidden="1" customHeight="1" x14ac:dyDescent="0.2">
      <c r="G91" s="14"/>
      <c r="H91" s="14"/>
      <c r="I91" s="13"/>
      <c r="J91" s="13"/>
      <c r="K91" s="31"/>
      <c r="L91" s="31"/>
      <c r="M91" s="31"/>
      <c r="N91" s="31"/>
      <c r="O91" s="31"/>
      <c r="P91" s="31"/>
      <c r="Q91" s="31"/>
      <c r="R91" s="31"/>
      <c r="S91" s="31"/>
      <c r="T91" s="31"/>
      <c r="U91" s="31"/>
      <c r="V91" s="31"/>
      <c r="W91" s="31"/>
      <c r="X91" s="31"/>
      <c r="Y91" s="31"/>
      <c r="Z91" s="31"/>
      <c r="AA91" s="31"/>
      <c r="AB91" s="75"/>
      <c r="AC91" s="31"/>
      <c r="AD91" s="31"/>
      <c r="AE91" s="31"/>
      <c r="AF91" s="31"/>
      <c r="AG91" s="31"/>
      <c r="AH91" s="31"/>
      <c r="AI91" s="31"/>
      <c r="AJ91" s="31"/>
    </row>
    <row r="92" spans="7:38" ht="15" hidden="1" customHeight="1" x14ac:dyDescent="0.2">
      <c r="G92" s="14" t="s">
        <v>478</v>
      </c>
      <c r="H92" s="13"/>
      <c r="I92" s="13"/>
      <c r="J92" s="13"/>
      <c r="K92" s="39">
        <f t="shared" ref="K92:AJ92" si="4">VLOOKUP($I$15,$G$75:$AJ$79,K$70+5,FALSE)</f>
        <v>0.17072999999999999</v>
      </c>
      <c r="L92" s="39">
        <f t="shared" si="4"/>
        <v>0.17072999999999999</v>
      </c>
      <c r="M92" s="39">
        <f t="shared" si="4"/>
        <v>0.17072999999999999</v>
      </c>
      <c r="N92" s="39">
        <f t="shared" si="4"/>
        <v>0.17072999999999999</v>
      </c>
      <c r="O92" s="39">
        <f t="shared" si="4"/>
        <v>0.17072999999999999</v>
      </c>
      <c r="P92" s="39">
        <f t="shared" si="4"/>
        <v>0.17072999999999999</v>
      </c>
      <c r="Q92" s="39">
        <f t="shared" si="4"/>
        <v>0.17072999999999999</v>
      </c>
      <c r="R92" s="39">
        <f t="shared" si="4"/>
        <v>0.17072999999999999</v>
      </c>
      <c r="S92" s="39">
        <f t="shared" si="4"/>
        <v>0.17072999999999999</v>
      </c>
      <c r="T92" s="39">
        <f t="shared" si="4"/>
        <v>0.17072999999999999</v>
      </c>
      <c r="U92" s="39">
        <f t="shared" si="4"/>
        <v>0.17072999999999999</v>
      </c>
      <c r="V92" s="39">
        <f t="shared" si="4"/>
        <v>0.17072999999999999</v>
      </c>
      <c r="W92" s="39">
        <f t="shared" si="4"/>
        <v>0.17072999999999999</v>
      </c>
      <c r="X92" s="39">
        <f t="shared" si="4"/>
        <v>0.17072999999999999</v>
      </c>
      <c r="Y92" s="39">
        <f t="shared" si="4"/>
        <v>0.17072999999999999</v>
      </c>
      <c r="Z92" s="39">
        <f t="shared" si="4"/>
        <v>0.17072999999999999</v>
      </c>
      <c r="AA92" s="39">
        <f t="shared" si="4"/>
        <v>0.17072999999999999</v>
      </c>
      <c r="AB92" s="39">
        <f t="shared" si="4"/>
        <v>0.17072999999999999</v>
      </c>
      <c r="AC92" s="39">
        <f t="shared" si="4"/>
        <v>0.17072999999999999</v>
      </c>
      <c r="AD92" s="39">
        <f t="shared" si="4"/>
        <v>0.17072999999999999</v>
      </c>
      <c r="AE92" s="39">
        <f t="shared" si="4"/>
        <v>0.17072999999999999</v>
      </c>
      <c r="AF92" s="39">
        <f t="shared" si="4"/>
        <v>0.17072999999999999</v>
      </c>
      <c r="AG92" s="39">
        <f t="shared" si="4"/>
        <v>0.17072999999999999</v>
      </c>
      <c r="AH92" s="39">
        <f t="shared" si="4"/>
        <v>0.17072999999999999</v>
      </c>
      <c r="AI92" s="39">
        <f t="shared" si="4"/>
        <v>0.17072999999999999</v>
      </c>
      <c r="AJ92" s="39">
        <f t="shared" si="4"/>
        <v>0.17072999999999999</v>
      </c>
      <c r="AL92" s="986"/>
    </row>
    <row r="93" spans="7:38" ht="15" hidden="1" customHeight="1" x14ac:dyDescent="0.2">
      <c r="G93" s="14" t="s">
        <v>479</v>
      </c>
      <c r="H93" s="13"/>
      <c r="I93" s="13"/>
      <c r="J93" s="13"/>
      <c r="K93" s="39">
        <f t="shared" ref="K93:AJ93" si="5">VLOOKUP($I$15,$G$81:$AJ$85,K$70+5,FALSE)</f>
        <v>0.09</v>
      </c>
      <c r="L93" s="39">
        <f t="shared" si="5"/>
        <v>9.5399999999999999E-2</v>
      </c>
      <c r="M93" s="39">
        <f t="shared" si="5"/>
        <v>0.10112400000000001</v>
      </c>
      <c r="N93" s="39">
        <f t="shared" si="5"/>
        <v>0.10719144000000001</v>
      </c>
      <c r="O93" s="39">
        <f t="shared" si="5"/>
        <v>0.11362292640000002</v>
      </c>
      <c r="P93" s="39">
        <f t="shared" si="5"/>
        <v>0.12044030198400002</v>
      </c>
      <c r="Q93" s="39">
        <f t="shared" si="5"/>
        <v>0.12766672010304003</v>
      </c>
      <c r="R93" s="39">
        <f t="shared" si="5"/>
        <v>0.13532672330922244</v>
      </c>
      <c r="S93" s="39">
        <f t="shared" si="5"/>
        <v>0.1434463267077758</v>
      </c>
      <c r="T93" s="39">
        <f t="shared" si="5"/>
        <v>0.15205310631024235</v>
      </c>
      <c r="U93" s="39">
        <f t="shared" si="5"/>
        <v>0.16117629268885691</v>
      </c>
      <c r="V93" s="39">
        <f t="shared" si="5"/>
        <v>0.17084687025018833</v>
      </c>
      <c r="W93" s="39">
        <f t="shared" si="5"/>
        <v>0.18109768246519964</v>
      </c>
      <c r="X93" s="39">
        <f t="shared" si="5"/>
        <v>0.19196354341311161</v>
      </c>
      <c r="Y93" s="39">
        <f t="shared" si="5"/>
        <v>0.20348135601789832</v>
      </c>
      <c r="Z93" s="39">
        <f t="shared" si="5"/>
        <v>0.21569023737897222</v>
      </c>
      <c r="AA93" s="39">
        <f t="shared" si="5"/>
        <v>0.22863165162171056</v>
      </c>
      <c r="AB93" s="39">
        <f t="shared" si="5"/>
        <v>0.24234955071901321</v>
      </c>
      <c r="AC93" s="39">
        <f t="shared" si="5"/>
        <v>0.25689052376215399</v>
      </c>
      <c r="AD93" s="39">
        <f t="shared" si="5"/>
        <v>0.27230395518788325</v>
      </c>
      <c r="AE93" s="39">
        <f t="shared" si="5"/>
        <v>0.28864219249915624</v>
      </c>
      <c r="AF93" s="39">
        <f t="shared" si="5"/>
        <v>0.30596072404910563</v>
      </c>
      <c r="AG93" s="39">
        <f t="shared" si="5"/>
        <v>0.32431836749205201</v>
      </c>
      <c r="AH93" s="39">
        <f t="shared" si="5"/>
        <v>0.34377746954157512</v>
      </c>
      <c r="AI93" s="39">
        <f t="shared" si="5"/>
        <v>0.36440411771406966</v>
      </c>
      <c r="AJ93" s="39">
        <f t="shared" si="5"/>
        <v>0.38626836477691384</v>
      </c>
      <c r="AL93" s="986"/>
    </row>
    <row r="94" spans="7:38" ht="15" hidden="1" customHeight="1" x14ac:dyDescent="0.2">
      <c r="G94" s="13"/>
      <c r="H94" s="13"/>
      <c r="I94" s="13"/>
      <c r="J94" s="13"/>
      <c r="K94" s="13"/>
      <c r="L94" s="13"/>
      <c r="M94" s="13"/>
      <c r="N94" s="13"/>
      <c r="O94" s="13"/>
      <c r="P94" s="13"/>
      <c r="Q94" s="13"/>
      <c r="R94" s="28"/>
      <c r="S94" s="13"/>
      <c r="T94" s="13"/>
      <c r="U94" s="13"/>
      <c r="V94" s="13"/>
      <c r="W94" s="13"/>
      <c r="X94" s="13"/>
      <c r="Y94" s="13"/>
      <c r="Z94" s="13"/>
      <c r="AA94" s="13"/>
      <c r="AB94" s="74"/>
      <c r="AC94" s="13"/>
      <c r="AD94" s="13"/>
      <c r="AE94" s="13"/>
      <c r="AF94" s="13"/>
      <c r="AG94" s="13"/>
      <c r="AH94" s="13"/>
      <c r="AI94" s="13"/>
      <c r="AJ94" s="13"/>
    </row>
    <row r="95" spans="7:38" ht="15" hidden="1" customHeight="1" x14ac:dyDescent="0.2">
      <c r="G95" s="14" t="s">
        <v>4</v>
      </c>
      <c r="H95" s="14"/>
      <c r="I95" s="13"/>
      <c r="J95" s="13"/>
      <c r="K95" s="42"/>
      <c r="L95" s="42"/>
      <c r="M95" s="42"/>
      <c r="N95" s="42"/>
      <c r="O95" s="42"/>
      <c r="P95" s="42"/>
      <c r="Q95" s="42"/>
      <c r="R95" s="42"/>
      <c r="S95" s="42"/>
      <c r="T95" s="42"/>
      <c r="U95" s="42"/>
      <c r="V95" s="42"/>
      <c r="W95" s="42"/>
      <c r="X95" s="42"/>
      <c r="Y95" s="42"/>
      <c r="Z95" s="42"/>
      <c r="AA95" s="42"/>
      <c r="AB95" s="76"/>
      <c r="AC95" s="42"/>
      <c r="AD95" s="42"/>
      <c r="AE95" s="42"/>
      <c r="AF95" s="42"/>
      <c r="AG95" s="42"/>
      <c r="AH95" s="42"/>
      <c r="AI95" s="42"/>
      <c r="AJ95" s="42"/>
    </row>
    <row r="96" spans="7:38" ht="15" hidden="1" customHeight="1" x14ac:dyDescent="0.2">
      <c r="G96" s="14" t="s">
        <v>5</v>
      </c>
      <c r="H96" s="14"/>
      <c r="I96" s="13"/>
      <c r="J96" s="13"/>
      <c r="K96" s="42"/>
      <c r="L96" s="42"/>
      <c r="M96" s="42"/>
      <c r="N96" s="42"/>
      <c r="O96" s="42"/>
      <c r="P96" s="42"/>
      <c r="Q96" s="42"/>
      <c r="R96" s="42"/>
      <c r="S96" s="42"/>
      <c r="T96" s="42"/>
      <c r="U96" s="42"/>
      <c r="V96" s="42"/>
      <c r="W96" s="42"/>
      <c r="X96" s="42"/>
      <c r="Y96" s="42"/>
      <c r="Z96" s="42"/>
      <c r="AA96" s="42"/>
      <c r="AB96" s="76"/>
      <c r="AC96" s="42"/>
      <c r="AD96" s="42"/>
      <c r="AE96" s="42"/>
      <c r="AF96" s="42"/>
      <c r="AG96" s="42"/>
      <c r="AH96" s="42"/>
      <c r="AI96" s="42"/>
      <c r="AJ96" s="42"/>
    </row>
    <row r="97" spans="7:38" ht="15" hidden="1" customHeight="1" x14ac:dyDescent="0.2">
      <c r="G97" s="14" t="s">
        <v>6</v>
      </c>
      <c r="H97" s="14"/>
      <c r="I97" s="13"/>
      <c r="J97" s="13"/>
      <c r="K97" s="31">
        <f>$J$11</f>
        <v>1243832.0000000002</v>
      </c>
      <c r="L97" s="31">
        <f t="shared" ref="L97:AI97" si="6">$J$11</f>
        <v>1243832.0000000002</v>
      </c>
      <c r="M97" s="31">
        <f t="shared" si="6"/>
        <v>1243832.0000000002</v>
      </c>
      <c r="N97" s="31">
        <f t="shared" si="6"/>
        <v>1243832.0000000002</v>
      </c>
      <c r="O97" s="31">
        <f t="shared" si="6"/>
        <v>1243832.0000000002</v>
      </c>
      <c r="P97" s="31">
        <f t="shared" si="6"/>
        <v>1243832.0000000002</v>
      </c>
      <c r="Q97" s="31">
        <f t="shared" si="6"/>
        <v>1243832.0000000002</v>
      </c>
      <c r="R97" s="31">
        <f t="shared" si="6"/>
        <v>1243832.0000000002</v>
      </c>
      <c r="S97" s="31">
        <f t="shared" si="6"/>
        <v>1243832.0000000002</v>
      </c>
      <c r="T97" s="31">
        <f t="shared" si="6"/>
        <v>1243832.0000000002</v>
      </c>
      <c r="U97" s="31">
        <f t="shared" si="6"/>
        <v>1243832.0000000002</v>
      </c>
      <c r="V97" s="31">
        <f t="shared" si="6"/>
        <v>1243832.0000000002</v>
      </c>
      <c r="W97" s="31">
        <f t="shared" si="6"/>
        <v>1243832.0000000002</v>
      </c>
      <c r="X97" s="31">
        <f t="shared" si="6"/>
        <v>1243832.0000000002</v>
      </c>
      <c r="Y97" s="31">
        <f t="shared" si="6"/>
        <v>1243832.0000000002</v>
      </c>
      <c r="Z97" s="31">
        <f t="shared" si="6"/>
        <v>1243832.0000000002</v>
      </c>
      <c r="AA97" s="31">
        <f t="shared" si="6"/>
        <v>1243832.0000000002</v>
      </c>
      <c r="AB97" s="31">
        <f t="shared" si="6"/>
        <v>1243832.0000000002</v>
      </c>
      <c r="AC97" s="31">
        <f t="shared" si="6"/>
        <v>1243832.0000000002</v>
      </c>
      <c r="AD97" s="31">
        <f t="shared" si="6"/>
        <v>1243832.0000000002</v>
      </c>
      <c r="AE97" s="31">
        <f t="shared" si="6"/>
        <v>1243832.0000000002</v>
      </c>
      <c r="AF97" s="31">
        <f t="shared" si="6"/>
        <v>1243832.0000000002</v>
      </c>
      <c r="AG97" s="31">
        <f t="shared" si="6"/>
        <v>1243832.0000000002</v>
      </c>
      <c r="AH97" s="31">
        <f t="shared" si="6"/>
        <v>1243832.0000000002</v>
      </c>
      <c r="AI97" s="31">
        <f t="shared" si="6"/>
        <v>1243832.0000000002</v>
      </c>
      <c r="AJ97" s="31">
        <f>$J$11</f>
        <v>1243832.0000000002</v>
      </c>
    </row>
    <row r="98" spans="7:38" ht="15" hidden="1" customHeight="1" x14ac:dyDescent="0.2">
      <c r="G98" s="14"/>
      <c r="H98" s="14"/>
      <c r="I98" s="13"/>
      <c r="J98" s="13"/>
      <c r="K98" s="31"/>
      <c r="L98" s="31"/>
      <c r="M98" s="31"/>
      <c r="N98" s="31"/>
      <c r="O98" s="31"/>
      <c r="P98" s="31"/>
      <c r="Q98" s="31"/>
      <c r="R98" s="31"/>
      <c r="S98" s="31"/>
      <c r="T98" s="31"/>
      <c r="U98" s="31"/>
      <c r="V98" s="31"/>
      <c r="W98" s="31"/>
      <c r="X98" s="31"/>
      <c r="Y98" s="31"/>
      <c r="Z98" s="31"/>
      <c r="AA98" s="31"/>
      <c r="AB98" s="75"/>
      <c r="AC98" s="31"/>
      <c r="AD98" s="31"/>
      <c r="AE98" s="31"/>
      <c r="AF98" s="31"/>
      <c r="AG98" s="31"/>
      <c r="AH98" s="31"/>
      <c r="AI98" s="31"/>
      <c r="AJ98" s="31"/>
    </row>
    <row r="99" spans="7:38" ht="15" hidden="1" customHeight="1" x14ac:dyDescent="0.2">
      <c r="G99" s="14" t="s">
        <v>7</v>
      </c>
      <c r="H99" s="14"/>
      <c r="I99" s="13"/>
      <c r="J99" s="13"/>
      <c r="K99" s="42"/>
      <c r="L99" s="42"/>
      <c r="M99" s="42"/>
      <c r="N99" s="42"/>
      <c r="O99" s="42"/>
      <c r="P99" s="42"/>
      <c r="Q99" s="42"/>
      <c r="R99" s="42"/>
      <c r="S99" s="42"/>
      <c r="T99" s="42"/>
      <c r="U99" s="42"/>
      <c r="V99" s="42"/>
      <c r="W99" s="42"/>
      <c r="X99" s="42"/>
      <c r="Y99" s="42"/>
      <c r="Z99" s="42"/>
      <c r="AA99" s="42"/>
      <c r="AB99" s="76"/>
      <c r="AC99" s="42"/>
      <c r="AD99" s="42"/>
      <c r="AE99" s="42"/>
      <c r="AF99" s="42"/>
      <c r="AG99" s="42"/>
      <c r="AH99" s="42"/>
      <c r="AI99" s="42"/>
      <c r="AJ99" s="42"/>
    </row>
    <row r="100" spans="7:38" ht="15" hidden="1" customHeight="1" x14ac:dyDescent="0.2">
      <c r="G100" s="14" t="s">
        <v>8</v>
      </c>
      <c r="H100" s="14"/>
      <c r="I100" s="13"/>
      <c r="J100" s="13"/>
      <c r="K100" s="42"/>
      <c r="L100" s="42"/>
      <c r="M100" s="42"/>
      <c r="N100" s="42"/>
      <c r="O100" s="42"/>
      <c r="P100" s="42"/>
      <c r="Q100" s="42"/>
      <c r="R100" s="42"/>
      <c r="S100" s="42"/>
      <c r="T100" s="42"/>
      <c r="U100" s="42"/>
      <c r="V100" s="42"/>
      <c r="W100" s="42"/>
      <c r="X100" s="42"/>
      <c r="Y100" s="42"/>
      <c r="Z100" s="42"/>
      <c r="AA100" s="42"/>
      <c r="AB100" s="76"/>
      <c r="AC100" s="42"/>
      <c r="AD100" s="42"/>
      <c r="AE100" s="42"/>
      <c r="AF100" s="42"/>
      <c r="AG100" s="42"/>
      <c r="AH100" s="42"/>
      <c r="AI100" s="42"/>
      <c r="AJ100" s="42"/>
    </row>
    <row r="101" spans="7:38" ht="15" hidden="1" customHeight="1" x14ac:dyDescent="0.2">
      <c r="G101" s="14" t="s">
        <v>9</v>
      </c>
      <c r="H101" s="14"/>
      <c r="I101" s="13"/>
      <c r="J101" s="13"/>
      <c r="K101" s="31">
        <f>K92*K97</f>
        <v>212359.43736000004</v>
      </c>
      <c r="L101" s="31">
        <f t="shared" ref="L101:AJ101" si="7">L92*L97</f>
        <v>212359.43736000004</v>
      </c>
      <c r="M101" s="31">
        <f t="shared" si="7"/>
        <v>212359.43736000004</v>
      </c>
      <c r="N101" s="31">
        <f t="shared" si="7"/>
        <v>212359.43736000004</v>
      </c>
      <c r="O101" s="31">
        <f t="shared" si="7"/>
        <v>212359.43736000004</v>
      </c>
      <c r="P101" s="31">
        <f t="shared" si="7"/>
        <v>212359.43736000004</v>
      </c>
      <c r="Q101" s="31">
        <f t="shared" si="7"/>
        <v>212359.43736000004</v>
      </c>
      <c r="R101" s="31">
        <f t="shared" si="7"/>
        <v>212359.43736000004</v>
      </c>
      <c r="S101" s="31">
        <f t="shared" si="7"/>
        <v>212359.43736000004</v>
      </c>
      <c r="T101" s="31">
        <f t="shared" si="7"/>
        <v>212359.43736000004</v>
      </c>
      <c r="U101" s="31">
        <f t="shared" si="7"/>
        <v>212359.43736000004</v>
      </c>
      <c r="V101" s="31">
        <f t="shared" si="7"/>
        <v>212359.43736000004</v>
      </c>
      <c r="W101" s="31">
        <f t="shared" si="7"/>
        <v>212359.43736000004</v>
      </c>
      <c r="X101" s="31">
        <f t="shared" si="7"/>
        <v>212359.43736000004</v>
      </c>
      <c r="Y101" s="31">
        <f t="shared" si="7"/>
        <v>212359.43736000004</v>
      </c>
      <c r="Z101" s="31">
        <f t="shared" si="7"/>
        <v>212359.43736000004</v>
      </c>
      <c r="AA101" s="31">
        <f t="shared" si="7"/>
        <v>212359.43736000004</v>
      </c>
      <c r="AB101" s="31">
        <f t="shared" si="7"/>
        <v>212359.43736000004</v>
      </c>
      <c r="AC101" s="31">
        <f t="shared" si="7"/>
        <v>212359.43736000004</v>
      </c>
      <c r="AD101" s="31">
        <f t="shared" si="7"/>
        <v>212359.43736000004</v>
      </c>
      <c r="AE101" s="31">
        <f t="shared" si="7"/>
        <v>212359.43736000004</v>
      </c>
      <c r="AF101" s="31">
        <f t="shared" si="7"/>
        <v>212359.43736000004</v>
      </c>
      <c r="AG101" s="31">
        <f t="shared" si="7"/>
        <v>212359.43736000004</v>
      </c>
      <c r="AH101" s="31">
        <f t="shared" si="7"/>
        <v>212359.43736000004</v>
      </c>
      <c r="AI101" s="31">
        <f t="shared" si="7"/>
        <v>212359.43736000004</v>
      </c>
      <c r="AJ101" s="31">
        <f t="shared" si="7"/>
        <v>212359.43736000004</v>
      </c>
    </row>
    <row r="102" spans="7:38" ht="15" hidden="1" customHeight="1" x14ac:dyDescent="0.2">
      <c r="G102" s="14"/>
      <c r="H102" s="14"/>
      <c r="I102" s="13"/>
      <c r="J102" s="13"/>
      <c r="K102" s="31"/>
      <c r="L102" s="31"/>
      <c r="M102" s="31"/>
      <c r="N102" s="31"/>
      <c r="O102" s="31"/>
      <c r="P102" s="31"/>
      <c r="Q102" s="31"/>
      <c r="R102" s="31"/>
      <c r="S102" s="31"/>
      <c r="T102" s="31"/>
      <c r="U102" s="31"/>
      <c r="V102" s="31"/>
      <c r="W102" s="31"/>
      <c r="X102" s="31"/>
      <c r="Y102" s="31"/>
      <c r="Z102" s="31"/>
      <c r="AA102" s="31"/>
      <c r="AB102" s="75"/>
      <c r="AC102" s="31"/>
      <c r="AD102" s="31"/>
      <c r="AE102" s="31"/>
      <c r="AF102" s="31"/>
      <c r="AG102" s="31"/>
      <c r="AH102" s="31"/>
      <c r="AI102" s="31"/>
      <c r="AJ102" s="31"/>
    </row>
    <row r="103" spans="7:38" ht="15" hidden="1" customHeight="1" x14ac:dyDescent="0.2">
      <c r="G103" s="14" t="s">
        <v>10</v>
      </c>
      <c r="H103" s="14"/>
      <c r="I103" s="13"/>
      <c r="J103" s="13"/>
      <c r="K103" s="75">
        <f>IF($K$43=0,IF(K70=$K$38,$K$37,0),IF(K$70=$K$38,$K$37*K$87,IF(OR(AND($K$38=0,K$70=$K$38),AND(K$70&gt;=$K$38+$K$43,INT((K$70-$K$38)/($K$43))=(K$70-$K$38)/($K$43))),$K$42*K$87,0)))</f>
        <v>0</v>
      </c>
      <c r="L103" s="75">
        <f t="shared" ref="L103:AJ103" si="8">IF($K$43=0,IF(L70=$K$38,$K$37,0),IF(L$70=$K$38,$K$37*L$87,IF(OR(AND($K$38=0,L$70=$K$38),AND(L$70&gt;=$K$38+$K$43,INT((L$70-$K$38)/($K$43))=(L$70-$K$38)/($K$43))),$K$42*L$87,0)))</f>
        <v>0</v>
      </c>
      <c r="M103" s="75">
        <f t="shared" si="8"/>
        <v>0</v>
      </c>
      <c r="N103" s="75">
        <f t="shared" si="8"/>
        <v>0</v>
      </c>
      <c r="O103" s="75">
        <f t="shared" si="8"/>
        <v>0</v>
      </c>
      <c r="P103" s="75">
        <f t="shared" si="8"/>
        <v>0</v>
      </c>
      <c r="Q103" s="75">
        <f t="shared" si="8"/>
        <v>0</v>
      </c>
      <c r="R103" s="75">
        <f t="shared" si="8"/>
        <v>0</v>
      </c>
      <c r="S103" s="75">
        <f t="shared" si="8"/>
        <v>0</v>
      </c>
      <c r="T103" s="75">
        <f t="shared" si="8"/>
        <v>0</v>
      </c>
      <c r="U103" s="75">
        <f t="shared" si="8"/>
        <v>0</v>
      </c>
      <c r="V103" s="75">
        <f t="shared" si="8"/>
        <v>0</v>
      </c>
      <c r="W103" s="75">
        <f t="shared" si="8"/>
        <v>0</v>
      </c>
      <c r="X103" s="75">
        <f t="shared" si="8"/>
        <v>0</v>
      </c>
      <c r="Y103" s="75">
        <f t="shared" si="8"/>
        <v>0</v>
      </c>
      <c r="Z103" s="75">
        <f t="shared" si="8"/>
        <v>0</v>
      </c>
      <c r="AA103" s="75">
        <f t="shared" si="8"/>
        <v>0</v>
      </c>
      <c r="AB103" s="75">
        <f t="shared" si="8"/>
        <v>0</v>
      </c>
      <c r="AC103" s="75">
        <f t="shared" si="8"/>
        <v>0</v>
      </c>
      <c r="AD103" s="75">
        <f t="shared" si="8"/>
        <v>0</v>
      </c>
      <c r="AE103" s="75">
        <f t="shared" si="8"/>
        <v>0</v>
      </c>
      <c r="AF103" s="75">
        <f t="shared" si="8"/>
        <v>0</v>
      </c>
      <c r="AG103" s="75">
        <f t="shared" si="8"/>
        <v>0</v>
      </c>
      <c r="AH103" s="75">
        <f t="shared" si="8"/>
        <v>0</v>
      </c>
      <c r="AI103" s="75">
        <f t="shared" si="8"/>
        <v>0</v>
      </c>
      <c r="AJ103" s="75">
        <f t="shared" si="8"/>
        <v>0</v>
      </c>
    </row>
    <row r="104" spans="7:38" ht="15" hidden="1" customHeight="1" x14ac:dyDescent="0.2">
      <c r="G104" s="14" t="s">
        <v>11</v>
      </c>
      <c r="H104" s="14"/>
      <c r="I104" s="13"/>
      <c r="J104" s="13"/>
      <c r="K104" s="31">
        <f t="shared" ref="K104:AJ104" si="9">($K$40*K$87)-($K$41*K$87)</f>
        <v>0</v>
      </c>
      <c r="L104" s="31">
        <f t="shared" si="9"/>
        <v>0</v>
      </c>
      <c r="M104" s="31">
        <f t="shared" si="9"/>
        <v>0</v>
      </c>
      <c r="N104" s="31">
        <f t="shared" si="9"/>
        <v>0</v>
      </c>
      <c r="O104" s="31">
        <f t="shared" si="9"/>
        <v>0</v>
      </c>
      <c r="P104" s="31">
        <f t="shared" si="9"/>
        <v>0</v>
      </c>
      <c r="Q104" s="31">
        <f t="shared" si="9"/>
        <v>0</v>
      </c>
      <c r="R104" s="31">
        <f t="shared" si="9"/>
        <v>0</v>
      </c>
      <c r="S104" s="31">
        <f t="shared" si="9"/>
        <v>0</v>
      </c>
      <c r="T104" s="31">
        <f t="shared" si="9"/>
        <v>0</v>
      </c>
      <c r="U104" s="31">
        <f t="shared" si="9"/>
        <v>0</v>
      </c>
      <c r="V104" s="31">
        <f t="shared" si="9"/>
        <v>0</v>
      </c>
      <c r="W104" s="31">
        <f t="shared" si="9"/>
        <v>0</v>
      </c>
      <c r="X104" s="31">
        <f t="shared" si="9"/>
        <v>0</v>
      </c>
      <c r="Y104" s="31">
        <f t="shared" si="9"/>
        <v>0</v>
      </c>
      <c r="Z104" s="31">
        <f t="shared" si="9"/>
        <v>0</v>
      </c>
      <c r="AA104" s="31">
        <f t="shared" si="9"/>
        <v>0</v>
      </c>
      <c r="AB104" s="31">
        <f t="shared" si="9"/>
        <v>0</v>
      </c>
      <c r="AC104" s="31">
        <f t="shared" si="9"/>
        <v>0</v>
      </c>
      <c r="AD104" s="31">
        <f t="shared" si="9"/>
        <v>0</v>
      </c>
      <c r="AE104" s="31">
        <f t="shared" si="9"/>
        <v>0</v>
      </c>
      <c r="AF104" s="31">
        <f t="shared" si="9"/>
        <v>0</v>
      </c>
      <c r="AG104" s="31">
        <f t="shared" si="9"/>
        <v>0</v>
      </c>
      <c r="AH104" s="31">
        <f t="shared" si="9"/>
        <v>0</v>
      </c>
      <c r="AI104" s="31">
        <f t="shared" si="9"/>
        <v>0</v>
      </c>
      <c r="AJ104" s="31">
        <f t="shared" si="9"/>
        <v>0</v>
      </c>
    </row>
    <row r="105" spans="7:38" ht="15" hidden="1" customHeight="1" x14ac:dyDescent="0.2">
      <c r="G105" s="14" t="s">
        <v>12</v>
      </c>
      <c r="H105" s="14"/>
      <c r="I105" s="13"/>
      <c r="J105" s="13"/>
      <c r="K105" s="31">
        <f>K$93*K97</f>
        <v>111944.88000000002</v>
      </c>
      <c r="L105" s="31">
        <f t="shared" ref="L105:AJ105" si="10">L$93*L97</f>
        <v>118661.57280000002</v>
      </c>
      <c r="M105" s="31">
        <f t="shared" si="10"/>
        <v>125781.26716800003</v>
      </c>
      <c r="N105" s="31">
        <f t="shared" si="10"/>
        <v>133328.14319808004</v>
      </c>
      <c r="O105" s="31">
        <f t="shared" si="10"/>
        <v>141327.83178996484</v>
      </c>
      <c r="P105" s="31">
        <f t="shared" si="10"/>
        <v>149807.50169736275</v>
      </c>
      <c r="Q105" s="31">
        <f t="shared" si="10"/>
        <v>158795.95179920451</v>
      </c>
      <c r="R105" s="31">
        <f t="shared" si="10"/>
        <v>168323.7089071568</v>
      </c>
      <c r="S105" s="31">
        <f t="shared" si="10"/>
        <v>178423.13144158621</v>
      </c>
      <c r="T105" s="31">
        <f t="shared" si="10"/>
        <v>189128.5193280814</v>
      </c>
      <c r="U105" s="31">
        <f t="shared" si="10"/>
        <v>200476.2304877663</v>
      </c>
      <c r="V105" s="31">
        <f t="shared" si="10"/>
        <v>212504.80431703228</v>
      </c>
      <c r="W105" s="31">
        <f t="shared" si="10"/>
        <v>225255.09257605425</v>
      </c>
      <c r="X105" s="31">
        <f t="shared" si="10"/>
        <v>238770.39813061748</v>
      </c>
      <c r="Y105" s="31">
        <f t="shared" si="10"/>
        <v>253096.62201845457</v>
      </c>
      <c r="Z105" s="31">
        <f t="shared" si="10"/>
        <v>268282.41933956183</v>
      </c>
      <c r="AA105" s="31">
        <f t="shared" si="10"/>
        <v>284379.36449993553</v>
      </c>
      <c r="AB105" s="31">
        <f t="shared" si="10"/>
        <v>301442.12636993168</v>
      </c>
      <c r="AC105" s="31">
        <f t="shared" si="10"/>
        <v>319528.65395212756</v>
      </c>
      <c r="AD105" s="31">
        <f t="shared" si="10"/>
        <v>338700.37318925525</v>
      </c>
      <c r="AE105" s="31">
        <f t="shared" si="10"/>
        <v>359022.39558061055</v>
      </c>
      <c r="AF105" s="31">
        <f t="shared" si="10"/>
        <v>380563.73931544722</v>
      </c>
      <c r="AG105" s="31">
        <f t="shared" si="10"/>
        <v>403397.56367437413</v>
      </c>
      <c r="AH105" s="31">
        <f t="shared" si="10"/>
        <v>427601.41749483655</v>
      </c>
      <c r="AI105" s="31">
        <f t="shared" si="10"/>
        <v>453257.50254452677</v>
      </c>
      <c r="AJ105" s="31">
        <f t="shared" si="10"/>
        <v>480452.95269719837</v>
      </c>
    </row>
    <row r="106" spans="7:38" ht="15" hidden="1" customHeight="1" x14ac:dyDescent="0.2">
      <c r="G106" s="14" t="s">
        <v>13</v>
      </c>
      <c r="H106" s="14"/>
      <c r="I106" s="13"/>
      <c r="J106" s="13"/>
      <c r="K106" s="31">
        <f t="shared" ref="K106:AJ106" si="11">K88*K101</f>
        <v>21235.943736000005</v>
      </c>
      <c r="L106" s="31">
        <f t="shared" si="11"/>
        <v>21660.662610720006</v>
      </c>
      <c r="M106" s="31">
        <f t="shared" si="11"/>
        <v>22093.875862934405</v>
      </c>
      <c r="N106" s="31">
        <f t="shared" si="11"/>
        <v>22535.753380193095</v>
      </c>
      <c r="O106" s="31">
        <f t="shared" si="11"/>
        <v>22986.468447796957</v>
      </c>
      <c r="P106" s="31">
        <f t="shared" si="11"/>
        <v>23446.197816752898</v>
      </c>
      <c r="Q106" s="31">
        <f t="shared" si="11"/>
        <v>23915.121773087954</v>
      </c>
      <c r="R106" s="31">
        <f t="shared" si="11"/>
        <v>24393.424208549714</v>
      </c>
      <c r="S106" s="31">
        <f t="shared" si="11"/>
        <v>24881.292692720708</v>
      </c>
      <c r="T106" s="31">
        <f t="shared" si="11"/>
        <v>25378.918546575122</v>
      </c>
      <c r="U106" s="31">
        <f t="shared" si="11"/>
        <v>25886.496917506625</v>
      </c>
      <c r="V106" s="31">
        <f t="shared" si="11"/>
        <v>26404.226855856756</v>
      </c>
      <c r="W106" s="31">
        <f t="shared" si="11"/>
        <v>26932.31139297389</v>
      </c>
      <c r="X106" s="31">
        <f t="shared" si="11"/>
        <v>27470.957620833367</v>
      </c>
      <c r="Y106" s="31">
        <f t="shared" si="11"/>
        <v>28020.376773250038</v>
      </c>
      <c r="Z106" s="31">
        <f t="shared" si="11"/>
        <v>28580.78430871504</v>
      </c>
      <c r="AA106" s="31">
        <f t="shared" si="11"/>
        <v>29152.399994889343</v>
      </c>
      <c r="AB106" s="75">
        <f t="shared" si="11"/>
        <v>29735.44799478713</v>
      </c>
      <c r="AC106" s="31">
        <f t="shared" si="11"/>
        <v>30330.156954682872</v>
      </c>
      <c r="AD106" s="31">
        <f t="shared" si="11"/>
        <v>30936.760093776531</v>
      </c>
      <c r="AE106" s="31">
        <f t="shared" si="11"/>
        <v>31555.495295652061</v>
      </c>
      <c r="AF106" s="31">
        <f t="shared" si="11"/>
        <v>32186.605201565104</v>
      </c>
      <c r="AG106" s="31">
        <f t="shared" si="11"/>
        <v>32830.337305596411</v>
      </c>
      <c r="AH106" s="31">
        <f t="shared" si="11"/>
        <v>33486.944051708335</v>
      </c>
      <c r="AI106" s="31">
        <f t="shared" si="11"/>
        <v>34156.6829327425</v>
      </c>
      <c r="AJ106" s="31">
        <f t="shared" si="11"/>
        <v>34839.81659139735</v>
      </c>
    </row>
    <row r="107" spans="7:38" ht="15" hidden="1" customHeight="1" x14ac:dyDescent="0.2">
      <c r="G107" s="14"/>
      <c r="H107" s="14"/>
      <c r="I107" s="13"/>
      <c r="J107" s="13"/>
      <c r="K107" s="31"/>
      <c r="L107" s="31"/>
      <c r="M107" s="31"/>
      <c r="N107" s="31"/>
      <c r="O107" s="31"/>
      <c r="P107" s="31"/>
      <c r="Q107" s="31"/>
      <c r="R107" s="31"/>
      <c r="S107" s="31"/>
      <c r="T107" s="31"/>
      <c r="U107" s="31"/>
      <c r="V107" s="31"/>
      <c r="W107" s="31"/>
      <c r="X107" s="31"/>
      <c r="Y107" s="31"/>
      <c r="Z107" s="31"/>
      <c r="AA107" s="31"/>
      <c r="AB107" s="75"/>
      <c r="AC107" s="31"/>
      <c r="AD107" s="31"/>
      <c r="AE107" s="31"/>
      <c r="AF107" s="31"/>
      <c r="AG107" s="31"/>
      <c r="AH107" s="31"/>
      <c r="AI107" s="31"/>
      <c r="AJ107" s="31"/>
    </row>
    <row r="108" spans="7:38" ht="15" hidden="1" customHeight="1" x14ac:dyDescent="0.2">
      <c r="G108" s="14" t="s">
        <v>14</v>
      </c>
      <c r="H108" s="14"/>
      <c r="I108" s="13"/>
      <c r="J108" s="13"/>
      <c r="K108" s="31">
        <f t="shared" ref="K108:Z108" si="12">SUM(K103:K106)</f>
        <v>133180.82373600002</v>
      </c>
      <c r="L108" s="31">
        <f t="shared" si="12"/>
        <v>140322.23541072002</v>
      </c>
      <c r="M108" s="31">
        <f t="shared" si="12"/>
        <v>147875.14303093444</v>
      </c>
      <c r="N108" s="31">
        <f t="shared" si="12"/>
        <v>155863.89657827312</v>
      </c>
      <c r="O108" s="31">
        <f t="shared" si="12"/>
        <v>164314.30023776181</v>
      </c>
      <c r="P108" s="31">
        <f t="shared" si="12"/>
        <v>173253.69951411564</v>
      </c>
      <c r="Q108" s="31">
        <f t="shared" si="12"/>
        <v>182711.07357229246</v>
      </c>
      <c r="R108" s="31">
        <f t="shared" si="12"/>
        <v>192717.13311570653</v>
      </c>
      <c r="S108" s="31">
        <f t="shared" si="12"/>
        <v>203304.42413430693</v>
      </c>
      <c r="T108" s="31">
        <f t="shared" si="12"/>
        <v>214507.43787465652</v>
      </c>
      <c r="U108" s="31">
        <f t="shared" si="12"/>
        <v>226362.72740527292</v>
      </c>
      <c r="V108" s="31">
        <f t="shared" si="12"/>
        <v>238909.03117288902</v>
      </c>
      <c r="W108" s="31">
        <f t="shared" si="12"/>
        <v>252187.40396902815</v>
      </c>
      <c r="X108" s="31">
        <f t="shared" si="12"/>
        <v>266241.35575145087</v>
      </c>
      <c r="Y108" s="31">
        <f t="shared" si="12"/>
        <v>281116.99879170459</v>
      </c>
      <c r="Z108" s="31">
        <f t="shared" si="12"/>
        <v>296863.20364827686</v>
      </c>
      <c r="AA108" s="31">
        <f t="shared" ref="AA108:AH108" si="13">SUM(AA103:AA106)</f>
        <v>313531.76449482486</v>
      </c>
      <c r="AB108" s="75">
        <f t="shared" si="13"/>
        <v>331177.57436471881</v>
      </c>
      <c r="AC108" s="31">
        <f t="shared" si="13"/>
        <v>349858.81090681045</v>
      </c>
      <c r="AD108" s="31">
        <f t="shared" si="13"/>
        <v>369637.13328303176</v>
      </c>
      <c r="AE108" s="31">
        <f t="shared" si="13"/>
        <v>390577.89087626262</v>
      </c>
      <c r="AF108" s="31">
        <f t="shared" si="13"/>
        <v>412750.3445170123</v>
      </c>
      <c r="AG108" s="31">
        <f t="shared" si="13"/>
        <v>436227.90097997052</v>
      </c>
      <c r="AH108" s="31">
        <f t="shared" si="13"/>
        <v>461088.36154654488</v>
      </c>
      <c r="AI108" s="31">
        <f>SUM(AI103:AI106)</f>
        <v>487414.18547726929</v>
      </c>
      <c r="AJ108" s="31">
        <f>SUM(AJ103:AJ106)</f>
        <v>515292.76928859571</v>
      </c>
    </row>
    <row r="109" spans="7:38" ht="15" hidden="1" customHeight="1" x14ac:dyDescent="0.2">
      <c r="G109" s="14" t="s">
        <v>15</v>
      </c>
      <c r="H109" s="14"/>
      <c r="I109" s="13"/>
      <c r="J109" s="13"/>
      <c r="K109" s="31">
        <f>K108</f>
        <v>133180.82373600002</v>
      </c>
      <c r="L109" s="31">
        <f t="shared" ref="L109:AJ109" si="14">K109+L108</f>
        <v>273503.05914672004</v>
      </c>
      <c r="M109" s="31">
        <f t="shared" si="14"/>
        <v>421378.20217765449</v>
      </c>
      <c r="N109" s="31">
        <f t="shared" si="14"/>
        <v>577242.09875592764</v>
      </c>
      <c r="O109" s="31">
        <f t="shared" si="14"/>
        <v>741556.39899368945</v>
      </c>
      <c r="P109" s="31">
        <f t="shared" si="14"/>
        <v>914810.09850780503</v>
      </c>
      <c r="Q109" s="31">
        <f t="shared" si="14"/>
        <v>1097521.1720800975</v>
      </c>
      <c r="R109" s="31">
        <f t="shared" si="14"/>
        <v>1290238.305195804</v>
      </c>
      <c r="S109" s="31">
        <f t="shared" si="14"/>
        <v>1493542.7293301108</v>
      </c>
      <c r="T109" s="31">
        <f t="shared" si="14"/>
        <v>1708050.1672047675</v>
      </c>
      <c r="U109" s="31">
        <f t="shared" si="14"/>
        <v>1934412.8946100404</v>
      </c>
      <c r="V109" s="31">
        <f t="shared" si="14"/>
        <v>2173321.9257829292</v>
      </c>
      <c r="W109" s="31">
        <f t="shared" si="14"/>
        <v>2425509.3297519572</v>
      </c>
      <c r="X109" s="31">
        <f t="shared" si="14"/>
        <v>2691750.6855034083</v>
      </c>
      <c r="Y109" s="31">
        <f t="shared" si="14"/>
        <v>2972867.6842951127</v>
      </c>
      <c r="Z109" s="31">
        <f t="shared" si="14"/>
        <v>3269730.8879433898</v>
      </c>
      <c r="AA109" s="31">
        <f t="shared" si="14"/>
        <v>3583262.6524382145</v>
      </c>
      <c r="AB109" s="75">
        <f t="shared" si="14"/>
        <v>3914440.2268029335</v>
      </c>
      <c r="AC109" s="31">
        <f t="shared" si="14"/>
        <v>4264299.0377097437</v>
      </c>
      <c r="AD109" s="31">
        <f t="shared" si="14"/>
        <v>4633936.1709927758</v>
      </c>
      <c r="AE109" s="31">
        <f t="shared" si="14"/>
        <v>5024514.0618690383</v>
      </c>
      <c r="AF109" s="31">
        <f t="shared" si="14"/>
        <v>5437264.4063860504</v>
      </c>
      <c r="AG109" s="31">
        <f t="shared" si="14"/>
        <v>5873492.307366021</v>
      </c>
      <c r="AH109" s="31">
        <f t="shared" si="14"/>
        <v>6334580.6689125663</v>
      </c>
      <c r="AI109" s="31">
        <f t="shared" si="14"/>
        <v>6821994.8543898351</v>
      </c>
      <c r="AJ109" s="31">
        <f t="shared" si="14"/>
        <v>7337287.6236784309</v>
      </c>
      <c r="AL109" s="986"/>
    </row>
    <row r="110" spans="7:38" ht="15" hidden="1" customHeight="1" x14ac:dyDescent="0.2">
      <c r="G110" s="13"/>
      <c r="H110" s="13"/>
      <c r="I110" s="13"/>
      <c r="J110" s="13"/>
      <c r="K110" s="32"/>
      <c r="L110" s="32"/>
      <c r="M110" s="32"/>
      <c r="N110" s="32"/>
      <c r="O110" s="32"/>
      <c r="P110" s="32"/>
      <c r="Q110" s="32"/>
      <c r="R110" s="32"/>
      <c r="S110" s="32"/>
      <c r="T110" s="32"/>
      <c r="U110" s="32"/>
      <c r="V110" s="32"/>
      <c r="W110" s="32"/>
      <c r="X110" s="32"/>
      <c r="Y110" s="32"/>
      <c r="Z110" s="32"/>
      <c r="AA110" s="32"/>
      <c r="AB110" s="77"/>
      <c r="AC110" s="32"/>
      <c r="AD110" s="32"/>
      <c r="AE110" s="32"/>
      <c r="AF110" s="32"/>
      <c r="AG110" s="32"/>
      <c r="AH110" s="32"/>
      <c r="AI110" s="32"/>
      <c r="AJ110" s="32"/>
    </row>
    <row r="111" spans="7:38" ht="15" hidden="1" customHeight="1" x14ac:dyDescent="0.2">
      <c r="G111" s="14" t="s">
        <v>17</v>
      </c>
      <c r="H111" s="13"/>
      <c r="I111" s="13"/>
      <c r="J111" s="13"/>
      <c r="K111" s="31">
        <f>K108/(((Data!$P$186/100)+1)^K$70)</f>
        <v>133180.82373600002</v>
      </c>
      <c r="L111" s="31">
        <f>L108/(((Data!$P$186/100)+1)^L$70)</f>
        <v>135577.03904417396</v>
      </c>
      <c r="M111" s="31">
        <f>M108/(((Data!$P$186/100)+1)^M$70)</f>
        <v>138043.02833758964</v>
      </c>
      <c r="N111" s="31">
        <f>N108/(((Data!$P$186/100)+1)^N$70)</f>
        <v>140580.30459576848</v>
      </c>
      <c r="O111" s="31">
        <f>O108/(((Data!$P$186/100)+1)^O$70)</f>
        <v>143190.41984192721</v>
      </c>
      <c r="P111" s="31">
        <f>P108/(((Data!$P$186/100)+1)^P$70)</f>
        <v>145874.96604985508</v>
      </c>
      <c r="Q111" s="31">
        <f>Q108/(((Data!$P$186/100)+1)^Q$70)</f>
        <v>148635.57607322113</v>
      </c>
      <c r="R111" s="31">
        <f>R108/(((Data!$P$186/100)+1)^R$70)</f>
        <v>151473.92459784565</v>
      </c>
      <c r="S111" s="31">
        <f>S108/(((Data!$P$186/100)+1)^S$70)</f>
        <v>154391.72911748267</v>
      </c>
      <c r="T111" s="31">
        <f>T108/(((Data!$P$186/100)+1)^T$70)</f>
        <v>157390.75093367498</v>
      </c>
      <c r="U111" s="31">
        <f>U108/(((Data!$P$186/100)+1)^U$70)</f>
        <v>160472.79618025461</v>
      </c>
      <c r="V111" s="31">
        <f>V108/(((Data!$P$186/100)+1)^V$70)</f>
        <v>163639.71687307773</v>
      </c>
      <c r="W111" s="31">
        <f>W108/(((Data!$P$186/100)+1)^W$70)</f>
        <v>166893.41198559644</v>
      </c>
      <c r="X111" s="31">
        <f>X108/(((Data!$P$186/100)+1)^X$70)</f>
        <v>170235.82855088363</v>
      </c>
      <c r="Y111" s="31">
        <f>Y108/(((Data!$P$186/100)+1)^Y$70)</f>
        <v>173668.96279074458</v>
      </c>
      <c r="Z111" s="31">
        <f>Z108/(((Data!$P$186/100)+1)^Z$70)</f>
        <v>177194.86127256142</v>
      </c>
      <c r="AA111" s="31">
        <f>AA108/(((Data!$P$186/100)+1)^AA$70)</f>
        <v>180815.62209453402</v>
      </c>
      <c r="AB111" s="75">
        <f>AB108/(((Data!$P$186/100)+1)^AB$70)</f>
        <v>184533.3960999971</v>
      </c>
      <c r="AC111" s="31">
        <f>AC108/(((Data!$P$186/100)+1)^AC$70)</f>
        <v>188350.38812150911</v>
      </c>
      <c r="AD111" s="31">
        <f>AD108/(((Data!$P$186/100)+1)^AD$70)</f>
        <v>192268.85825542526</v>
      </c>
      <c r="AE111" s="31">
        <f>AE108/(((Data!$P$186/100)+1)^AE$70)</f>
        <v>196291.12316768547</v>
      </c>
      <c r="AF111" s="31">
        <f>AF108/(((Data!$P$186/100)+1)^AF$70)</f>
        <v>200419.55743156435</v>
      </c>
      <c r="AG111" s="31">
        <f>AG108/(((Data!$P$186/100)+1)^AG$70)</f>
        <v>204656.59489814946</v>
      </c>
      <c r="AH111" s="31">
        <f>AH108/(((Data!$P$186/100)+1)^AH$70)</f>
        <v>209004.73010033258</v>
      </c>
      <c r="AI111" s="31">
        <f>AI108/(((Data!$P$186/100)+1)^AI$70)</f>
        <v>213466.51969111705</v>
      </c>
      <c r="AJ111" s="31">
        <f>AJ108/(((Data!$P$186/100)+1)^AJ$70)</f>
        <v>218044.58391706424</v>
      </c>
      <c r="AL111" s="986"/>
    </row>
    <row r="112" spans="7:38" ht="15" hidden="1" customHeight="1" x14ac:dyDescent="0.2">
      <c r="G112" s="30" t="s">
        <v>257</v>
      </c>
      <c r="H112" s="33"/>
      <c r="I112" s="13"/>
      <c r="J112" s="13"/>
      <c r="K112" s="34">
        <f>K111</f>
        <v>133180.82373600002</v>
      </c>
      <c r="L112" s="34">
        <f t="shared" ref="L112:AJ112" si="15">K112+L111</f>
        <v>268757.86278017401</v>
      </c>
      <c r="M112" s="34">
        <f t="shared" si="15"/>
        <v>406800.89111776365</v>
      </c>
      <c r="N112" s="34">
        <f t="shared" si="15"/>
        <v>547381.19571353216</v>
      </c>
      <c r="O112" s="34">
        <f t="shared" si="15"/>
        <v>690571.6155554594</v>
      </c>
      <c r="P112" s="34">
        <f t="shared" si="15"/>
        <v>836446.58160531451</v>
      </c>
      <c r="Q112" s="34">
        <f t="shared" si="15"/>
        <v>985082.15767853567</v>
      </c>
      <c r="R112" s="34">
        <f t="shared" si="15"/>
        <v>1136556.0822763813</v>
      </c>
      <c r="S112" s="34">
        <f t="shared" si="15"/>
        <v>1290947.811393864</v>
      </c>
      <c r="T112" s="34">
        <f t="shared" si="15"/>
        <v>1448338.5623275391</v>
      </c>
      <c r="U112" s="34">
        <f t="shared" si="15"/>
        <v>1608811.3585077936</v>
      </c>
      <c r="V112" s="34">
        <f t="shared" si="15"/>
        <v>1772451.0753808713</v>
      </c>
      <c r="W112" s="34">
        <f t="shared" si="15"/>
        <v>1939344.4873664677</v>
      </c>
      <c r="X112" s="34">
        <f t="shared" si="15"/>
        <v>2109580.3159173513</v>
      </c>
      <c r="Y112" s="34">
        <f t="shared" si="15"/>
        <v>2283249.2787080957</v>
      </c>
      <c r="Z112" s="34">
        <f t="shared" si="15"/>
        <v>2460444.139980657</v>
      </c>
      <c r="AA112" s="34">
        <f t="shared" si="15"/>
        <v>2641259.7620751909</v>
      </c>
      <c r="AB112" s="78">
        <f t="shared" si="15"/>
        <v>2825793.1581751881</v>
      </c>
      <c r="AC112" s="34">
        <f t="shared" si="15"/>
        <v>3014143.5462966971</v>
      </c>
      <c r="AD112" s="34">
        <f t="shared" si="15"/>
        <v>3206412.4045521226</v>
      </c>
      <c r="AE112" s="34">
        <f t="shared" si="15"/>
        <v>3402703.5277198078</v>
      </c>
      <c r="AF112" s="34">
        <f t="shared" si="15"/>
        <v>3603123.085151372</v>
      </c>
      <c r="AG112" s="34">
        <f t="shared" si="15"/>
        <v>3807779.6800495214</v>
      </c>
      <c r="AH112" s="34">
        <f t="shared" si="15"/>
        <v>4016784.4101498541</v>
      </c>
      <c r="AI112" s="34">
        <f t="shared" si="15"/>
        <v>4230250.9298409708</v>
      </c>
      <c r="AJ112" s="34">
        <f t="shared" si="15"/>
        <v>4448295.5137580354</v>
      </c>
      <c r="AL112" s="986"/>
    </row>
    <row r="113" spans="7:38" ht="15" hidden="1" customHeight="1" x14ac:dyDescent="0.2">
      <c r="K113" s="12"/>
      <c r="L113" s="12"/>
      <c r="M113" s="12"/>
      <c r="N113" s="12"/>
      <c r="O113" s="12"/>
      <c r="P113" s="12"/>
      <c r="Q113" s="12"/>
      <c r="R113" s="12"/>
      <c r="S113" s="12"/>
      <c r="T113" s="12"/>
      <c r="U113" s="12"/>
      <c r="V113" s="12"/>
      <c r="W113" s="12"/>
      <c r="X113" s="12"/>
      <c r="Y113" s="12"/>
      <c r="Z113" s="12"/>
      <c r="AA113" s="12"/>
      <c r="AB113" s="79"/>
      <c r="AC113" s="12"/>
      <c r="AD113" s="12"/>
      <c r="AE113" s="12"/>
      <c r="AF113" s="12"/>
      <c r="AG113" s="12"/>
      <c r="AH113" s="12"/>
      <c r="AI113" s="12"/>
      <c r="AJ113" s="12"/>
    </row>
    <row r="114" spans="7:38" ht="15" hidden="1" customHeight="1" x14ac:dyDescent="0.2">
      <c r="G114" s="532" t="s">
        <v>525</v>
      </c>
      <c r="H114" s="17"/>
      <c r="I114" s="13"/>
      <c r="J114" s="13"/>
      <c r="K114" s="35"/>
      <c r="L114" s="35"/>
      <c r="M114" s="35"/>
      <c r="N114" s="35"/>
      <c r="O114" s="35"/>
      <c r="P114" s="35"/>
      <c r="Q114" s="35"/>
      <c r="R114" s="35"/>
      <c r="S114" s="35"/>
      <c r="T114" s="35"/>
      <c r="U114" s="35"/>
      <c r="V114" s="35"/>
      <c r="W114" s="35"/>
      <c r="X114" s="35"/>
      <c r="Y114" s="35"/>
      <c r="Z114" s="35"/>
      <c r="AA114" s="35"/>
      <c r="AB114" s="80"/>
      <c r="AC114" s="35"/>
      <c r="AD114" s="35"/>
      <c r="AE114" s="35"/>
      <c r="AF114" s="35"/>
      <c r="AG114" s="35"/>
      <c r="AH114" s="35"/>
      <c r="AI114" s="35"/>
      <c r="AJ114" s="35"/>
    </row>
    <row r="115" spans="7:38" ht="15" hidden="1" customHeight="1" x14ac:dyDescent="0.2">
      <c r="G115" s="17"/>
      <c r="H115" s="17"/>
      <c r="I115" s="13"/>
      <c r="J115" s="13"/>
      <c r="K115" s="35"/>
      <c r="L115" s="104"/>
      <c r="M115" s="35"/>
      <c r="N115" s="35"/>
      <c r="O115" s="35"/>
      <c r="P115" s="35"/>
      <c r="Q115" s="35"/>
      <c r="R115" s="35"/>
      <c r="S115" s="35"/>
      <c r="T115" s="35"/>
      <c r="U115" s="35"/>
      <c r="V115" s="35"/>
      <c r="W115" s="35"/>
      <c r="X115" s="35"/>
      <c r="Y115" s="35"/>
      <c r="Z115" s="35"/>
      <c r="AA115" s="35"/>
      <c r="AB115" s="80"/>
      <c r="AC115" s="35"/>
      <c r="AD115" s="35"/>
      <c r="AE115" s="35"/>
      <c r="AF115" s="35"/>
      <c r="AG115" s="35"/>
      <c r="AH115" s="35"/>
      <c r="AI115" s="35"/>
      <c r="AJ115" s="35"/>
    </row>
    <row r="116" spans="7:38" ht="15" hidden="1" customHeight="1" x14ac:dyDescent="0.2">
      <c r="G116" s="17" t="s">
        <v>478</v>
      </c>
      <c r="H116" s="13"/>
      <c r="I116" s="13"/>
      <c r="J116" s="13"/>
      <c r="K116" s="101">
        <f>IF(K$70&lt;$Q$38,VLOOKUP($I$15,$G$75:$AJ$79,K$70+5,FALSE),VLOOKUP($O$15,$G$75:$AJ$79,K$70+5,FALSE))</f>
        <v>0.17072999999999999</v>
      </c>
      <c r="L116" s="101">
        <f>IF(L$70&lt;$Q$38,VLOOKUP($I$15,$G$75:$AJ$79,L$70+5,FALSE),VLOOKUP($O$15,$G$75:$AJ$79,L$70+5,FALSE))</f>
        <v>0.17072999999999999</v>
      </c>
      <c r="M116" s="101">
        <f t="shared" ref="M116:AI116" si="16">IF(M$70&lt;$Q$38,VLOOKUP($I$15,$G$75:$AJ$79,M$70+5,FALSE),VLOOKUP($O$15,$G$75:$AJ$79,M$70+5,FALSE))</f>
        <v>0.17072999999999999</v>
      </c>
      <c r="N116" s="101">
        <f t="shared" si="16"/>
        <v>0.17072999999999999</v>
      </c>
      <c r="O116" s="101">
        <f t="shared" si="16"/>
        <v>0.17072999999999999</v>
      </c>
      <c r="P116" s="101">
        <f t="shared" si="16"/>
        <v>0.17072999999999999</v>
      </c>
      <c r="Q116" s="101">
        <f t="shared" si="16"/>
        <v>0.17072999999999999</v>
      </c>
      <c r="R116" s="101">
        <f t="shared" si="16"/>
        <v>0.17072999999999999</v>
      </c>
      <c r="S116" s="101">
        <f t="shared" si="16"/>
        <v>0.17072999999999999</v>
      </c>
      <c r="T116" s="101">
        <f t="shared" si="16"/>
        <v>0.17072999999999999</v>
      </c>
      <c r="U116" s="101">
        <f t="shared" si="16"/>
        <v>0.17072999999999999</v>
      </c>
      <c r="V116" s="101">
        <f t="shared" si="16"/>
        <v>0.17072999999999999</v>
      </c>
      <c r="W116" s="101">
        <f t="shared" si="16"/>
        <v>0.17072999999999999</v>
      </c>
      <c r="X116" s="101">
        <f t="shared" si="16"/>
        <v>0.17072999999999999</v>
      </c>
      <c r="Y116" s="101">
        <f t="shared" si="16"/>
        <v>0.17072999999999999</v>
      </c>
      <c r="Z116" s="101">
        <f t="shared" si="16"/>
        <v>0.17072999999999999</v>
      </c>
      <c r="AA116" s="101">
        <f t="shared" si="16"/>
        <v>0.17072999999999999</v>
      </c>
      <c r="AB116" s="101">
        <f t="shared" si="16"/>
        <v>0.17072999999999999</v>
      </c>
      <c r="AC116" s="101">
        <f t="shared" si="16"/>
        <v>0.17072999999999999</v>
      </c>
      <c r="AD116" s="101">
        <f t="shared" si="16"/>
        <v>0.17072999999999999</v>
      </c>
      <c r="AE116" s="101">
        <f t="shared" si="16"/>
        <v>0.17072999999999999</v>
      </c>
      <c r="AF116" s="101">
        <f t="shared" si="16"/>
        <v>0.17072999999999999</v>
      </c>
      <c r="AG116" s="101">
        <f t="shared" si="16"/>
        <v>0.17072999999999999</v>
      </c>
      <c r="AH116" s="101">
        <f t="shared" si="16"/>
        <v>0.17072999999999999</v>
      </c>
      <c r="AI116" s="101">
        <f t="shared" si="16"/>
        <v>0.17072999999999999</v>
      </c>
      <c r="AJ116" s="101">
        <f>IF(AJ$70&lt;$Q$38,VLOOKUP($I$15,$G$75:$AJ$79,AJ$70+5,FALSE),VLOOKUP($O$15,$G$75:$AJ$79,AJ$70+5,FALSE))</f>
        <v>0.17072999999999999</v>
      </c>
      <c r="AL116" s="986"/>
    </row>
    <row r="117" spans="7:38" ht="15" hidden="1" customHeight="1" x14ac:dyDescent="0.2">
      <c r="G117" s="17" t="s">
        <v>479</v>
      </c>
      <c r="H117" s="13"/>
      <c r="I117" s="13"/>
      <c r="J117" s="13"/>
      <c r="K117" s="101">
        <f t="shared" ref="K117:AJ117" si="17">IF(K$70&lt;$Q$38,VLOOKUP($I$15,$G$81:$AJ$85,K$70+5,FALSE),VLOOKUP($O$15,$G$81:$AJ$85,K$70+5,FALSE))</f>
        <v>0.09</v>
      </c>
      <c r="L117" s="101">
        <f t="shared" si="17"/>
        <v>9.5399999999999999E-2</v>
      </c>
      <c r="M117" s="101">
        <f t="shared" si="17"/>
        <v>0.10112400000000001</v>
      </c>
      <c r="N117" s="101">
        <f t="shared" si="17"/>
        <v>0.10719144000000001</v>
      </c>
      <c r="O117" s="101">
        <f t="shared" si="17"/>
        <v>0.11362292640000002</v>
      </c>
      <c r="P117" s="101">
        <f t="shared" si="17"/>
        <v>0.12044030198400002</v>
      </c>
      <c r="Q117" s="101">
        <f t="shared" si="17"/>
        <v>0.12766672010304003</v>
      </c>
      <c r="R117" s="101">
        <f t="shared" si="17"/>
        <v>0.13532672330922244</v>
      </c>
      <c r="S117" s="101">
        <f t="shared" si="17"/>
        <v>0.1434463267077758</v>
      </c>
      <c r="T117" s="101">
        <f t="shared" si="17"/>
        <v>0.15205310631024235</v>
      </c>
      <c r="U117" s="101">
        <f t="shared" si="17"/>
        <v>0.16117629268885691</v>
      </c>
      <c r="V117" s="101">
        <f t="shared" si="17"/>
        <v>0.17084687025018833</v>
      </c>
      <c r="W117" s="101">
        <f t="shared" si="17"/>
        <v>0.18109768246519964</v>
      </c>
      <c r="X117" s="101">
        <f t="shared" si="17"/>
        <v>0.19196354341311161</v>
      </c>
      <c r="Y117" s="101">
        <f t="shared" si="17"/>
        <v>0.20348135601789832</v>
      </c>
      <c r="Z117" s="101">
        <f t="shared" si="17"/>
        <v>0.21569023737897222</v>
      </c>
      <c r="AA117" s="101">
        <f t="shared" si="17"/>
        <v>0.22863165162171056</v>
      </c>
      <c r="AB117" s="101">
        <f t="shared" si="17"/>
        <v>0.24234955071901321</v>
      </c>
      <c r="AC117" s="101">
        <f t="shared" si="17"/>
        <v>0.25689052376215399</v>
      </c>
      <c r="AD117" s="101">
        <f t="shared" si="17"/>
        <v>0.27230395518788325</v>
      </c>
      <c r="AE117" s="101">
        <f t="shared" si="17"/>
        <v>0.28864219249915624</v>
      </c>
      <c r="AF117" s="101">
        <f t="shared" si="17"/>
        <v>0.30596072404910563</v>
      </c>
      <c r="AG117" s="101">
        <f t="shared" si="17"/>
        <v>0.32431836749205201</v>
      </c>
      <c r="AH117" s="101">
        <f t="shared" si="17"/>
        <v>0.34377746954157512</v>
      </c>
      <c r="AI117" s="101">
        <f t="shared" si="17"/>
        <v>0.36440411771406966</v>
      </c>
      <c r="AJ117" s="101">
        <f t="shared" si="17"/>
        <v>0.38626836477691384</v>
      </c>
      <c r="AL117" s="986"/>
    </row>
    <row r="118" spans="7:38" ht="15" hidden="1" customHeight="1" x14ac:dyDescent="0.2">
      <c r="G118" s="13"/>
      <c r="H118" s="13"/>
      <c r="I118" s="13"/>
      <c r="J118" s="13"/>
      <c r="K118" s="13"/>
      <c r="L118" s="13"/>
      <c r="M118" s="13"/>
      <c r="N118" s="13"/>
      <c r="O118" s="13"/>
      <c r="P118" s="13"/>
      <c r="Q118" s="13"/>
      <c r="R118" s="28"/>
      <c r="S118" s="13"/>
      <c r="T118" s="13"/>
      <c r="U118" s="13"/>
      <c r="V118" s="13"/>
      <c r="W118" s="13"/>
      <c r="X118" s="13"/>
      <c r="Y118" s="13"/>
      <c r="Z118" s="13"/>
      <c r="AA118" s="13"/>
      <c r="AB118" s="74"/>
      <c r="AC118" s="13"/>
      <c r="AD118" s="13"/>
      <c r="AE118" s="13"/>
      <c r="AF118" s="13"/>
      <c r="AG118" s="13"/>
      <c r="AH118" s="13"/>
      <c r="AI118" s="13"/>
      <c r="AJ118" s="13"/>
    </row>
    <row r="119" spans="7:38" ht="15" hidden="1" customHeight="1" x14ac:dyDescent="0.2">
      <c r="G119" s="17" t="s">
        <v>4</v>
      </c>
      <c r="H119" s="17"/>
      <c r="I119" s="13"/>
      <c r="J119" s="13"/>
      <c r="K119" s="43"/>
      <c r="L119" s="43"/>
      <c r="M119" s="43"/>
      <c r="N119" s="43"/>
      <c r="O119" s="43"/>
      <c r="P119" s="43"/>
      <c r="Q119" s="43"/>
      <c r="R119" s="43"/>
      <c r="S119" s="43"/>
      <c r="T119" s="43"/>
      <c r="U119" s="43"/>
      <c r="V119" s="43"/>
      <c r="W119" s="43"/>
      <c r="X119" s="43"/>
      <c r="Y119" s="43"/>
      <c r="Z119" s="43"/>
      <c r="AA119" s="43"/>
      <c r="AB119" s="81"/>
      <c r="AC119" s="43"/>
      <c r="AD119" s="43"/>
      <c r="AE119" s="43"/>
      <c r="AF119" s="43"/>
      <c r="AG119" s="43"/>
      <c r="AH119" s="43"/>
      <c r="AI119" s="43"/>
      <c r="AJ119" s="43"/>
    </row>
    <row r="120" spans="7:38" ht="15" hidden="1" customHeight="1" x14ac:dyDescent="0.2">
      <c r="G120" s="17" t="s">
        <v>5</v>
      </c>
      <c r="H120" s="17"/>
      <c r="I120" s="13"/>
      <c r="J120" s="13"/>
      <c r="K120" s="43"/>
      <c r="L120" s="43"/>
      <c r="M120" s="43"/>
      <c r="N120" s="43"/>
      <c r="O120" s="43"/>
      <c r="P120" s="43"/>
      <c r="Q120" s="43"/>
      <c r="R120" s="43"/>
      <c r="S120" s="43"/>
      <c r="T120" s="43"/>
      <c r="U120" s="43"/>
      <c r="V120" s="43"/>
      <c r="W120" s="43"/>
      <c r="X120" s="43"/>
      <c r="Y120" s="43"/>
      <c r="Z120" s="43"/>
      <c r="AA120" s="43"/>
      <c r="AB120" s="81"/>
      <c r="AC120" s="43"/>
      <c r="AD120" s="43"/>
      <c r="AE120" s="43"/>
      <c r="AF120" s="43"/>
      <c r="AG120" s="43"/>
      <c r="AH120" s="43"/>
      <c r="AI120" s="43"/>
      <c r="AJ120" s="43"/>
    </row>
    <row r="121" spans="7:38" ht="15" hidden="1" customHeight="1" x14ac:dyDescent="0.2">
      <c r="G121" s="17" t="s">
        <v>6</v>
      </c>
      <c r="H121" s="17"/>
      <c r="I121" s="13"/>
      <c r="J121" s="13"/>
      <c r="K121" s="35">
        <f t="shared" ref="K121:AJ121" si="18">IF(K$70&lt;$Q$38,$J$11,$P$11)</f>
        <v>870682.40000000026</v>
      </c>
      <c r="L121" s="35">
        <f t="shared" si="18"/>
        <v>870682.40000000026</v>
      </c>
      <c r="M121" s="35">
        <f t="shared" si="18"/>
        <v>870682.40000000026</v>
      </c>
      <c r="N121" s="35">
        <f t="shared" si="18"/>
        <v>870682.40000000026</v>
      </c>
      <c r="O121" s="35">
        <f t="shared" si="18"/>
        <v>870682.40000000026</v>
      </c>
      <c r="P121" s="35">
        <f t="shared" si="18"/>
        <v>870682.40000000026</v>
      </c>
      <c r="Q121" s="35">
        <f t="shared" si="18"/>
        <v>870682.40000000026</v>
      </c>
      <c r="R121" s="35">
        <f t="shared" si="18"/>
        <v>870682.40000000026</v>
      </c>
      <c r="S121" s="35">
        <f t="shared" si="18"/>
        <v>870682.40000000026</v>
      </c>
      <c r="T121" s="35">
        <f t="shared" si="18"/>
        <v>870682.40000000026</v>
      </c>
      <c r="U121" s="35">
        <f t="shared" si="18"/>
        <v>870682.40000000026</v>
      </c>
      <c r="V121" s="35">
        <f t="shared" si="18"/>
        <v>870682.40000000026</v>
      </c>
      <c r="W121" s="35">
        <f t="shared" si="18"/>
        <v>870682.40000000026</v>
      </c>
      <c r="X121" s="35">
        <f t="shared" si="18"/>
        <v>870682.40000000026</v>
      </c>
      <c r="Y121" s="35">
        <f t="shared" si="18"/>
        <v>870682.40000000026</v>
      </c>
      <c r="Z121" s="35">
        <f t="shared" si="18"/>
        <v>870682.40000000026</v>
      </c>
      <c r="AA121" s="35">
        <f t="shared" si="18"/>
        <v>870682.40000000026</v>
      </c>
      <c r="AB121" s="35">
        <f t="shared" si="18"/>
        <v>870682.40000000026</v>
      </c>
      <c r="AC121" s="35">
        <f t="shared" si="18"/>
        <v>870682.40000000026</v>
      </c>
      <c r="AD121" s="35">
        <f t="shared" si="18"/>
        <v>870682.40000000026</v>
      </c>
      <c r="AE121" s="35">
        <f t="shared" si="18"/>
        <v>870682.40000000026</v>
      </c>
      <c r="AF121" s="35">
        <f t="shared" si="18"/>
        <v>870682.40000000026</v>
      </c>
      <c r="AG121" s="35">
        <f t="shared" si="18"/>
        <v>870682.40000000026</v>
      </c>
      <c r="AH121" s="35">
        <f t="shared" si="18"/>
        <v>870682.40000000026</v>
      </c>
      <c r="AI121" s="35">
        <f t="shared" si="18"/>
        <v>870682.40000000026</v>
      </c>
      <c r="AJ121" s="35">
        <f t="shared" si="18"/>
        <v>870682.40000000026</v>
      </c>
    </row>
    <row r="122" spans="7:38" ht="15" hidden="1" customHeight="1" x14ac:dyDescent="0.2">
      <c r="G122" s="17"/>
      <c r="H122" s="17"/>
      <c r="I122" s="13"/>
      <c r="J122" s="13"/>
      <c r="K122" s="35"/>
      <c r="L122" s="35"/>
      <c r="M122" s="35"/>
      <c r="N122" s="35"/>
      <c r="O122" s="35"/>
      <c r="P122" s="35"/>
      <c r="Q122" s="35"/>
      <c r="R122" s="35"/>
      <c r="S122" s="35"/>
      <c r="T122" s="35"/>
      <c r="U122" s="35"/>
      <c r="V122" s="35"/>
      <c r="W122" s="35"/>
      <c r="X122" s="35"/>
      <c r="Y122" s="35"/>
      <c r="Z122" s="35"/>
      <c r="AA122" s="35"/>
      <c r="AB122" s="80"/>
      <c r="AC122" s="35"/>
      <c r="AD122" s="35"/>
      <c r="AE122" s="35"/>
      <c r="AF122" s="35"/>
      <c r="AG122" s="35"/>
      <c r="AH122" s="35"/>
      <c r="AI122" s="35"/>
      <c r="AJ122" s="35"/>
    </row>
    <row r="123" spans="7:38" ht="15" hidden="1" customHeight="1" x14ac:dyDescent="0.2">
      <c r="G123" s="17" t="s">
        <v>7</v>
      </c>
      <c r="H123" s="17"/>
      <c r="I123" s="13"/>
      <c r="J123" s="13"/>
      <c r="K123" s="43"/>
      <c r="L123" s="43"/>
      <c r="M123" s="43"/>
      <c r="N123" s="43"/>
      <c r="O123" s="43"/>
      <c r="P123" s="43"/>
      <c r="Q123" s="43"/>
      <c r="R123" s="43"/>
      <c r="S123" s="43"/>
      <c r="T123" s="43"/>
      <c r="U123" s="43"/>
      <c r="V123" s="43"/>
      <c r="W123" s="43"/>
      <c r="X123" s="43"/>
      <c r="Y123" s="43"/>
      <c r="Z123" s="43"/>
      <c r="AA123" s="43"/>
      <c r="AB123" s="81"/>
      <c r="AC123" s="43"/>
      <c r="AD123" s="43"/>
      <c r="AE123" s="43"/>
      <c r="AF123" s="43"/>
      <c r="AG123" s="43"/>
      <c r="AH123" s="43"/>
      <c r="AI123" s="43"/>
      <c r="AJ123" s="43"/>
    </row>
    <row r="124" spans="7:38" ht="15" hidden="1" customHeight="1" x14ac:dyDescent="0.2">
      <c r="G124" s="17" t="s">
        <v>8</v>
      </c>
      <c r="H124" s="17"/>
      <c r="I124" s="13"/>
      <c r="J124" s="13"/>
      <c r="K124" s="43"/>
      <c r="L124" s="43"/>
      <c r="M124" s="43"/>
      <c r="N124" s="43"/>
      <c r="O124" s="43"/>
      <c r="P124" s="43"/>
      <c r="Q124" s="43"/>
      <c r="R124" s="43"/>
      <c r="S124" s="43"/>
      <c r="T124" s="43"/>
      <c r="U124" s="43"/>
      <c r="V124" s="43"/>
      <c r="W124" s="43"/>
      <c r="X124" s="43"/>
      <c r="Y124" s="43"/>
      <c r="Z124" s="43"/>
      <c r="AA124" s="43"/>
      <c r="AB124" s="81"/>
      <c r="AC124" s="43"/>
      <c r="AD124" s="43"/>
      <c r="AE124" s="43"/>
      <c r="AF124" s="43"/>
      <c r="AG124" s="43"/>
      <c r="AH124" s="43"/>
      <c r="AI124" s="43"/>
      <c r="AJ124" s="43"/>
    </row>
    <row r="125" spans="7:38" ht="15" hidden="1" customHeight="1" x14ac:dyDescent="0.2">
      <c r="G125" s="17" t="s">
        <v>9</v>
      </c>
      <c r="H125" s="17"/>
      <c r="I125" s="13"/>
      <c r="J125" s="13"/>
      <c r="K125" s="35">
        <f>K$116*K121</f>
        <v>148651.60615200005</v>
      </c>
      <c r="L125" s="35">
        <f>L$116*L121</f>
        <v>148651.60615200005</v>
      </c>
      <c r="M125" s="35">
        <f t="shared" ref="M125:AJ125" si="19">M$116*M121</f>
        <v>148651.60615200005</v>
      </c>
      <c r="N125" s="35">
        <f t="shared" si="19"/>
        <v>148651.60615200005</v>
      </c>
      <c r="O125" s="35">
        <f t="shared" si="19"/>
        <v>148651.60615200005</v>
      </c>
      <c r="P125" s="35">
        <f t="shared" si="19"/>
        <v>148651.60615200005</v>
      </c>
      <c r="Q125" s="35">
        <f t="shared" si="19"/>
        <v>148651.60615200005</v>
      </c>
      <c r="R125" s="35">
        <f t="shared" si="19"/>
        <v>148651.60615200005</v>
      </c>
      <c r="S125" s="35">
        <f t="shared" si="19"/>
        <v>148651.60615200005</v>
      </c>
      <c r="T125" s="35">
        <f t="shared" si="19"/>
        <v>148651.60615200005</v>
      </c>
      <c r="U125" s="35">
        <f t="shared" si="19"/>
        <v>148651.60615200005</v>
      </c>
      <c r="V125" s="35">
        <f t="shared" si="19"/>
        <v>148651.60615200005</v>
      </c>
      <c r="W125" s="35">
        <f t="shared" si="19"/>
        <v>148651.60615200005</v>
      </c>
      <c r="X125" s="35">
        <f t="shared" si="19"/>
        <v>148651.60615200005</v>
      </c>
      <c r="Y125" s="35">
        <f t="shared" si="19"/>
        <v>148651.60615200005</v>
      </c>
      <c r="Z125" s="35">
        <f t="shared" si="19"/>
        <v>148651.60615200005</v>
      </c>
      <c r="AA125" s="35">
        <f t="shared" si="19"/>
        <v>148651.60615200005</v>
      </c>
      <c r="AB125" s="35">
        <f t="shared" si="19"/>
        <v>148651.60615200005</v>
      </c>
      <c r="AC125" s="35">
        <f t="shared" si="19"/>
        <v>148651.60615200005</v>
      </c>
      <c r="AD125" s="35">
        <f t="shared" si="19"/>
        <v>148651.60615200005</v>
      </c>
      <c r="AE125" s="35">
        <f t="shared" si="19"/>
        <v>148651.60615200005</v>
      </c>
      <c r="AF125" s="35">
        <f t="shared" si="19"/>
        <v>148651.60615200005</v>
      </c>
      <c r="AG125" s="35">
        <f t="shared" si="19"/>
        <v>148651.60615200005</v>
      </c>
      <c r="AH125" s="35">
        <f t="shared" si="19"/>
        <v>148651.60615200005</v>
      </c>
      <c r="AI125" s="35">
        <f t="shared" si="19"/>
        <v>148651.60615200005</v>
      </c>
      <c r="AJ125" s="35">
        <f t="shared" si="19"/>
        <v>148651.60615200005</v>
      </c>
    </row>
    <row r="126" spans="7:38" ht="15" hidden="1" customHeight="1" x14ac:dyDescent="0.2">
      <c r="G126" s="17"/>
      <c r="H126" s="17"/>
      <c r="I126" s="13"/>
      <c r="J126" s="13"/>
      <c r="K126" s="35"/>
      <c r="L126" s="35"/>
      <c r="M126" s="35"/>
      <c r="N126" s="35"/>
      <c r="O126" s="35"/>
      <c r="P126" s="35"/>
      <c r="Q126" s="35"/>
      <c r="R126" s="35"/>
      <c r="S126" s="35"/>
      <c r="T126" s="35"/>
      <c r="U126" s="35"/>
      <c r="V126" s="35"/>
      <c r="W126" s="35"/>
      <c r="X126" s="35"/>
      <c r="Y126" s="35"/>
      <c r="Z126" s="35"/>
      <c r="AA126" s="35"/>
      <c r="AB126" s="80"/>
      <c r="AC126" s="35"/>
      <c r="AD126" s="35"/>
      <c r="AE126" s="35"/>
      <c r="AF126" s="35"/>
      <c r="AG126" s="35"/>
      <c r="AH126" s="35"/>
      <c r="AI126" s="35"/>
      <c r="AJ126" s="35"/>
    </row>
    <row r="127" spans="7:38" ht="15" hidden="1" customHeight="1" x14ac:dyDescent="0.2">
      <c r="G127" s="17" t="s">
        <v>10</v>
      </c>
      <c r="H127" s="17"/>
      <c r="I127" s="13"/>
      <c r="J127" s="13"/>
      <c r="K127" s="80">
        <f>IF($Q$43=0,IF(K70=$Q$38,$Q$37,0),IF(K$70=$Q$38,$Q$37*K$87,IF(OR(AND($Q$38=0,K$70=$Q$38),AND(K$70&gt;=$Q$38+$Q$43,INT((K$70-$Q$38)/($Q$43))=(K$70-$Q$38)/($Q$43))),$Q$42*K$87,0)))</f>
        <v>0</v>
      </c>
      <c r="L127" s="80">
        <f t="shared" ref="L127:AJ127" si="20">IF($Q$43=0,IF(L70=$Q$38,$Q$37,0),IF(L$70=$Q$38,$Q$37*L$87,IF(OR(AND($Q$38=0,L$70=$Q$38),AND(L$70&gt;=$Q$38+$Q$43,INT((L$70-$Q$38)/($Q$43))=(L$70-$Q$38)/($Q$43))),$Q$42*L$87,0)))</f>
        <v>0</v>
      </c>
      <c r="M127" s="80">
        <f t="shared" si="20"/>
        <v>0</v>
      </c>
      <c r="N127" s="80">
        <f t="shared" si="20"/>
        <v>0</v>
      </c>
      <c r="O127" s="80">
        <f t="shared" si="20"/>
        <v>0</v>
      </c>
      <c r="P127" s="80">
        <f t="shared" si="20"/>
        <v>0</v>
      </c>
      <c r="Q127" s="80">
        <f t="shared" si="20"/>
        <v>0</v>
      </c>
      <c r="R127" s="80">
        <f t="shared" si="20"/>
        <v>0</v>
      </c>
      <c r="S127" s="80">
        <f t="shared" si="20"/>
        <v>0</v>
      </c>
      <c r="T127" s="80">
        <f t="shared" si="20"/>
        <v>0</v>
      </c>
      <c r="U127" s="80">
        <f t="shared" si="20"/>
        <v>0</v>
      </c>
      <c r="V127" s="80">
        <f t="shared" si="20"/>
        <v>0</v>
      </c>
      <c r="W127" s="80">
        <f t="shared" si="20"/>
        <v>0</v>
      </c>
      <c r="X127" s="80">
        <f t="shared" si="20"/>
        <v>0</v>
      </c>
      <c r="Y127" s="80">
        <f t="shared" si="20"/>
        <v>0</v>
      </c>
      <c r="Z127" s="80">
        <f t="shared" si="20"/>
        <v>0</v>
      </c>
      <c r="AA127" s="80">
        <f t="shared" si="20"/>
        <v>0</v>
      </c>
      <c r="AB127" s="80">
        <f t="shared" si="20"/>
        <v>0</v>
      </c>
      <c r="AC127" s="80">
        <f t="shared" si="20"/>
        <v>0</v>
      </c>
      <c r="AD127" s="80">
        <f t="shared" si="20"/>
        <v>0</v>
      </c>
      <c r="AE127" s="80">
        <f t="shared" si="20"/>
        <v>0</v>
      </c>
      <c r="AF127" s="80">
        <f t="shared" si="20"/>
        <v>0</v>
      </c>
      <c r="AG127" s="80">
        <f t="shared" si="20"/>
        <v>0</v>
      </c>
      <c r="AH127" s="80">
        <f t="shared" si="20"/>
        <v>0</v>
      </c>
      <c r="AI127" s="80">
        <f t="shared" si="20"/>
        <v>0</v>
      </c>
      <c r="AJ127" s="80">
        <f t="shared" si="20"/>
        <v>0</v>
      </c>
    </row>
    <row r="128" spans="7:38" ht="15" hidden="1" customHeight="1" x14ac:dyDescent="0.2">
      <c r="G128" s="17" t="s">
        <v>11</v>
      </c>
      <c r="H128" s="17"/>
      <c r="I128" s="13"/>
      <c r="J128" s="13"/>
      <c r="K128" s="35">
        <f t="shared" ref="K128:AI128" si="21">IF(K$70&lt;$Q$38,($K$40*K$87)-($K$41*K$87),($Q$40*K$87)-($Q$41*K$87))</f>
        <v>0</v>
      </c>
      <c r="L128" s="35">
        <f t="shared" si="21"/>
        <v>0</v>
      </c>
      <c r="M128" s="35">
        <f t="shared" si="21"/>
        <v>0</v>
      </c>
      <c r="N128" s="35">
        <f t="shared" si="21"/>
        <v>0</v>
      </c>
      <c r="O128" s="35">
        <f t="shared" si="21"/>
        <v>0</v>
      </c>
      <c r="P128" s="35">
        <f t="shared" si="21"/>
        <v>0</v>
      </c>
      <c r="Q128" s="35">
        <f t="shared" si="21"/>
        <v>0</v>
      </c>
      <c r="R128" s="35">
        <f t="shared" si="21"/>
        <v>0</v>
      </c>
      <c r="S128" s="35">
        <f t="shared" si="21"/>
        <v>0</v>
      </c>
      <c r="T128" s="35">
        <f t="shared" si="21"/>
        <v>0</v>
      </c>
      <c r="U128" s="35">
        <f t="shared" si="21"/>
        <v>0</v>
      </c>
      <c r="V128" s="35">
        <f t="shared" si="21"/>
        <v>0</v>
      </c>
      <c r="W128" s="35">
        <f t="shared" si="21"/>
        <v>0</v>
      </c>
      <c r="X128" s="35">
        <f t="shared" si="21"/>
        <v>0</v>
      </c>
      <c r="Y128" s="35">
        <f t="shared" si="21"/>
        <v>0</v>
      </c>
      <c r="Z128" s="35">
        <f t="shared" si="21"/>
        <v>0</v>
      </c>
      <c r="AA128" s="35">
        <f t="shared" si="21"/>
        <v>0</v>
      </c>
      <c r="AB128" s="35">
        <f t="shared" si="21"/>
        <v>0</v>
      </c>
      <c r="AC128" s="35">
        <f t="shared" si="21"/>
        <v>0</v>
      </c>
      <c r="AD128" s="35">
        <f t="shared" si="21"/>
        <v>0</v>
      </c>
      <c r="AE128" s="35">
        <f t="shared" si="21"/>
        <v>0</v>
      </c>
      <c r="AF128" s="35">
        <f t="shared" si="21"/>
        <v>0</v>
      </c>
      <c r="AG128" s="35">
        <f t="shared" si="21"/>
        <v>0</v>
      </c>
      <c r="AH128" s="35">
        <f t="shared" si="21"/>
        <v>0</v>
      </c>
      <c r="AI128" s="35">
        <f t="shared" si="21"/>
        <v>0</v>
      </c>
      <c r="AJ128" s="35">
        <f>IF(AJ$70&lt;$Q$38,($K$40*AJ$87)-($K$41*AJ$87),($Q$40*AJ$87)-($Q$41*AJ$87))</f>
        <v>0</v>
      </c>
    </row>
    <row r="129" spans="7:38" ht="15" hidden="1" customHeight="1" x14ac:dyDescent="0.2">
      <c r="G129" s="17" t="s">
        <v>12</v>
      </c>
      <c r="H129" s="17"/>
      <c r="I129" s="13"/>
      <c r="J129" s="13"/>
      <c r="K129" s="35">
        <f>K$117*K121</f>
        <v>78361.416000000027</v>
      </c>
      <c r="L129" s="35">
        <f t="shared" ref="L129:AJ129" si="22">L$117*L121</f>
        <v>83063.100960000025</v>
      </c>
      <c r="M129" s="35">
        <f t="shared" si="22"/>
        <v>88046.887017600035</v>
      </c>
      <c r="N129" s="35">
        <f t="shared" si="22"/>
        <v>93329.700238656034</v>
      </c>
      <c r="O129" s="35">
        <f t="shared" si="22"/>
        <v>98929.482252975402</v>
      </c>
      <c r="P129" s="35">
        <f t="shared" si="22"/>
        <v>104865.25118815392</v>
      </c>
      <c r="Q129" s="35">
        <f t="shared" si="22"/>
        <v>111157.16625944317</v>
      </c>
      <c r="R129" s="35">
        <f t="shared" si="22"/>
        <v>117826.59623500977</v>
      </c>
      <c r="S129" s="35">
        <f t="shared" si="22"/>
        <v>124896.19200911037</v>
      </c>
      <c r="T129" s="35">
        <f t="shared" si="22"/>
        <v>132389.96352965699</v>
      </c>
      <c r="U129" s="35">
        <f t="shared" si="22"/>
        <v>140333.36134143642</v>
      </c>
      <c r="V129" s="35">
        <f t="shared" si="22"/>
        <v>148753.36302192262</v>
      </c>
      <c r="W129" s="35">
        <f t="shared" si="22"/>
        <v>157678.564803238</v>
      </c>
      <c r="X129" s="35">
        <f t="shared" si="22"/>
        <v>167139.27869143226</v>
      </c>
      <c r="Y129" s="35">
        <f t="shared" si="22"/>
        <v>177167.6354129182</v>
      </c>
      <c r="Z129" s="35">
        <f t="shared" si="22"/>
        <v>187797.6935376933</v>
      </c>
      <c r="AA129" s="35">
        <f t="shared" si="22"/>
        <v>199065.55514995492</v>
      </c>
      <c r="AB129" s="35">
        <f t="shared" si="22"/>
        <v>211009.4884589522</v>
      </c>
      <c r="AC129" s="35">
        <f t="shared" si="22"/>
        <v>223670.05776648934</v>
      </c>
      <c r="AD129" s="35">
        <f t="shared" si="22"/>
        <v>237090.26123247872</v>
      </c>
      <c r="AE129" s="35">
        <f t="shared" si="22"/>
        <v>251315.67690642743</v>
      </c>
      <c r="AF129" s="35">
        <f t="shared" si="22"/>
        <v>266394.61752081307</v>
      </c>
      <c r="AG129" s="35">
        <f t="shared" si="22"/>
        <v>282378.29457206192</v>
      </c>
      <c r="AH129" s="35">
        <f t="shared" si="22"/>
        <v>299320.99224638561</v>
      </c>
      <c r="AI129" s="35">
        <f t="shared" si="22"/>
        <v>317280.2517811688</v>
      </c>
      <c r="AJ129" s="35">
        <f t="shared" si="22"/>
        <v>336317.06688803888</v>
      </c>
    </row>
    <row r="130" spans="7:38" ht="15" hidden="1" customHeight="1" x14ac:dyDescent="0.2">
      <c r="G130" s="17" t="s">
        <v>13</v>
      </c>
      <c r="H130" s="17"/>
      <c r="I130" s="13"/>
      <c r="J130" s="13"/>
      <c r="K130" s="35">
        <f t="shared" ref="K130:AJ130" si="23">K88*K125</f>
        <v>14865.160615200006</v>
      </c>
      <c r="L130" s="35">
        <f t="shared" si="23"/>
        <v>15162.463827504007</v>
      </c>
      <c r="M130" s="35">
        <f t="shared" si="23"/>
        <v>15465.713104054086</v>
      </c>
      <c r="N130" s="35">
        <f t="shared" si="23"/>
        <v>15775.027366135169</v>
      </c>
      <c r="O130" s="35">
        <f t="shared" si="23"/>
        <v>16090.527913457872</v>
      </c>
      <c r="P130" s="35">
        <f t="shared" si="23"/>
        <v>16412.338471727031</v>
      </c>
      <c r="Q130" s="35">
        <f t="shared" si="23"/>
        <v>16740.585241161571</v>
      </c>
      <c r="R130" s="35">
        <f t="shared" si="23"/>
        <v>17075.396945984801</v>
      </c>
      <c r="S130" s="35">
        <f t="shared" si="23"/>
        <v>17416.904884904499</v>
      </c>
      <c r="T130" s="35">
        <f t="shared" si="23"/>
        <v>17765.242982602587</v>
      </c>
      <c r="U130" s="35">
        <f t="shared" si="23"/>
        <v>18120.54784225464</v>
      </c>
      <c r="V130" s="35">
        <f t="shared" si="23"/>
        <v>18482.958799099732</v>
      </c>
      <c r="W130" s="35">
        <f t="shared" si="23"/>
        <v>18852.617975081725</v>
      </c>
      <c r="X130" s="35">
        <f t="shared" si="23"/>
        <v>19229.670334583359</v>
      </c>
      <c r="Y130" s="35">
        <f t="shared" si="23"/>
        <v>19614.26374127503</v>
      </c>
      <c r="Z130" s="35">
        <f t="shared" si="23"/>
        <v>20006.549016100533</v>
      </c>
      <c r="AA130" s="35">
        <f t="shared" si="23"/>
        <v>20406.679996422543</v>
      </c>
      <c r="AB130" s="80">
        <f t="shared" si="23"/>
        <v>20814.813596350992</v>
      </c>
      <c r="AC130" s="35">
        <f t="shared" si="23"/>
        <v>21231.109868278014</v>
      </c>
      <c r="AD130" s="35">
        <f t="shared" si="23"/>
        <v>21655.732065643573</v>
      </c>
      <c r="AE130" s="35">
        <f t="shared" si="23"/>
        <v>22088.846706956447</v>
      </c>
      <c r="AF130" s="35">
        <f t="shared" si="23"/>
        <v>22530.623641095579</v>
      </c>
      <c r="AG130" s="35">
        <f t="shared" si="23"/>
        <v>22981.23611391749</v>
      </c>
      <c r="AH130" s="35">
        <f t="shared" si="23"/>
        <v>23440.86083619584</v>
      </c>
      <c r="AI130" s="35">
        <f t="shared" si="23"/>
        <v>23909.678052919757</v>
      </c>
      <c r="AJ130" s="35">
        <f t="shared" si="23"/>
        <v>24387.87161397815</v>
      </c>
    </row>
    <row r="131" spans="7:38" ht="15" hidden="1" customHeight="1" x14ac:dyDescent="0.2">
      <c r="G131" s="17"/>
      <c r="H131" s="17"/>
      <c r="I131" s="13"/>
      <c r="J131" s="13"/>
      <c r="K131" s="35"/>
      <c r="L131" s="35"/>
      <c r="M131" s="35"/>
      <c r="N131" s="35"/>
      <c r="O131" s="35"/>
      <c r="P131" s="35"/>
      <c r="Q131" s="35"/>
      <c r="R131" s="35"/>
      <c r="S131" s="35"/>
      <c r="T131" s="35"/>
      <c r="U131" s="35"/>
      <c r="V131" s="35"/>
      <c r="W131" s="35"/>
      <c r="X131" s="35"/>
      <c r="Y131" s="35"/>
      <c r="Z131" s="35"/>
      <c r="AA131" s="35"/>
      <c r="AB131" s="80"/>
      <c r="AC131" s="35"/>
      <c r="AD131" s="35"/>
      <c r="AE131" s="35"/>
      <c r="AF131" s="35"/>
      <c r="AG131" s="35"/>
      <c r="AH131" s="35"/>
      <c r="AI131" s="35"/>
      <c r="AJ131" s="35"/>
    </row>
    <row r="132" spans="7:38" ht="15" hidden="1" customHeight="1" x14ac:dyDescent="0.2">
      <c r="G132" s="17" t="s">
        <v>14</v>
      </c>
      <c r="H132" s="17"/>
      <c r="I132" s="13"/>
      <c r="J132" s="13"/>
      <c r="K132" s="35">
        <f>SUM(K127:K130)</f>
        <v>93226.576615200029</v>
      </c>
      <c r="L132" s="35">
        <f t="shared" ref="L132:Z132" si="24">SUM(L127:L130)</f>
        <v>98225.56478750403</v>
      </c>
      <c r="M132" s="35">
        <f t="shared" si="24"/>
        <v>103512.60012165412</v>
      </c>
      <c r="N132" s="35">
        <f t="shared" si="24"/>
        <v>109104.7276047912</v>
      </c>
      <c r="O132" s="35">
        <f t="shared" si="24"/>
        <v>115020.01016643328</v>
      </c>
      <c r="P132" s="35">
        <f t="shared" si="24"/>
        <v>121277.58965988096</v>
      </c>
      <c r="Q132" s="35">
        <f t="shared" si="24"/>
        <v>127897.75150060473</v>
      </c>
      <c r="R132" s="35">
        <f t="shared" si="24"/>
        <v>134901.99318099458</v>
      </c>
      <c r="S132" s="35">
        <f t="shared" si="24"/>
        <v>142313.09689401486</v>
      </c>
      <c r="T132" s="35">
        <f t="shared" si="24"/>
        <v>150155.20651225958</v>
      </c>
      <c r="U132" s="35">
        <f t="shared" si="24"/>
        <v>158453.90918369105</v>
      </c>
      <c r="V132" s="35">
        <f t="shared" si="24"/>
        <v>167236.32182102234</v>
      </c>
      <c r="W132" s="35">
        <f t="shared" si="24"/>
        <v>176531.18277831972</v>
      </c>
      <c r="X132" s="35">
        <f t="shared" si="24"/>
        <v>186368.94902601562</v>
      </c>
      <c r="Y132" s="35">
        <f t="shared" si="24"/>
        <v>196781.89915419323</v>
      </c>
      <c r="Z132" s="35">
        <f t="shared" si="24"/>
        <v>207804.24255379383</v>
      </c>
      <c r="AA132" s="35">
        <f t="shared" ref="AA132:AH132" si="25">SUM(AA127:AA130)</f>
        <v>219472.23514637747</v>
      </c>
      <c r="AB132" s="80">
        <f t="shared" si="25"/>
        <v>231824.30205530318</v>
      </c>
      <c r="AC132" s="35">
        <f t="shared" si="25"/>
        <v>244901.16763476736</v>
      </c>
      <c r="AD132" s="35">
        <f t="shared" si="25"/>
        <v>258745.99329812228</v>
      </c>
      <c r="AE132" s="35">
        <f t="shared" si="25"/>
        <v>273404.52361338388</v>
      </c>
      <c r="AF132" s="35">
        <f t="shared" si="25"/>
        <v>288925.24116190866</v>
      </c>
      <c r="AG132" s="35">
        <f t="shared" si="25"/>
        <v>305359.53068597941</v>
      </c>
      <c r="AH132" s="35">
        <f t="shared" si="25"/>
        <v>322761.85308258142</v>
      </c>
      <c r="AI132" s="35">
        <f>SUM(AI127:AI130)</f>
        <v>341189.92983408854</v>
      </c>
      <c r="AJ132" s="35">
        <f>SUM(AJ127:AJ130)</f>
        <v>360704.93850201706</v>
      </c>
    </row>
    <row r="133" spans="7:38" ht="15" hidden="1" customHeight="1" x14ac:dyDescent="0.2">
      <c r="G133" s="17" t="s">
        <v>435</v>
      </c>
      <c r="H133" s="17"/>
      <c r="I133" s="13"/>
      <c r="J133" s="13"/>
      <c r="K133" s="35">
        <f>K132</f>
        <v>93226.576615200029</v>
      </c>
      <c r="L133" s="35">
        <f t="shared" ref="L133:AJ133" si="26">K133+L132</f>
        <v>191452.14140270406</v>
      </c>
      <c r="M133" s="35">
        <f t="shared" si="26"/>
        <v>294964.74152435816</v>
      </c>
      <c r="N133" s="35">
        <f t="shared" si="26"/>
        <v>404069.46912914934</v>
      </c>
      <c r="O133" s="35">
        <f t="shared" si="26"/>
        <v>519089.47929558263</v>
      </c>
      <c r="P133" s="35">
        <f t="shared" si="26"/>
        <v>640367.06895546359</v>
      </c>
      <c r="Q133" s="35">
        <f t="shared" si="26"/>
        <v>768264.82045606826</v>
      </c>
      <c r="R133" s="35">
        <f t="shared" si="26"/>
        <v>903166.81363706291</v>
      </c>
      <c r="S133" s="35">
        <f t="shared" si="26"/>
        <v>1045479.9105310778</v>
      </c>
      <c r="T133" s="35">
        <f t="shared" si="26"/>
        <v>1195635.1170433373</v>
      </c>
      <c r="U133" s="35">
        <f t="shared" si="26"/>
        <v>1354089.0262270283</v>
      </c>
      <c r="V133" s="35">
        <f t="shared" si="26"/>
        <v>1521325.3480480507</v>
      </c>
      <c r="W133" s="35">
        <f t="shared" si="26"/>
        <v>1697856.5308263705</v>
      </c>
      <c r="X133" s="35">
        <f t="shared" si="26"/>
        <v>1884225.4798523861</v>
      </c>
      <c r="Y133" s="35">
        <f t="shared" si="26"/>
        <v>2081007.3790065793</v>
      </c>
      <c r="Z133" s="35">
        <f t="shared" si="26"/>
        <v>2288811.6215603733</v>
      </c>
      <c r="AA133" s="35">
        <f t="shared" si="26"/>
        <v>2508283.8567067506</v>
      </c>
      <c r="AB133" s="80">
        <f t="shared" si="26"/>
        <v>2740108.1587620536</v>
      </c>
      <c r="AC133" s="35">
        <f t="shared" si="26"/>
        <v>2985009.3263968211</v>
      </c>
      <c r="AD133" s="35">
        <f t="shared" si="26"/>
        <v>3243755.3196949433</v>
      </c>
      <c r="AE133" s="35">
        <f t="shared" si="26"/>
        <v>3517159.8433083273</v>
      </c>
      <c r="AF133" s="35">
        <f t="shared" si="26"/>
        <v>3806085.0844702357</v>
      </c>
      <c r="AG133" s="35">
        <f t="shared" si="26"/>
        <v>4111444.6151562151</v>
      </c>
      <c r="AH133" s="35">
        <f t="shared" si="26"/>
        <v>4434206.468238797</v>
      </c>
      <c r="AI133" s="35">
        <f t="shared" si="26"/>
        <v>4775396.3980728853</v>
      </c>
      <c r="AJ133" s="35">
        <f t="shared" si="26"/>
        <v>5136101.3365749028</v>
      </c>
      <c r="AL133" s="986"/>
    </row>
    <row r="134" spans="7:38" ht="15" hidden="1" customHeight="1" x14ac:dyDescent="0.2">
      <c r="G134" s="17"/>
      <c r="H134" s="17"/>
      <c r="I134" s="13"/>
      <c r="J134" s="13"/>
      <c r="K134" s="17"/>
      <c r="L134" s="17"/>
      <c r="M134" s="17"/>
      <c r="N134" s="17"/>
      <c r="O134" s="17"/>
      <c r="P134" s="17"/>
      <c r="Q134" s="17"/>
      <c r="R134" s="17"/>
      <c r="S134" s="17"/>
      <c r="T134" s="17"/>
      <c r="U134" s="17"/>
      <c r="V134" s="17"/>
      <c r="W134" s="17"/>
      <c r="X134" s="17"/>
      <c r="Y134" s="17"/>
      <c r="Z134" s="17"/>
      <c r="AA134" s="17"/>
      <c r="AB134" s="82"/>
      <c r="AC134" s="17"/>
      <c r="AD134" s="17"/>
      <c r="AE134" s="17"/>
      <c r="AF134" s="17"/>
      <c r="AG134" s="17"/>
      <c r="AH134" s="17"/>
      <c r="AI134" s="17"/>
      <c r="AJ134" s="17"/>
    </row>
    <row r="135" spans="7:38" ht="15" hidden="1" customHeight="1" x14ac:dyDescent="0.2">
      <c r="G135" s="17" t="s">
        <v>17</v>
      </c>
      <c r="H135" s="17"/>
      <c r="I135" s="13"/>
      <c r="J135" s="13"/>
      <c r="K135" s="35">
        <f>K132/(((Data!$P$186/100)+1)^K$70)</f>
        <v>93226.576615200029</v>
      </c>
      <c r="L135" s="35">
        <f>L132/(((Data!$P$186/100)+1)^L$70)</f>
        <v>94903.927330921782</v>
      </c>
      <c r="M135" s="35">
        <f>M132/(((Data!$P$186/100)+1)^M$70)</f>
        <v>96630.119836312762</v>
      </c>
      <c r="N135" s="35">
        <f>N132/(((Data!$P$186/100)+1)^N$70)</f>
        <v>98406.213217037948</v>
      </c>
      <c r="O135" s="35">
        <f>O132/(((Data!$P$186/100)+1)^O$70)</f>
        <v>100233.29388934906</v>
      </c>
      <c r="P135" s="35">
        <f>P132/(((Data!$P$186/100)+1)^P$70)</f>
        <v>102112.47623489858</v>
      </c>
      <c r="Q135" s="35">
        <f>Q132/(((Data!$P$186/100)+1)^Q$70)</f>
        <v>104044.9032512548</v>
      </c>
      <c r="R135" s="35">
        <f>R132/(((Data!$P$186/100)+1)^R$70)</f>
        <v>106031.74721849196</v>
      </c>
      <c r="S135" s="35">
        <f>S132/(((Data!$P$186/100)+1)^S$70)</f>
        <v>108074.21038223788</v>
      </c>
      <c r="T135" s="35">
        <f>T132/(((Data!$P$186/100)+1)^T$70)</f>
        <v>110173.52565357251</v>
      </c>
      <c r="U135" s="35">
        <f>U132/(((Data!$P$186/100)+1)^U$70)</f>
        <v>112330.95732617824</v>
      </c>
      <c r="V135" s="35">
        <f>V132/(((Data!$P$186/100)+1)^V$70)</f>
        <v>114547.80181115444</v>
      </c>
      <c r="W135" s="35">
        <f>W132/(((Data!$P$186/100)+1)^W$70)</f>
        <v>116825.38838991751</v>
      </c>
      <c r="X135" s="35">
        <f>X132/(((Data!$P$186/100)+1)^X$70)</f>
        <v>119165.07998561855</v>
      </c>
      <c r="Y135" s="35">
        <f>Y132/(((Data!$P$186/100)+1)^Y$70)</f>
        <v>121568.27395352122</v>
      </c>
      <c r="Z135" s="35">
        <f>Z132/(((Data!$P$186/100)+1)^Z$70)</f>
        <v>124036.402890793</v>
      </c>
      <c r="AA135" s="35">
        <f>AA132/(((Data!$P$186/100)+1)^AA$70)</f>
        <v>126570.93546617385</v>
      </c>
      <c r="AB135" s="80">
        <f>AB132/(((Data!$P$186/100)+1)^AB$70)</f>
        <v>129173.37726999797</v>
      </c>
      <c r="AC135" s="35">
        <f>AC132/(((Data!$P$186/100)+1)^AC$70)</f>
        <v>131845.27168505639</v>
      </c>
      <c r="AD135" s="35">
        <f>AD132/(((Data!$P$186/100)+1)^AD$70)</f>
        <v>134588.20077879771</v>
      </c>
      <c r="AE135" s="35">
        <f>AE132/(((Data!$P$186/100)+1)^AE$70)</f>
        <v>137403.78621737985</v>
      </c>
      <c r="AF135" s="35">
        <f>AF132/(((Data!$P$186/100)+1)^AF$70)</f>
        <v>140293.69020209505</v>
      </c>
      <c r="AG135" s="35">
        <f>AG132/(((Data!$P$186/100)+1)^AG$70)</f>
        <v>143259.61642870464</v>
      </c>
      <c r="AH135" s="35">
        <f>AH132/(((Data!$P$186/100)+1)^AH$70)</f>
        <v>146303.31107023283</v>
      </c>
      <c r="AI135" s="35">
        <f>AI132/(((Data!$P$186/100)+1)^AI$70)</f>
        <v>149426.56378378195</v>
      </c>
      <c r="AJ135" s="35">
        <f>AJ132/(((Data!$P$186/100)+1)^AJ$70)</f>
        <v>152631.20874194498</v>
      </c>
      <c r="AL135" s="986"/>
    </row>
    <row r="136" spans="7:38" ht="15" hidden="1" customHeight="1" x14ac:dyDescent="0.2">
      <c r="G136" s="15" t="s">
        <v>254</v>
      </c>
      <c r="H136" s="15"/>
      <c r="I136" s="13"/>
      <c r="J136" s="13"/>
      <c r="K136" s="36">
        <f>K135</f>
        <v>93226.576615200029</v>
      </c>
      <c r="L136" s="36">
        <f t="shared" ref="L136:AJ136" si="27">K136+L135</f>
        <v>188130.50394612181</v>
      </c>
      <c r="M136" s="36">
        <f t="shared" si="27"/>
        <v>284760.62378243456</v>
      </c>
      <c r="N136" s="36">
        <f t="shared" si="27"/>
        <v>383166.83699947252</v>
      </c>
      <c r="O136" s="36">
        <f t="shared" si="27"/>
        <v>483400.13088882156</v>
      </c>
      <c r="P136" s="36">
        <f t="shared" si="27"/>
        <v>585512.60712372011</v>
      </c>
      <c r="Q136" s="36">
        <f t="shared" si="27"/>
        <v>689557.51037497493</v>
      </c>
      <c r="R136" s="36">
        <f t="shared" si="27"/>
        <v>795589.2575934669</v>
      </c>
      <c r="S136" s="36">
        <f t="shared" si="27"/>
        <v>903663.46797570481</v>
      </c>
      <c r="T136" s="36">
        <f t="shared" si="27"/>
        <v>1013836.9936292773</v>
      </c>
      <c r="U136" s="36">
        <f t="shared" si="27"/>
        <v>1126167.9509554557</v>
      </c>
      <c r="V136" s="36">
        <f t="shared" si="27"/>
        <v>1240715.7527666101</v>
      </c>
      <c r="W136" s="36">
        <f t="shared" si="27"/>
        <v>1357541.1411565277</v>
      </c>
      <c r="X136" s="36">
        <f t="shared" si="27"/>
        <v>1476706.2211421463</v>
      </c>
      <c r="Y136" s="36">
        <f t="shared" si="27"/>
        <v>1598274.4950956674</v>
      </c>
      <c r="Z136" s="36">
        <f t="shared" si="27"/>
        <v>1722310.8979864605</v>
      </c>
      <c r="AA136" s="36">
        <f t="shared" si="27"/>
        <v>1848881.8334526343</v>
      </c>
      <c r="AB136" s="83">
        <f t="shared" si="27"/>
        <v>1978055.2107226322</v>
      </c>
      <c r="AC136" s="36">
        <f t="shared" si="27"/>
        <v>2109900.4824076886</v>
      </c>
      <c r="AD136" s="36">
        <f t="shared" si="27"/>
        <v>2244488.6831864864</v>
      </c>
      <c r="AE136" s="36">
        <f t="shared" si="27"/>
        <v>2381892.4694038662</v>
      </c>
      <c r="AF136" s="36">
        <f t="shared" si="27"/>
        <v>2522186.1596059613</v>
      </c>
      <c r="AG136" s="36">
        <f t="shared" si="27"/>
        <v>2665445.7760346658</v>
      </c>
      <c r="AH136" s="36">
        <f t="shared" si="27"/>
        <v>2811749.0871048984</v>
      </c>
      <c r="AI136" s="36">
        <f t="shared" si="27"/>
        <v>2961175.6508886805</v>
      </c>
      <c r="AJ136" s="36">
        <f t="shared" si="27"/>
        <v>3113806.8596306257</v>
      </c>
      <c r="AL136" s="986"/>
    </row>
    <row r="137" spans="7:38" ht="15" hidden="1" customHeight="1" x14ac:dyDescent="0.2">
      <c r="R137" s="8"/>
      <c r="T137" s="9"/>
    </row>
    <row r="138" spans="7:38" ht="15" hidden="1" customHeight="1" x14ac:dyDescent="0.2">
      <c r="G138" s="906" t="s">
        <v>530</v>
      </c>
      <c r="H138" s="839"/>
      <c r="I138" s="839"/>
      <c r="J138" s="839"/>
      <c r="K138" s="917"/>
      <c r="L138" s="917"/>
      <c r="M138" s="917"/>
      <c r="N138" s="917"/>
      <c r="O138" s="917"/>
      <c r="P138" s="917"/>
      <c r="Q138" s="917"/>
      <c r="R138" s="917"/>
      <c r="S138" s="917"/>
      <c r="T138" s="917"/>
      <c r="U138" s="917"/>
      <c r="V138" s="917"/>
      <c r="W138" s="917"/>
      <c r="X138" s="917"/>
      <c r="Y138" s="917"/>
      <c r="Z138" s="917"/>
      <c r="AA138" s="917"/>
      <c r="AB138" s="918"/>
      <c r="AC138" s="917"/>
      <c r="AD138" s="917"/>
      <c r="AE138" s="917"/>
      <c r="AF138" s="917"/>
      <c r="AG138" s="917"/>
      <c r="AH138" s="917"/>
      <c r="AI138" s="917"/>
      <c r="AJ138" s="917"/>
    </row>
    <row r="139" spans="7:38" ht="15" hidden="1" customHeight="1" x14ac:dyDescent="0.2">
      <c r="G139" s="839"/>
      <c r="H139" s="839"/>
      <c r="I139" s="839"/>
      <c r="J139" s="839"/>
      <c r="K139" s="917"/>
      <c r="L139" s="917"/>
      <c r="M139" s="917"/>
      <c r="N139" s="917"/>
      <c r="O139" s="917"/>
      <c r="P139" s="917"/>
      <c r="Q139" s="917"/>
      <c r="R139" s="917"/>
      <c r="S139" s="917"/>
      <c r="T139" s="917"/>
      <c r="U139" s="917"/>
      <c r="V139" s="917"/>
      <c r="W139" s="917"/>
      <c r="X139" s="917"/>
      <c r="Y139" s="917"/>
      <c r="Z139" s="917"/>
      <c r="AA139" s="917"/>
      <c r="AB139" s="918"/>
      <c r="AC139" s="917"/>
      <c r="AD139" s="917"/>
      <c r="AE139" s="917"/>
      <c r="AF139" s="917"/>
      <c r="AG139" s="917"/>
      <c r="AH139" s="917"/>
      <c r="AI139" s="917"/>
      <c r="AJ139" s="917"/>
    </row>
    <row r="140" spans="7:38" ht="15" hidden="1" customHeight="1" x14ac:dyDescent="0.2">
      <c r="G140" s="839" t="s">
        <v>478</v>
      </c>
      <c r="H140" s="839"/>
      <c r="I140" s="839"/>
      <c r="J140" s="839"/>
      <c r="K140" s="925">
        <f>IF(K$70&lt;$AC$38,VLOOKUP($I$15,$G$75:$AJ$79,K$70+5,FALSE),VLOOKUP($AA$15,$G$75:$AJ$79,K$70+5,FALSE))</f>
        <v>0.17072999999999999</v>
      </c>
      <c r="L140" s="925">
        <f>IF(L$70&lt;$AC$38,VLOOKUP($I$15,$G$75:$AJ$79,L$70+5,FALSE),VLOOKUP($AA$15,$G$75:$AJ$79,L$70+5,FALSE))</f>
        <v>0.17072999999999999</v>
      </c>
      <c r="M140" s="925">
        <f t="shared" ref="M140:AJ140" si="28">IF(M$70&lt;$AC$38,VLOOKUP($I$15,$G$75:$AJ$79,M$70+5,FALSE),VLOOKUP($AA$15,$G$75:$AJ$79,M$70+5,FALSE))</f>
        <v>0.17072999999999999</v>
      </c>
      <c r="N140" s="925">
        <f t="shared" si="28"/>
        <v>0.17072999999999999</v>
      </c>
      <c r="O140" s="925">
        <f t="shared" si="28"/>
        <v>0.17072999999999999</v>
      </c>
      <c r="P140" s="925">
        <f t="shared" si="28"/>
        <v>0.17072999999999999</v>
      </c>
      <c r="Q140" s="925">
        <f t="shared" si="28"/>
        <v>0.17072999999999999</v>
      </c>
      <c r="R140" s="925">
        <f t="shared" si="28"/>
        <v>0.17072999999999999</v>
      </c>
      <c r="S140" s="925">
        <f t="shared" si="28"/>
        <v>0.17072999999999999</v>
      </c>
      <c r="T140" s="925">
        <f t="shared" si="28"/>
        <v>0.17072999999999999</v>
      </c>
      <c r="U140" s="925">
        <f t="shared" si="28"/>
        <v>0.17072999999999999</v>
      </c>
      <c r="V140" s="925">
        <f t="shared" si="28"/>
        <v>0.17072999999999999</v>
      </c>
      <c r="W140" s="925">
        <f t="shared" si="28"/>
        <v>0.17072999999999999</v>
      </c>
      <c r="X140" s="925">
        <f t="shared" si="28"/>
        <v>0.17072999999999999</v>
      </c>
      <c r="Y140" s="925">
        <f t="shared" si="28"/>
        <v>0.17072999999999999</v>
      </c>
      <c r="Z140" s="925">
        <f t="shared" si="28"/>
        <v>0.17072999999999999</v>
      </c>
      <c r="AA140" s="925">
        <f t="shared" si="28"/>
        <v>0.17072999999999999</v>
      </c>
      <c r="AB140" s="925">
        <f t="shared" si="28"/>
        <v>0.17072999999999999</v>
      </c>
      <c r="AC140" s="925">
        <f t="shared" si="28"/>
        <v>0.17072999999999999</v>
      </c>
      <c r="AD140" s="925">
        <f t="shared" si="28"/>
        <v>0.17072999999999999</v>
      </c>
      <c r="AE140" s="925">
        <f t="shared" si="28"/>
        <v>0.17072999999999999</v>
      </c>
      <c r="AF140" s="925">
        <f t="shared" si="28"/>
        <v>0.17072999999999999</v>
      </c>
      <c r="AG140" s="925">
        <f t="shared" si="28"/>
        <v>0.17072999999999999</v>
      </c>
      <c r="AH140" s="925">
        <f t="shared" si="28"/>
        <v>0.17072999999999999</v>
      </c>
      <c r="AI140" s="925">
        <f t="shared" si="28"/>
        <v>0.17072999999999999</v>
      </c>
      <c r="AJ140" s="925">
        <f t="shared" si="28"/>
        <v>0.17072999999999999</v>
      </c>
      <c r="AL140" s="986"/>
    </row>
    <row r="141" spans="7:38" ht="15" hidden="1" customHeight="1" x14ac:dyDescent="0.2">
      <c r="G141" s="839" t="s">
        <v>479</v>
      </c>
      <c r="H141" s="839"/>
      <c r="I141" s="839"/>
      <c r="J141" s="839"/>
      <c r="K141" s="925">
        <f>IF(K$70&lt;$AC$38,VLOOKUP($I$15,$G$81:$AJ$85,K$70+5,FALSE),VLOOKUP($AA$15,$G$81:$AJ$85,K$70+5,FALSE))</f>
        <v>0.09</v>
      </c>
      <c r="L141" s="925">
        <f>IF(L$70&lt;$AC$38,VLOOKUP($I$15,$G$81:$AJ$85,L$70+5,FALSE),VLOOKUP($AA$15,$G$81:$AJ$85,L$70+5,FALSE))</f>
        <v>9.5399999999999999E-2</v>
      </c>
      <c r="M141" s="925">
        <f t="shared" ref="M141:AJ141" si="29">IF(M$70&lt;$AC$38,VLOOKUP($I$15,$G$81:$AJ$85,M$70+5,FALSE),VLOOKUP($AA$15,$G$81:$AJ$85,M$70+5,FALSE))</f>
        <v>0.10112400000000001</v>
      </c>
      <c r="N141" s="925">
        <f t="shared" si="29"/>
        <v>0.10719144000000001</v>
      </c>
      <c r="O141" s="925">
        <f t="shared" si="29"/>
        <v>0.11362292640000002</v>
      </c>
      <c r="P141" s="925">
        <f t="shared" si="29"/>
        <v>0.12044030198400002</v>
      </c>
      <c r="Q141" s="925">
        <f t="shared" si="29"/>
        <v>0.12766672010304003</v>
      </c>
      <c r="R141" s="925">
        <f t="shared" si="29"/>
        <v>0.13532672330922244</v>
      </c>
      <c r="S141" s="925">
        <f t="shared" si="29"/>
        <v>0.1434463267077758</v>
      </c>
      <c r="T141" s="925">
        <f t="shared" si="29"/>
        <v>0.15205310631024235</v>
      </c>
      <c r="U141" s="925">
        <f t="shared" si="29"/>
        <v>0.16117629268885691</v>
      </c>
      <c r="V141" s="925">
        <f t="shared" si="29"/>
        <v>0.17084687025018833</v>
      </c>
      <c r="W141" s="925">
        <f t="shared" si="29"/>
        <v>0.18109768246519964</v>
      </c>
      <c r="X141" s="925">
        <f t="shared" si="29"/>
        <v>0.19196354341311161</v>
      </c>
      <c r="Y141" s="925">
        <f t="shared" si="29"/>
        <v>0.20348135601789832</v>
      </c>
      <c r="Z141" s="925">
        <f t="shared" si="29"/>
        <v>0.21569023737897222</v>
      </c>
      <c r="AA141" s="925">
        <f t="shared" si="29"/>
        <v>0.22863165162171056</v>
      </c>
      <c r="AB141" s="925">
        <f t="shared" si="29"/>
        <v>0.24234955071901321</v>
      </c>
      <c r="AC141" s="925">
        <f t="shared" si="29"/>
        <v>0.25689052376215399</v>
      </c>
      <c r="AD141" s="925">
        <f t="shared" si="29"/>
        <v>0.27230395518788325</v>
      </c>
      <c r="AE141" s="925">
        <f t="shared" si="29"/>
        <v>0.28864219249915624</v>
      </c>
      <c r="AF141" s="925">
        <f t="shared" si="29"/>
        <v>0.30596072404910563</v>
      </c>
      <c r="AG141" s="925">
        <f t="shared" si="29"/>
        <v>0.32431836749205201</v>
      </c>
      <c r="AH141" s="925">
        <f t="shared" si="29"/>
        <v>0.34377746954157512</v>
      </c>
      <c r="AI141" s="925">
        <f t="shared" si="29"/>
        <v>0.36440411771406966</v>
      </c>
      <c r="AJ141" s="925">
        <f t="shared" si="29"/>
        <v>0.38626836477691384</v>
      </c>
      <c r="AL141" s="986"/>
    </row>
    <row r="142" spans="7:38" ht="15" hidden="1" customHeight="1" x14ac:dyDescent="0.2">
      <c r="G142" s="839"/>
      <c r="H142" s="839"/>
      <c r="I142" s="839"/>
      <c r="J142" s="839"/>
      <c r="K142" s="839"/>
      <c r="L142" s="839"/>
      <c r="M142" s="839"/>
      <c r="N142" s="839"/>
      <c r="O142" s="839"/>
      <c r="P142" s="839"/>
      <c r="Q142" s="839"/>
      <c r="R142" s="839"/>
      <c r="S142" s="839"/>
      <c r="T142" s="839"/>
      <c r="U142" s="839"/>
      <c r="V142" s="839"/>
      <c r="W142" s="839"/>
      <c r="X142" s="839"/>
      <c r="Y142" s="839"/>
      <c r="Z142" s="839"/>
      <c r="AA142" s="839"/>
      <c r="AB142" s="922"/>
      <c r="AC142" s="839"/>
      <c r="AD142" s="839"/>
      <c r="AE142" s="839"/>
      <c r="AF142" s="839"/>
      <c r="AG142" s="839"/>
      <c r="AH142" s="839"/>
      <c r="AI142" s="839"/>
      <c r="AJ142" s="839"/>
    </row>
    <row r="143" spans="7:38" ht="15" hidden="1" customHeight="1" x14ac:dyDescent="0.2">
      <c r="G143" s="839" t="s">
        <v>4</v>
      </c>
      <c r="H143" s="839"/>
      <c r="I143" s="839"/>
      <c r="J143" s="839"/>
      <c r="K143" s="920"/>
      <c r="L143" s="920"/>
      <c r="M143" s="920"/>
      <c r="N143" s="920"/>
      <c r="O143" s="920"/>
      <c r="P143" s="920"/>
      <c r="Q143" s="920"/>
      <c r="R143" s="920"/>
      <c r="S143" s="920"/>
      <c r="T143" s="920"/>
      <c r="U143" s="920"/>
      <c r="V143" s="920"/>
      <c r="W143" s="920"/>
      <c r="X143" s="920"/>
      <c r="Y143" s="920"/>
      <c r="Z143" s="920"/>
      <c r="AA143" s="920"/>
      <c r="AB143" s="921"/>
      <c r="AC143" s="920"/>
      <c r="AD143" s="920"/>
      <c r="AE143" s="920"/>
      <c r="AF143" s="920"/>
      <c r="AG143" s="920"/>
      <c r="AH143" s="920"/>
      <c r="AI143" s="920"/>
      <c r="AJ143" s="920"/>
    </row>
    <row r="144" spans="7:38" ht="15" hidden="1" customHeight="1" x14ac:dyDescent="0.2">
      <c r="G144" s="839" t="s">
        <v>5</v>
      </c>
      <c r="H144" s="839"/>
      <c r="I144" s="839"/>
      <c r="J144" s="839"/>
      <c r="K144" s="920"/>
      <c r="L144" s="920"/>
      <c r="M144" s="920"/>
      <c r="N144" s="920"/>
      <c r="O144" s="920"/>
      <c r="P144" s="920"/>
      <c r="Q144" s="920"/>
      <c r="R144" s="920"/>
      <c r="S144" s="920"/>
      <c r="T144" s="920"/>
      <c r="U144" s="920"/>
      <c r="V144" s="920"/>
      <c r="W144" s="920"/>
      <c r="X144" s="920"/>
      <c r="Y144" s="920"/>
      <c r="Z144" s="920"/>
      <c r="AA144" s="920"/>
      <c r="AB144" s="921"/>
      <c r="AC144" s="920"/>
      <c r="AD144" s="920"/>
      <c r="AE144" s="920"/>
      <c r="AF144" s="920"/>
      <c r="AG144" s="920"/>
      <c r="AH144" s="920"/>
      <c r="AI144" s="920"/>
      <c r="AJ144" s="920"/>
    </row>
    <row r="145" spans="7:36" ht="15" hidden="1" customHeight="1" x14ac:dyDescent="0.2">
      <c r="G145" s="839" t="s">
        <v>6</v>
      </c>
      <c r="H145" s="839"/>
      <c r="I145" s="839"/>
      <c r="J145" s="839"/>
      <c r="K145" s="917">
        <f t="shared" ref="K145:AI145" si="30">IF(K$70&lt;$AC$38,$J$11,$AB$11)</f>
        <v>1243832.0000000002</v>
      </c>
      <c r="L145" s="917">
        <f>IF(L$70&lt;$AC$38,$J$11,$AB$11)</f>
        <v>1243832.0000000002</v>
      </c>
      <c r="M145" s="917">
        <f t="shared" si="30"/>
        <v>1243832.0000000002</v>
      </c>
      <c r="N145" s="917">
        <f t="shared" si="30"/>
        <v>1243832.0000000002</v>
      </c>
      <c r="O145" s="917">
        <f t="shared" si="30"/>
        <v>1243832.0000000002</v>
      </c>
      <c r="P145" s="917">
        <f t="shared" si="30"/>
        <v>1243832.0000000002</v>
      </c>
      <c r="Q145" s="917">
        <f t="shared" si="30"/>
        <v>1243832.0000000002</v>
      </c>
      <c r="R145" s="917">
        <f t="shared" si="30"/>
        <v>1243832.0000000002</v>
      </c>
      <c r="S145" s="917">
        <f t="shared" si="30"/>
        <v>1243832.0000000002</v>
      </c>
      <c r="T145" s="917">
        <f t="shared" si="30"/>
        <v>1243832.0000000002</v>
      </c>
      <c r="U145" s="917">
        <f t="shared" si="30"/>
        <v>1243832.0000000002</v>
      </c>
      <c r="V145" s="917">
        <f t="shared" si="30"/>
        <v>1243832.0000000002</v>
      </c>
      <c r="W145" s="917">
        <f t="shared" si="30"/>
        <v>1243832.0000000002</v>
      </c>
      <c r="X145" s="917">
        <f t="shared" si="30"/>
        <v>1243832.0000000002</v>
      </c>
      <c r="Y145" s="917">
        <f t="shared" si="30"/>
        <v>1243832.0000000002</v>
      </c>
      <c r="Z145" s="917">
        <f t="shared" si="30"/>
        <v>1243832.0000000002</v>
      </c>
      <c r="AA145" s="917">
        <f t="shared" si="30"/>
        <v>1243832.0000000002</v>
      </c>
      <c r="AB145" s="917">
        <f t="shared" si="30"/>
        <v>1243832.0000000002</v>
      </c>
      <c r="AC145" s="917">
        <f t="shared" si="30"/>
        <v>1243832.0000000002</v>
      </c>
      <c r="AD145" s="917">
        <f t="shared" si="30"/>
        <v>1243832.0000000002</v>
      </c>
      <c r="AE145" s="917">
        <f t="shared" si="30"/>
        <v>1243832.0000000002</v>
      </c>
      <c r="AF145" s="917">
        <f t="shared" si="30"/>
        <v>1243832.0000000002</v>
      </c>
      <c r="AG145" s="917">
        <f t="shared" si="30"/>
        <v>1243832.0000000002</v>
      </c>
      <c r="AH145" s="917">
        <f t="shared" si="30"/>
        <v>1243832.0000000002</v>
      </c>
      <c r="AI145" s="917">
        <f t="shared" si="30"/>
        <v>1243832.0000000002</v>
      </c>
      <c r="AJ145" s="917">
        <f>IF(AJ$70&lt;$AC$38,$J$11,$AB$11)</f>
        <v>1243832.0000000002</v>
      </c>
    </row>
    <row r="146" spans="7:36" ht="15" hidden="1" customHeight="1" x14ac:dyDescent="0.2">
      <c r="G146" s="839"/>
      <c r="H146" s="839"/>
      <c r="I146" s="839"/>
      <c r="J146" s="839"/>
      <c r="K146" s="917"/>
      <c r="L146" s="917"/>
      <c r="M146" s="917"/>
      <c r="N146" s="917"/>
      <c r="O146" s="917"/>
      <c r="P146" s="917"/>
      <c r="Q146" s="917"/>
      <c r="R146" s="917"/>
      <c r="S146" s="917"/>
      <c r="T146" s="917"/>
      <c r="U146" s="917"/>
      <c r="V146" s="917"/>
      <c r="W146" s="917"/>
      <c r="X146" s="917"/>
      <c r="Y146" s="917"/>
      <c r="Z146" s="917"/>
      <c r="AA146" s="917"/>
      <c r="AB146" s="918"/>
      <c r="AC146" s="917"/>
      <c r="AD146" s="917"/>
      <c r="AE146" s="917"/>
      <c r="AF146" s="917"/>
      <c r="AG146" s="917"/>
      <c r="AH146" s="917"/>
      <c r="AI146" s="917"/>
      <c r="AJ146" s="917"/>
    </row>
    <row r="147" spans="7:36" ht="15" hidden="1" customHeight="1" x14ac:dyDescent="0.2">
      <c r="G147" s="839" t="s">
        <v>7</v>
      </c>
      <c r="H147" s="839"/>
      <c r="I147" s="839"/>
      <c r="J147" s="839"/>
      <c r="K147" s="920"/>
      <c r="L147" s="920"/>
      <c r="M147" s="920"/>
      <c r="N147" s="920"/>
      <c r="O147" s="920"/>
      <c r="P147" s="920"/>
      <c r="Q147" s="920"/>
      <c r="R147" s="920"/>
      <c r="S147" s="920"/>
      <c r="T147" s="920"/>
      <c r="U147" s="920"/>
      <c r="V147" s="920"/>
      <c r="W147" s="920"/>
      <c r="X147" s="920"/>
      <c r="Y147" s="920"/>
      <c r="Z147" s="920"/>
      <c r="AA147" s="920"/>
      <c r="AB147" s="921"/>
      <c r="AC147" s="920"/>
      <c r="AD147" s="920"/>
      <c r="AE147" s="920"/>
      <c r="AF147" s="920"/>
      <c r="AG147" s="920"/>
      <c r="AH147" s="920"/>
      <c r="AI147" s="920"/>
      <c r="AJ147" s="920"/>
    </row>
    <row r="148" spans="7:36" ht="15" hidden="1" customHeight="1" x14ac:dyDescent="0.2">
      <c r="G148" s="839" t="s">
        <v>8</v>
      </c>
      <c r="H148" s="839"/>
      <c r="I148" s="839"/>
      <c r="J148" s="839"/>
      <c r="K148" s="920"/>
      <c r="L148" s="920"/>
      <c r="M148" s="920"/>
      <c r="N148" s="920"/>
      <c r="O148" s="920"/>
      <c r="P148" s="920"/>
      <c r="Q148" s="920"/>
      <c r="R148" s="920"/>
      <c r="S148" s="920"/>
      <c r="T148" s="920"/>
      <c r="U148" s="920"/>
      <c r="V148" s="920"/>
      <c r="W148" s="920"/>
      <c r="X148" s="920"/>
      <c r="Y148" s="920"/>
      <c r="Z148" s="920"/>
      <c r="AA148" s="920"/>
      <c r="AB148" s="921"/>
      <c r="AC148" s="920"/>
      <c r="AD148" s="920"/>
      <c r="AE148" s="920"/>
      <c r="AF148" s="920"/>
      <c r="AG148" s="920"/>
      <c r="AH148" s="920"/>
      <c r="AI148" s="920"/>
      <c r="AJ148" s="920"/>
    </row>
    <row r="149" spans="7:36" ht="15" hidden="1" customHeight="1" x14ac:dyDescent="0.2">
      <c r="G149" s="839" t="s">
        <v>9</v>
      </c>
      <c r="H149" s="839"/>
      <c r="I149" s="839"/>
      <c r="J149" s="839"/>
      <c r="K149" s="917">
        <f>K$140*K145</f>
        <v>212359.43736000004</v>
      </c>
      <c r="L149" s="917">
        <f t="shared" ref="L149:AJ149" si="31">L$140*L145</f>
        <v>212359.43736000004</v>
      </c>
      <c r="M149" s="917">
        <f t="shared" si="31"/>
        <v>212359.43736000004</v>
      </c>
      <c r="N149" s="917">
        <f t="shared" si="31"/>
        <v>212359.43736000004</v>
      </c>
      <c r="O149" s="917">
        <f t="shared" si="31"/>
        <v>212359.43736000004</v>
      </c>
      <c r="P149" s="917">
        <f t="shared" si="31"/>
        <v>212359.43736000004</v>
      </c>
      <c r="Q149" s="917">
        <f t="shared" si="31"/>
        <v>212359.43736000004</v>
      </c>
      <c r="R149" s="917">
        <f t="shared" si="31"/>
        <v>212359.43736000004</v>
      </c>
      <c r="S149" s="917">
        <f t="shared" si="31"/>
        <v>212359.43736000004</v>
      </c>
      <c r="T149" s="917">
        <f t="shared" si="31"/>
        <v>212359.43736000004</v>
      </c>
      <c r="U149" s="917">
        <f t="shared" si="31"/>
        <v>212359.43736000004</v>
      </c>
      <c r="V149" s="917">
        <f t="shared" si="31"/>
        <v>212359.43736000004</v>
      </c>
      <c r="W149" s="917">
        <f t="shared" si="31"/>
        <v>212359.43736000004</v>
      </c>
      <c r="X149" s="917">
        <f t="shared" si="31"/>
        <v>212359.43736000004</v>
      </c>
      <c r="Y149" s="917">
        <f t="shared" si="31"/>
        <v>212359.43736000004</v>
      </c>
      <c r="Z149" s="917">
        <f t="shared" si="31"/>
        <v>212359.43736000004</v>
      </c>
      <c r="AA149" s="917">
        <f t="shared" si="31"/>
        <v>212359.43736000004</v>
      </c>
      <c r="AB149" s="917">
        <f t="shared" si="31"/>
        <v>212359.43736000004</v>
      </c>
      <c r="AC149" s="917">
        <f t="shared" si="31"/>
        <v>212359.43736000004</v>
      </c>
      <c r="AD149" s="917">
        <f t="shared" si="31"/>
        <v>212359.43736000004</v>
      </c>
      <c r="AE149" s="917">
        <f t="shared" si="31"/>
        <v>212359.43736000004</v>
      </c>
      <c r="AF149" s="917">
        <f t="shared" si="31"/>
        <v>212359.43736000004</v>
      </c>
      <c r="AG149" s="917">
        <f t="shared" si="31"/>
        <v>212359.43736000004</v>
      </c>
      <c r="AH149" s="917">
        <f t="shared" si="31"/>
        <v>212359.43736000004</v>
      </c>
      <c r="AI149" s="917">
        <f t="shared" si="31"/>
        <v>212359.43736000004</v>
      </c>
      <c r="AJ149" s="917">
        <f t="shared" si="31"/>
        <v>212359.43736000004</v>
      </c>
    </row>
    <row r="150" spans="7:36" ht="15" hidden="1" customHeight="1" x14ac:dyDescent="0.2">
      <c r="G150" s="839"/>
      <c r="H150" s="839"/>
      <c r="I150" s="839"/>
      <c r="J150" s="839"/>
      <c r="K150" s="917"/>
      <c r="L150" s="917"/>
      <c r="M150" s="917"/>
      <c r="N150" s="917"/>
      <c r="O150" s="917"/>
      <c r="P150" s="917"/>
      <c r="Q150" s="917"/>
      <c r="R150" s="917"/>
      <c r="S150" s="917"/>
      <c r="T150" s="917"/>
      <c r="U150" s="917"/>
      <c r="V150" s="917"/>
      <c r="W150" s="917"/>
      <c r="X150" s="917"/>
      <c r="Y150" s="917"/>
      <c r="Z150" s="917"/>
      <c r="AA150" s="917"/>
      <c r="AB150" s="918"/>
      <c r="AC150" s="917"/>
      <c r="AD150" s="917"/>
      <c r="AE150" s="917"/>
      <c r="AF150" s="917"/>
      <c r="AG150" s="917"/>
      <c r="AH150" s="917"/>
      <c r="AI150" s="917"/>
      <c r="AJ150" s="917"/>
    </row>
    <row r="151" spans="7:36" ht="15" hidden="1" customHeight="1" x14ac:dyDescent="0.2">
      <c r="G151" s="839" t="s">
        <v>10</v>
      </c>
      <c r="H151" s="839"/>
      <c r="I151" s="839"/>
      <c r="J151" s="839"/>
      <c r="K151" s="918">
        <f>IF($AC$43=0,IF(K70=$AC$38,$AC$37,0),IF(K$70=$AC$38,$AC$37*K$87,IF(OR(AND($AC$38=0,K$70=$AC$38),AND(K$70&gt;=$AC$38+$AC$43,INT((K$70-$AC$38)/($AC$43))=(K$70-$AC$38)/($AC$43))),$AC$42*K$87,0)))</f>
        <v>0</v>
      </c>
      <c r="L151" s="918">
        <f t="shared" ref="L151:AJ151" si="32">IF($AC$43=0,IF(L70=$AC$38,$AC$37,0),IF(L$70=$AC$38,$AC$37*L$87,IF(OR(AND($AC$38=0,L$70=$AC$38),AND(L$70&gt;=$AC$38+$AC$43,INT((L$70-$AC$38)/($AC$43))=(L$70-$AC$38)/($AC$43))),$AC$42*L$87,0)))</f>
        <v>0</v>
      </c>
      <c r="M151" s="918">
        <f t="shared" si="32"/>
        <v>0</v>
      </c>
      <c r="N151" s="918">
        <f t="shared" si="32"/>
        <v>0</v>
      </c>
      <c r="O151" s="918">
        <f t="shared" si="32"/>
        <v>0</v>
      </c>
      <c r="P151" s="918">
        <f t="shared" si="32"/>
        <v>0</v>
      </c>
      <c r="Q151" s="918">
        <f t="shared" si="32"/>
        <v>0</v>
      </c>
      <c r="R151" s="918">
        <f t="shared" si="32"/>
        <v>0</v>
      </c>
      <c r="S151" s="918">
        <f t="shared" si="32"/>
        <v>0</v>
      </c>
      <c r="T151" s="918">
        <f t="shared" si="32"/>
        <v>0</v>
      </c>
      <c r="U151" s="918">
        <f t="shared" si="32"/>
        <v>0</v>
      </c>
      <c r="V151" s="918">
        <f t="shared" si="32"/>
        <v>0</v>
      </c>
      <c r="W151" s="918">
        <f t="shared" si="32"/>
        <v>0</v>
      </c>
      <c r="X151" s="918">
        <f t="shared" si="32"/>
        <v>0</v>
      </c>
      <c r="Y151" s="918">
        <f t="shared" si="32"/>
        <v>0</v>
      </c>
      <c r="Z151" s="918">
        <f t="shared" si="32"/>
        <v>0</v>
      </c>
      <c r="AA151" s="918">
        <f t="shared" si="32"/>
        <v>0</v>
      </c>
      <c r="AB151" s="918">
        <f t="shared" si="32"/>
        <v>0</v>
      </c>
      <c r="AC151" s="918">
        <f t="shared" si="32"/>
        <v>0</v>
      </c>
      <c r="AD151" s="918">
        <f t="shared" si="32"/>
        <v>0</v>
      </c>
      <c r="AE151" s="918">
        <f t="shared" si="32"/>
        <v>0</v>
      </c>
      <c r="AF151" s="918">
        <f t="shared" si="32"/>
        <v>0</v>
      </c>
      <c r="AG151" s="918">
        <f t="shared" si="32"/>
        <v>0</v>
      </c>
      <c r="AH151" s="918">
        <f t="shared" si="32"/>
        <v>0</v>
      </c>
      <c r="AI151" s="918">
        <f t="shared" si="32"/>
        <v>0</v>
      </c>
      <c r="AJ151" s="918">
        <f t="shared" si="32"/>
        <v>0</v>
      </c>
    </row>
    <row r="152" spans="7:36" ht="15" hidden="1" customHeight="1" x14ac:dyDescent="0.2">
      <c r="G152" s="839" t="s">
        <v>11</v>
      </c>
      <c r="H152" s="839"/>
      <c r="I152" s="839"/>
      <c r="J152" s="839"/>
      <c r="K152" s="917">
        <f t="shared" ref="K152:AJ152" si="33">IF(K$70&lt;$AC$38,($K$40*K$87)-($K$41*K$87),($AC$40*K$87)-($AC$41*K$87))</f>
        <v>0</v>
      </c>
      <c r="L152" s="917">
        <f t="shared" si="33"/>
        <v>0</v>
      </c>
      <c r="M152" s="917">
        <f t="shared" si="33"/>
        <v>0</v>
      </c>
      <c r="N152" s="917">
        <f t="shared" si="33"/>
        <v>0</v>
      </c>
      <c r="O152" s="917">
        <f t="shared" si="33"/>
        <v>0</v>
      </c>
      <c r="P152" s="917">
        <f t="shared" si="33"/>
        <v>0</v>
      </c>
      <c r="Q152" s="917">
        <f t="shared" si="33"/>
        <v>0</v>
      </c>
      <c r="R152" s="917">
        <f t="shared" si="33"/>
        <v>0</v>
      </c>
      <c r="S152" s="917">
        <f t="shared" si="33"/>
        <v>0</v>
      </c>
      <c r="T152" s="917">
        <f t="shared" si="33"/>
        <v>0</v>
      </c>
      <c r="U152" s="917">
        <f t="shared" si="33"/>
        <v>0</v>
      </c>
      <c r="V152" s="917">
        <f t="shared" si="33"/>
        <v>0</v>
      </c>
      <c r="W152" s="917">
        <f t="shared" si="33"/>
        <v>0</v>
      </c>
      <c r="X152" s="917">
        <f t="shared" si="33"/>
        <v>0</v>
      </c>
      <c r="Y152" s="917">
        <f t="shared" si="33"/>
        <v>0</v>
      </c>
      <c r="Z152" s="917">
        <f t="shared" si="33"/>
        <v>0</v>
      </c>
      <c r="AA152" s="917">
        <f t="shared" si="33"/>
        <v>0</v>
      </c>
      <c r="AB152" s="917">
        <f t="shared" si="33"/>
        <v>0</v>
      </c>
      <c r="AC152" s="917">
        <f t="shared" si="33"/>
        <v>0</v>
      </c>
      <c r="AD152" s="917">
        <f t="shared" si="33"/>
        <v>0</v>
      </c>
      <c r="AE152" s="917">
        <f t="shared" si="33"/>
        <v>0</v>
      </c>
      <c r="AF152" s="917">
        <f t="shared" si="33"/>
        <v>0</v>
      </c>
      <c r="AG152" s="917">
        <f t="shared" si="33"/>
        <v>0</v>
      </c>
      <c r="AH152" s="917">
        <f t="shared" si="33"/>
        <v>0</v>
      </c>
      <c r="AI152" s="917">
        <f t="shared" si="33"/>
        <v>0</v>
      </c>
      <c r="AJ152" s="917">
        <f t="shared" si="33"/>
        <v>0</v>
      </c>
    </row>
    <row r="153" spans="7:36" ht="15" hidden="1" customHeight="1" x14ac:dyDescent="0.2">
      <c r="G153" s="839" t="s">
        <v>12</v>
      </c>
      <c r="H153" s="839"/>
      <c r="I153" s="839"/>
      <c r="J153" s="839"/>
      <c r="K153" s="917">
        <f>K$141*K145</f>
        <v>111944.88000000002</v>
      </c>
      <c r="L153" s="917">
        <f t="shared" ref="L153:AJ153" si="34">L$141*L145</f>
        <v>118661.57280000002</v>
      </c>
      <c r="M153" s="917">
        <f t="shared" si="34"/>
        <v>125781.26716800003</v>
      </c>
      <c r="N153" s="917">
        <f t="shared" si="34"/>
        <v>133328.14319808004</v>
      </c>
      <c r="O153" s="917">
        <f t="shared" si="34"/>
        <v>141327.83178996484</v>
      </c>
      <c r="P153" s="917">
        <f t="shared" si="34"/>
        <v>149807.50169736275</v>
      </c>
      <c r="Q153" s="917">
        <f t="shared" si="34"/>
        <v>158795.95179920451</v>
      </c>
      <c r="R153" s="917">
        <f t="shared" si="34"/>
        <v>168323.7089071568</v>
      </c>
      <c r="S153" s="917">
        <f t="shared" si="34"/>
        <v>178423.13144158621</v>
      </c>
      <c r="T153" s="917">
        <f t="shared" si="34"/>
        <v>189128.5193280814</v>
      </c>
      <c r="U153" s="917">
        <f t="shared" si="34"/>
        <v>200476.2304877663</v>
      </c>
      <c r="V153" s="917">
        <f t="shared" si="34"/>
        <v>212504.80431703228</v>
      </c>
      <c r="W153" s="917">
        <f t="shared" si="34"/>
        <v>225255.09257605425</v>
      </c>
      <c r="X153" s="917">
        <f t="shared" si="34"/>
        <v>238770.39813061748</v>
      </c>
      <c r="Y153" s="917">
        <f t="shared" si="34"/>
        <v>253096.62201845457</v>
      </c>
      <c r="Z153" s="917">
        <f t="shared" si="34"/>
        <v>268282.41933956183</v>
      </c>
      <c r="AA153" s="917">
        <f t="shared" si="34"/>
        <v>284379.36449993553</v>
      </c>
      <c r="AB153" s="917">
        <f t="shared" si="34"/>
        <v>301442.12636993168</v>
      </c>
      <c r="AC153" s="917">
        <f t="shared" si="34"/>
        <v>319528.65395212756</v>
      </c>
      <c r="AD153" s="917">
        <f t="shared" si="34"/>
        <v>338700.37318925525</v>
      </c>
      <c r="AE153" s="917">
        <f t="shared" si="34"/>
        <v>359022.39558061055</v>
      </c>
      <c r="AF153" s="917">
        <f t="shared" si="34"/>
        <v>380563.73931544722</v>
      </c>
      <c r="AG153" s="917">
        <f t="shared" si="34"/>
        <v>403397.56367437413</v>
      </c>
      <c r="AH153" s="917">
        <f t="shared" si="34"/>
        <v>427601.41749483655</v>
      </c>
      <c r="AI153" s="917">
        <f t="shared" si="34"/>
        <v>453257.50254452677</v>
      </c>
      <c r="AJ153" s="917">
        <f t="shared" si="34"/>
        <v>480452.95269719837</v>
      </c>
    </row>
    <row r="154" spans="7:36" ht="15" hidden="1" customHeight="1" x14ac:dyDescent="0.2">
      <c r="G154" s="839" t="s">
        <v>13</v>
      </c>
      <c r="H154" s="839"/>
      <c r="I154" s="839"/>
      <c r="J154" s="839"/>
      <c r="K154" s="917">
        <f t="shared" ref="K154:AJ154" si="35">K$88*K149</f>
        <v>21235.943736000005</v>
      </c>
      <c r="L154" s="917">
        <f t="shared" si="35"/>
        <v>21660.662610720006</v>
      </c>
      <c r="M154" s="917">
        <f t="shared" si="35"/>
        <v>22093.875862934405</v>
      </c>
      <c r="N154" s="917">
        <f t="shared" si="35"/>
        <v>22535.753380193095</v>
      </c>
      <c r="O154" s="917">
        <f t="shared" si="35"/>
        <v>22986.468447796957</v>
      </c>
      <c r="P154" s="917">
        <f t="shared" si="35"/>
        <v>23446.197816752898</v>
      </c>
      <c r="Q154" s="917">
        <f t="shared" si="35"/>
        <v>23915.121773087954</v>
      </c>
      <c r="R154" s="917">
        <f t="shared" si="35"/>
        <v>24393.424208549714</v>
      </c>
      <c r="S154" s="917">
        <f t="shared" si="35"/>
        <v>24881.292692720708</v>
      </c>
      <c r="T154" s="917">
        <f t="shared" si="35"/>
        <v>25378.918546575122</v>
      </c>
      <c r="U154" s="917">
        <f t="shared" si="35"/>
        <v>25886.496917506625</v>
      </c>
      <c r="V154" s="917">
        <f t="shared" si="35"/>
        <v>26404.226855856756</v>
      </c>
      <c r="W154" s="917">
        <f t="shared" si="35"/>
        <v>26932.31139297389</v>
      </c>
      <c r="X154" s="917">
        <f t="shared" si="35"/>
        <v>27470.957620833367</v>
      </c>
      <c r="Y154" s="917">
        <f t="shared" si="35"/>
        <v>28020.376773250038</v>
      </c>
      <c r="Z154" s="917">
        <f t="shared" si="35"/>
        <v>28580.78430871504</v>
      </c>
      <c r="AA154" s="917">
        <f t="shared" si="35"/>
        <v>29152.399994889343</v>
      </c>
      <c r="AB154" s="918">
        <f t="shared" si="35"/>
        <v>29735.44799478713</v>
      </c>
      <c r="AC154" s="917">
        <f t="shared" si="35"/>
        <v>30330.156954682872</v>
      </c>
      <c r="AD154" s="917">
        <f t="shared" si="35"/>
        <v>30936.760093776531</v>
      </c>
      <c r="AE154" s="917">
        <f t="shared" si="35"/>
        <v>31555.495295652061</v>
      </c>
      <c r="AF154" s="917">
        <f t="shared" si="35"/>
        <v>32186.605201565104</v>
      </c>
      <c r="AG154" s="917">
        <f t="shared" si="35"/>
        <v>32830.337305596411</v>
      </c>
      <c r="AH154" s="917">
        <f t="shared" si="35"/>
        <v>33486.944051708335</v>
      </c>
      <c r="AI154" s="917">
        <f t="shared" si="35"/>
        <v>34156.6829327425</v>
      </c>
      <c r="AJ154" s="917">
        <f t="shared" si="35"/>
        <v>34839.81659139735</v>
      </c>
    </row>
    <row r="155" spans="7:36" ht="15" hidden="1" customHeight="1" x14ac:dyDescent="0.2">
      <c r="G155" s="839"/>
      <c r="H155" s="839"/>
      <c r="I155" s="839"/>
      <c r="J155" s="839"/>
      <c r="K155" s="917"/>
      <c r="L155" s="917"/>
      <c r="M155" s="917"/>
      <c r="N155" s="917"/>
      <c r="O155" s="917"/>
      <c r="P155" s="917"/>
      <c r="Q155" s="917"/>
      <c r="R155" s="917"/>
      <c r="S155" s="917"/>
      <c r="T155" s="917"/>
      <c r="U155" s="917"/>
      <c r="V155" s="917"/>
      <c r="W155" s="917"/>
      <c r="X155" s="917"/>
      <c r="Y155" s="917"/>
      <c r="Z155" s="917"/>
      <c r="AA155" s="917"/>
      <c r="AB155" s="918"/>
      <c r="AC155" s="917"/>
      <c r="AD155" s="917"/>
      <c r="AE155" s="917"/>
      <c r="AF155" s="917"/>
      <c r="AG155" s="917"/>
      <c r="AH155" s="917"/>
      <c r="AI155" s="917"/>
      <c r="AJ155" s="917"/>
    </row>
    <row r="156" spans="7:36" ht="15" hidden="1" customHeight="1" x14ac:dyDescent="0.2">
      <c r="G156" s="839" t="s">
        <v>14</v>
      </c>
      <c r="H156" s="839"/>
      <c r="I156" s="839"/>
      <c r="J156" s="839"/>
      <c r="K156" s="917">
        <f>SUM(K151:K154)</f>
        <v>133180.82373600002</v>
      </c>
      <c r="L156" s="917">
        <f t="shared" ref="L156:Z156" si="36">SUM(L151:L154)</f>
        <v>140322.23541072002</v>
      </c>
      <c r="M156" s="917">
        <f t="shared" si="36"/>
        <v>147875.14303093444</v>
      </c>
      <c r="N156" s="917">
        <f t="shared" si="36"/>
        <v>155863.89657827312</v>
      </c>
      <c r="O156" s="917">
        <f t="shared" si="36"/>
        <v>164314.30023776181</v>
      </c>
      <c r="P156" s="917">
        <f t="shared" si="36"/>
        <v>173253.69951411564</v>
      </c>
      <c r="Q156" s="917">
        <f t="shared" si="36"/>
        <v>182711.07357229246</v>
      </c>
      <c r="R156" s="917">
        <f t="shared" si="36"/>
        <v>192717.13311570653</v>
      </c>
      <c r="S156" s="917">
        <f t="shared" si="36"/>
        <v>203304.42413430693</v>
      </c>
      <c r="T156" s="917">
        <f t="shared" si="36"/>
        <v>214507.43787465652</v>
      </c>
      <c r="U156" s="917">
        <f t="shared" si="36"/>
        <v>226362.72740527292</v>
      </c>
      <c r="V156" s="917">
        <f t="shared" si="36"/>
        <v>238909.03117288902</v>
      </c>
      <c r="W156" s="917">
        <f t="shared" si="36"/>
        <v>252187.40396902815</v>
      </c>
      <c r="X156" s="917">
        <f t="shared" si="36"/>
        <v>266241.35575145087</v>
      </c>
      <c r="Y156" s="917">
        <f t="shared" si="36"/>
        <v>281116.99879170459</v>
      </c>
      <c r="Z156" s="917">
        <f t="shared" si="36"/>
        <v>296863.20364827686</v>
      </c>
      <c r="AA156" s="917">
        <f t="shared" ref="AA156:AH156" si="37">SUM(AA151:AA154)</f>
        <v>313531.76449482486</v>
      </c>
      <c r="AB156" s="918">
        <f t="shared" si="37"/>
        <v>331177.57436471881</v>
      </c>
      <c r="AC156" s="917">
        <f t="shared" si="37"/>
        <v>349858.81090681045</v>
      </c>
      <c r="AD156" s="917">
        <f t="shared" si="37"/>
        <v>369637.13328303176</v>
      </c>
      <c r="AE156" s="917">
        <f t="shared" si="37"/>
        <v>390577.89087626262</v>
      </c>
      <c r="AF156" s="917">
        <f t="shared" si="37"/>
        <v>412750.3445170123</v>
      </c>
      <c r="AG156" s="917">
        <f t="shared" si="37"/>
        <v>436227.90097997052</v>
      </c>
      <c r="AH156" s="917">
        <f t="shared" si="37"/>
        <v>461088.36154654488</v>
      </c>
      <c r="AI156" s="917">
        <f>SUM(AI151:AI154)</f>
        <v>487414.18547726929</v>
      </c>
      <c r="AJ156" s="917">
        <f>SUM(AJ151:AJ154)</f>
        <v>515292.76928859571</v>
      </c>
    </row>
    <row r="157" spans="7:36" ht="15" hidden="1" customHeight="1" x14ac:dyDescent="0.2">
      <c r="G157" s="839" t="s">
        <v>436</v>
      </c>
      <c r="H157" s="839"/>
      <c r="I157" s="839"/>
      <c r="J157" s="839"/>
      <c r="K157" s="917">
        <f>K156</f>
        <v>133180.82373600002</v>
      </c>
      <c r="L157" s="917">
        <f t="shared" ref="L157:AJ157" si="38">K157+L156</f>
        <v>273503.05914672004</v>
      </c>
      <c r="M157" s="917">
        <f t="shared" si="38"/>
        <v>421378.20217765449</v>
      </c>
      <c r="N157" s="917">
        <f t="shared" si="38"/>
        <v>577242.09875592764</v>
      </c>
      <c r="O157" s="917">
        <f t="shared" si="38"/>
        <v>741556.39899368945</v>
      </c>
      <c r="P157" s="917">
        <f t="shared" si="38"/>
        <v>914810.09850780503</v>
      </c>
      <c r="Q157" s="917">
        <f t="shared" si="38"/>
        <v>1097521.1720800975</v>
      </c>
      <c r="R157" s="917">
        <f t="shared" si="38"/>
        <v>1290238.305195804</v>
      </c>
      <c r="S157" s="917">
        <f t="shared" si="38"/>
        <v>1493542.7293301108</v>
      </c>
      <c r="T157" s="917">
        <f t="shared" si="38"/>
        <v>1708050.1672047675</v>
      </c>
      <c r="U157" s="917">
        <f t="shared" si="38"/>
        <v>1934412.8946100404</v>
      </c>
      <c r="V157" s="917">
        <f t="shared" si="38"/>
        <v>2173321.9257829292</v>
      </c>
      <c r="W157" s="917">
        <f t="shared" si="38"/>
        <v>2425509.3297519572</v>
      </c>
      <c r="X157" s="917">
        <f t="shared" si="38"/>
        <v>2691750.6855034083</v>
      </c>
      <c r="Y157" s="917">
        <f t="shared" si="38"/>
        <v>2972867.6842951127</v>
      </c>
      <c r="Z157" s="917">
        <f t="shared" si="38"/>
        <v>3269730.8879433898</v>
      </c>
      <c r="AA157" s="917">
        <f t="shared" si="38"/>
        <v>3583262.6524382145</v>
      </c>
      <c r="AB157" s="918">
        <f t="shared" si="38"/>
        <v>3914440.2268029335</v>
      </c>
      <c r="AC157" s="917">
        <f t="shared" si="38"/>
        <v>4264299.0377097437</v>
      </c>
      <c r="AD157" s="917">
        <f t="shared" si="38"/>
        <v>4633936.1709927758</v>
      </c>
      <c r="AE157" s="917">
        <f t="shared" si="38"/>
        <v>5024514.0618690383</v>
      </c>
      <c r="AF157" s="917">
        <f t="shared" si="38"/>
        <v>5437264.4063860504</v>
      </c>
      <c r="AG157" s="917">
        <f t="shared" si="38"/>
        <v>5873492.307366021</v>
      </c>
      <c r="AH157" s="917">
        <f t="shared" si="38"/>
        <v>6334580.6689125663</v>
      </c>
      <c r="AI157" s="917">
        <f t="shared" si="38"/>
        <v>6821994.8543898351</v>
      </c>
      <c r="AJ157" s="917">
        <f t="shared" si="38"/>
        <v>7337287.6236784309</v>
      </c>
    </row>
    <row r="158" spans="7:36" ht="15" hidden="1" customHeight="1" x14ac:dyDescent="0.2">
      <c r="G158" s="839"/>
      <c r="H158" s="839"/>
      <c r="I158" s="839"/>
      <c r="J158" s="839"/>
      <c r="K158" s="839"/>
      <c r="L158" s="839"/>
      <c r="M158" s="839"/>
      <c r="N158" s="839"/>
      <c r="O158" s="839"/>
      <c r="P158" s="839"/>
      <c r="Q158" s="839"/>
      <c r="R158" s="839"/>
      <c r="S158" s="839"/>
      <c r="T158" s="839"/>
      <c r="U158" s="839"/>
      <c r="V158" s="839"/>
      <c r="W158" s="839"/>
      <c r="X158" s="839"/>
      <c r="Y158" s="839"/>
      <c r="Z158" s="839"/>
      <c r="AA158" s="839"/>
      <c r="AB158" s="922"/>
      <c r="AC158" s="839"/>
      <c r="AD158" s="839"/>
      <c r="AE158" s="839"/>
      <c r="AF158" s="839"/>
      <c r="AG158" s="839"/>
      <c r="AH158" s="839"/>
      <c r="AI158" s="839"/>
      <c r="AJ158" s="839"/>
    </row>
    <row r="159" spans="7:36" ht="15" hidden="1" customHeight="1" x14ac:dyDescent="0.2">
      <c r="G159" s="839" t="s">
        <v>17</v>
      </c>
      <c r="H159" s="839"/>
      <c r="I159" s="839"/>
      <c r="J159" s="839"/>
      <c r="K159" s="917">
        <f>K156/(((Data!$P$186/100)+1)^K$70)</f>
        <v>133180.82373600002</v>
      </c>
      <c r="L159" s="917">
        <f>L156/(((Data!$P$186/100)+1)^L$70)</f>
        <v>135577.03904417396</v>
      </c>
      <c r="M159" s="917">
        <f>M156/(((Data!$P$186/100)+1)^M$70)</f>
        <v>138043.02833758964</v>
      </c>
      <c r="N159" s="917">
        <f>N156/(((Data!$P$186/100)+1)^N$70)</f>
        <v>140580.30459576848</v>
      </c>
      <c r="O159" s="917">
        <f>O156/(((Data!$P$186/100)+1)^O$70)</f>
        <v>143190.41984192721</v>
      </c>
      <c r="P159" s="917">
        <f>P156/(((Data!$P$186/100)+1)^P$70)</f>
        <v>145874.96604985508</v>
      </c>
      <c r="Q159" s="917">
        <f>Q156/(((Data!$P$186/100)+1)^Q$70)</f>
        <v>148635.57607322113</v>
      </c>
      <c r="R159" s="917">
        <f>R156/(((Data!$P$186/100)+1)^R$70)</f>
        <v>151473.92459784565</v>
      </c>
      <c r="S159" s="917">
        <f>S156/(((Data!$P$186/100)+1)^S$70)</f>
        <v>154391.72911748267</v>
      </c>
      <c r="T159" s="917">
        <f>T156/(((Data!$P$186/100)+1)^T$70)</f>
        <v>157390.75093367498</v>
      </c>
      <c r="U159" s="917">
        <f>U156/(((Data!$P$186/100)+1)^U$70)</f>
        <v>160472.79618025461</v>
      </c>
      <c r="V159" s="917">
        <f>V156/(((Data!$P$186/100)+1)^V$70)</f>
        <v>163639.71687307773</v>
      </c>
      <c r="W159" s="917">
        <f>W156/(((Data!$P$186/100)+1)^W$70)</f>
        <v>166893.41198559644</v>
      </c>
      <c r="X159" s="917">
        <f>X156/(((Data!$P$186/100)+1)^X$70)</f>
        <v>170235.82855088363</v>
      </c>
      <c r="Y159" s="917">
        <f>Y156/(((Data!$P$186/100)+1)^Y$70)</f>
        <v>173668.96279074458</v>
      </c>
      <c r="Z159" s="917">
        <f>Z156/(((Data!$P$186/100)+1)^Z$70)</f>
        <v>177194.86127256142</v>
      </c>
      <c r="AA159" s="917">
        <f>AA156/(((Data!$P$186/100)+1)^AA$70)</f>
        <v>180815.62209453402</v>
      </c>
      <c r="AB159" s="918">
        <f>AB156/(((Data!$P$186/100)+1)^AB$70)</f>
        <v>184533.3960999971</v>
      </c>
      <c r="AC159" s="917">
        <f>AC156/(((Data!$P$186/100)+1)^AC$70)</f>
        <v>188350.38812150911</v>
      </c>
      <c r="AD159" s="917">
        <f>AD156/(((Data!$P$186/100)+1)^AD$70)</f>
        <v>192268.85825542526</v>
      </c>
      <c r="AE159" s="917">
        <f>AE156/(((Data!$P$186/100)+1)^AE$70)</f>
        <v>196291.12316768547</v>
      </c>
      <c r="AF159" s="917">
        <f>AF156/(((Data!$P$186/100)+1)^AF$70)</f>
        <v>200419.55743156435</v>
      </c>
      <c r="AG159" s="917">
        <f>AG156/(((Data!$P$186/100)+1)^AG$70)</f>
        <v>204656.59489814946</v>
      </c>
      <c r="AH159" s="917">
        <f>AH156/(((Data!$P$186/100)+1)^AH$70)</f>
        <v>209004.73010033258</v>
      </c>
      <c r="AI159" s="917">
        <f>AI156/(((Data!$P$186/100)+1)^AI$70)</f>
        <v>213466.51969111705</v>
      </c>
      <c r="AJ159" s="917">
        <f>AJ156/(((Data!$P$186/100)+1)^AJ$70)</f>
        <v>218044.58391706424</v>
      </c>
    </row>
    <row r="160" spans="7:36" ht="15" hidden="1" customHeight="1" x14ac:dyDescent="0.2">
      <c r="G160" s="859" t="s">
        <v>253</v>
      </c>
      <c r="H160" s="859"/>
      <c r="I160" s="839"/>
      <c r="J160" s="839"/>
      <c r="K160" s="923">
        <f>K159</f>
        <v>133180.82373600002</v>
      </c>
      <c r="L160" s="923">
        <f t="shared" ref="L160:AJ160" si="39">K160+L159</f>
        <v>268757.86278017401</v>
      </c>
      <c r="M160" s="923">
        <f t="shared" si="39"/>
        <v>406800.89111776365</v>
      </c>
      <c r="N160" s="923">
        <f t="shared" si="39"/>
        <v>547381.19571353216</v>
      </c>
      <c r="O160" s="923">
        <f t="shared" si="39"/>
        <v>690571.6155554594</v>
      </c>
      <c r="P160" s="923">
        <f t="shared" si="39"/>
        <v>836446.58160531451</v>
      </c>
      <c r="Q160" s="923">
        <f t="shared" si="39"/>
        <v>985082.15767853567</v>
      </c>
      <c r="R160" s="923">
        <f t="shared" si="39"/>
        <v>1136556.0822763813</v>
      </c>
      <c r="S160" s="923">
        <f t="shared" si="39"/>
        <v>1290947.811393864</v>
      </c>
      <c r="T160" s="923">
        <f t="shared" si="39"/>
        <v>1448338.5623275391</v>
      </c>
      <c r="U160" s="923">
        <f t="shared" si="39"/>
        <v>1608811.3585077936</v>
      </c>
      <c r="V160" s="923">
        <f t="shared" si="39"/>
        <v>1772451.0753808713</v>
      </c>
      <c r="W160" s="923">
        <f t="shared" si="39"/>
        <v>1939344.4873664677</v>
      </c>
      <c r="X160" s="923">
        <f t="shared" si="39"/>
        <v>2109580.3159173513</v>
      </c>
      <c r="Y160" s="923">
        <f t="shared" si="39"/>
        <v>2283249.2787080957</v>
      </c>
      <c r="Z160" s="923">
        <f t="shared" si="39"/>
        <v>2460444.139980657</v>
      </c>
      <c r="AA160" s="923">
        <f t="shared" si="39"/>
        <v>2641259.7620751909</v>
      </c>
      <c r="AB160" s="924">
        <f t="shared" si="39"/>
        <v>2825793.1581751881</v>
      </c>
      <c r="AC160" s="923">
        <f t="shared" si="39"/>
        <v>3014143.5462966971</v>
      </c>
      <c r="AD160" s="923">
        <f t="shared" si="39"/>
        <v>3206412.4045521226</v>
      </c>
      <c r="AE160" s="923">
        <f t="shared" si="39"/>
        <v>3402703.5277198078</v>
      </c>
      <c r="AF160" s="923">
        <f t="shared" si="39"/>
        <v>3603123.085151372</v>
      </c>
      <c r="AG160" s="923">
        <f t="shared" si="39"/>
        <v>3807779.6800495214</v>
      </c>
      <c r="AH160" s="923">
        <f t="shared" si="39"/>
        <v>4016784.4101498541</v>
      </c>
      <c r="AI160" s="923">
        <f t="shared" si="39"/>
        <v>4230250.9298409708</v>
      </c>
      <c r="AJ160" s="923">
        <f t="shared" si="39"/>
        <v>4448295.5137580354</v>
      </c>
    </row>
    <row r="308" spans="7:36" ht="15" customHeight="1" x14ac:dyDescent="0.2">
      <c r="G308" s="10"/>
    </row>
    <row r="309" spans="7:36" ht="15" customHeight="1" x14ac:dyDescent="0.2">
      <c r="G309" s="421"/>
    </row>
    <row r="310" spans="7:36" ht="15" customHeight="1" x14ac:dyDescent="0.2">
      <c r="G310" s="10"/>
      <c r="K310" s="67"/>
      <c r="L310" s="67"/>
      <c r="M310" s="67"/>
      <c r="N310" s="67"/>
      <c r="O310" s="67"/>
      <c r="P310" s="67"/>
      <c r="Q310" s="67"/>
      <c r="R310" s="67"/>
      <c r="S310" s="67"/>
      <c r="T310" s="67"/>
      <c r="U310" s="67"/>
      <c r="V310" s="67"/>
      <c r="W310" s="67"/>
      <c r="X310" s="67"/>
      <c r="Y310" s="67"/>
      <c r="Z310" s="67"/>
      <c r="AA310" s="67"/>
      <c r="AB310" s="67"/>
      <c r="AC310" s="67"/>
      <c r="AD310" s="67"/>
      <c r="AE310" s="67"/>
      <c r="AF310" s="67"/>
      <c r="AG310" s="67"/>
      <c r="AH310" s="67"/>
      <c r="AI310" s="67"/>
      <c r="AJ310" s="67"/>
    </row>
    <row r="311" spans="7:36" ht="15" customHeight="1" x14ac:dyDescent="0.2">
      <c r="G311" s="10"/>
      <c r="K311" s="67"/>
      <c r="L311" s="67"/>
      <c r="M311" s="67"/>
      <c r="N311" s="67"/>
      <c r="O311" s="67"/>
      <c r="P311" s="67"/>
      <c r="Q311" s="67"/>
      <c r="R311" s="67"/>
      <c r="S311" s="67"/>
      <c r="T311" s="67"/>
      <c r="U311" s="67"/>
      <c r="V311" s="67"/>
      <c r="W311" s="67"/>
      <c r="X311" s="67"/>
      <c r="Y311" s="67"/>
      <c r="Z311" s="67"/>
      <c r="AA311" s="67"/>
      <c r="AB311" s="67"/>
      <c r="AC311" s="67"/>
      <c r="AD311" s="67"/>
      <c r="AE311" s="67"/>
      <c r="AF311" s="67"/>
      <c r="AG311" s="67"/>
      <c r="AH311" s="67"/>
      <c r="AI311" s="67"/>
      <c r="AJ311" s="67"/>
    </row>
    <row r="312" spans="7:36" ht="15" customHeight="1" x14ac:dyDescent="0.2">
      <c r="G312" s="10"/>
      <c r="K312" s="67"/>
      <c r="L312" s="67"/>
      <c r="M312" s="67"/>
      <c r="N312" s="67"/>
      <c r="O312" s="67"/>
      <c r="P312" s="67"/>
      <c r="Q312" s="67"/>
      <c r="R312" s="67"/>
      <c r="S312" s="67"/>
      <c r="T312" s="67"/>
      <c r="U312" s="67"/>
      <c r="V312" s="67"/>
      <c r="W312" s="67"/>
      <c r="X312" s="67"/>
      <c r="Y312" s="67"/>
      <c r="Z312" s="67"/>
      <c r="AA312" s="67"/>
      <c r="AB312" s="67"/>
      <c r="AC312" s="67"/>
      <c r="AD312" s="67"/>
      <c r="AE312" s="67"/>
      <c r="AF312" s="67"/>
      <c r="AG312" s="67"/>
      <c r="AH312" s="67"/>
      <c r="AI312" s="67"/>
      <c r="AJ312" s="67"/>
    </row>
    <row r="314" spans="7:36" ht="15" customHeight="1" x14ac:dyDescent="0.2">
      <c r="G314" s="531"/>
      <c r="H314" s="66"/>
      <c r="I314" s="66"/>
      <c r="J314" s="66"/>
      <c r="K314" s="66"/>
      <c r="L314" s="66"/>
      <c r="M314" s="66"/>
      <c r="N314" s="66"/>
      <c r="O314" s="66"/>
      <c r="P314" s="66"/>
      <c r="Q314" s="66"/>
      <c r="R314" s="66"/>
      <c r="S314" s="66"/>
      <c r="T314" s="66"/>
      <c r="U314" s="66"/>
      <c r="V314" s="66"/>
      <c r="W314" s="66"/>
      <c r="X314" s="66"/>
      <c r="Y314" s="66"/>
      <c r="Z314" s="66"/>
      <c r="AA314" s="66"/>
      <c r="AB314" s="395"/>
      <c r="AC314" s="66"/>
      <c r="AD314" s="66"/>
      <c r="AE314" s="66"/>
      <c r="AF314" s="66"/>
      <c r="AG314" s="66"/>
      <c r="AH314" s="66"/>
      <c r="AI314" s="66"/>
      <c r="AJ314" s="66"/>
    </row>
    <row r="315" spans="7:36" ht="15" customHeight="1" x14ac:dyDescent="0.2">
      <c r="G315" s="66"/>
      <c r="H315" s="66"/>
      <c r="I315" s="66"/>
      <c r="J315" s="66"/>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row>
    <row r="316" spans="7:36" ht="15" customHeight="1" x14ac:dyDescent="0.2">
      <c r="G316" s="66"/>
      <c r="H316" s="66"/>
      <c r="I316" s="66"/>
      <c r="J316" s="66"/>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row>
    <row r="317" spans="7:36" ht="15" customHeight="1" x14ac:dyDescent="0.2">
      <c r="G317" s="66"/>
      <c r="H317" s="66"/>
      <c r="I317" s="66"/>
      <c r="J317" s="66"/>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row>
    <row r="319" spans="7:36" ht="15" customHeight="1" x14ac:dyDescent="0.2">
      <c r="G319" s="521"/>
      <c r="H319" s="164"/>
      <c r="I319" s="164"/>
      <c r="J319" s="164"/>
      <c r="K319" s="164"/>
      <c r="L319" s="164"/>
      <c r="M319" s="164"/>
      <c r="N319" s="164"/>
      <c r="O319" s="164"/>
      <c r="P319" s="164"/>
      <c r="Q319" s="164"/>
      <c r="R319" s="164"/>
      <c r="S319" s="164"/>
      <c r="T319" s="164"/>
      <c r="U319" s="164"/>
      <c r="V319" s="164"/>
      <c r="W319" s="164"/>
      <c r="X319" s="164"/>
      <c r="Y319" s="164"/>
      <c r="Z319" s="164"/>
      <c r="AA319" s="164"/>
      <c r="AB319" s="396"/>
      <c r="AC319" s="164"/>
      <c r="AD319" s="164"/>
      <c r="AE319" s="164"/>
      <c r="AF319" s="164"/>
      <c r="AG319" s="164"/>
      <c r="AH319" s="164"/>
      <c r="AI319" s="164"/>
      <c r="AJ319" s="164"/>
    </row>
    <row r="320" spans="7:36" ht="15" customHeight="1" x14ac:dyDescent="0.2">
      <c r="G320" s="164"/>
      <c r="H320" s="164"/>
      <c r="I320" s="164"/>
      <c r="J320" s="164"/>
      <c r="K320" s="165"/>
      <c r="L320" s="165"/>
      <c r="M320" s="165"/>
      <c r="N320" s="165"/>
      <c r="O320" s="165"/>
      <c r="P320" s="165"/>
      <c r="Q320" s="165"/>
      <c r="R320" s="165"/>
      <c r="S320" s="165"/>
      <c r="T320" s="165"/>
      <c r="U320" s="165"/>
      <c r="V320" s="165"/>
      <c r="W320" s="165"/>
      <c r="X320" s="165"/>
      <c r="Y320" s="165"/>
      <c r="Z320" s="165"/>
      <c r="AA320" s="165"/>
      <c r="AB320" s="165"/>
      <c r="AC320" s="165"/>
      <c r="AD320" s="165"/>
      <c r="AE320" s="165"/>
      <c r="AF320" s="165"/>
      <c r="AG320" s="165"/>
      <c r="AH320" s="165"/>
      <c r="AI320" s="165"/>
      <c r="AJ320" s="165"/>
    </row>
    <row r="321" spans="7:36" ht="15" customHeight="1" x14ac:dyDescent="0.2">
      <c r="G321" s="164"/>
      <c r="H321" s="164"/>
      <c r="I321" s="164"/>
      <c r="J321" s="164"/>
      <c r="K321" s="165"/>
      <c r="L321" s="165"/>
      <c r="M321" s="165"/>
      <c r="N321" s="165"/>
      <c r="O321" s="165"/>
      <c r="P321" s="165"/>
      <c r="Q321" s="165"/>
      <c r="R321" s="165"/>
      <c r="S321" s="165"/>
      <c r="T321" s="165"/>
      <c r="U321" s="165"/>
      <c r="V321" s="165"/>
      <c r="W321" s="165"/>
      <c r="X321" s="165"/>
      <c r="Y321" s="165"/>
      <c r="Z321" s="165"/>
      <c r="AA321" s="165"/>
      <c r="AB321" s="165"/>
      <c r="AC321" s="165"/>
      <c r="AD321" s="165"/>
      <c r="AE321" s="165"/>
      <c r="AF321" s="165"/>
      <c r="AG321" s="165"/>
      <c r="AH321" s="165"/>
      <c r="AI321" s="165"/>
      <c r="AJ321" s="165"/>
    </row>
    <row r="322" spans="7:36" ht="15" customHeight="1" x14ac:dyDescent="0.2">
      <c r="G322" s="164"/>
      <c r="H322" s="164"/>
      <c r="I322" s="164"/>
      <c r="J322" s="164"/>
      <c r="K322" s="165"/>
      <c r="L322" s="165"/>
      <c r="M322" s="165"/>
      <c r="N322" s="165"/>
      <c r="O322" s="165"/>
      <c r="P322" s="165"/>
      <c r="Q322" s="165"/>
      <c r="R322" s="165"/>
      <c r="S322" s="165"/>
      <c r="T322" s="165"/>
      <c r="U322" s="165"/>
      <c r="V322" s="165"/>
      <c r="W322" s="165"/>
      <c r="X322" s="165"/>
      <c r="Y322" s="165"/>
      <c r="Z322" s="165"/>
      <c r="AA322" s="165"/>
      <c r="AB322" s="165"/>
      <c r="AC322" s="165"/>
      <c r="AD322" s="165"/>
      <c r="AE322" s="165"/>
      <c r="AF322" s="165"/>
      <c r="AG322" s="165"/>
      <c r="AH322" s="165"/>
      <c r="AI322" s="165"/>
      <c r="AJ322" s="165"/>
    </row>
  </sheetData>
  <mergeCells count="5">
    <mergeCell ref="A1:E3"/>
    <mergeCell ref="B31:D31"/>
    <mergeCell ref="B7:D7"/>
    <mergeCell ref="G5:H7"/>
    <mergeCell ref="S10:W10"/>
  </mergeCells>
  <conditionalFormatting sqref="G10">
    <cfRule type="expression" dxfId="363" priority="71">
      <formula>#REF!="No"</formula>
    </cfRule>
  </conditionalFormatting>
  <conditionalFormatting sqref="G11">
    <cfRule type="expression" dxfId="362" priority="116">
      <formula>#REF!="No"</formula>
    </cfRule>
  </conditionalFormatting>
  <conditionalFormatting sqref="G21">
    <cfRule type="expression" dxfId="361" priority="115">
      <formula>#REF!="No"</formula>
    </cfRule>
  </conditionalFormatting>
  <conditionalFormatting sqref="G23:G25">
    <cfRule type="expression" dxfId="360" priority="69">
      <formula>#REF!="No"</formula>
    </cfRule>
  </conditionalFormatting>
  <conditionalFormatting sqref="G37">
    <cfRule type="expression" dxfId="359" priority="36">
      <formula>#REF!="No"</formula>
    </cfRule>
  </conditionalFormatting>
  <conditionalFormatting sqref="G40">
    <cfRule type="expression" dxfId="358" priority="45">
      <formula>#REF!="No"</formula>
    </cfRule>
  </conditionalFormatting>
  <conditionalFormatting sqref="G42">
    <cfRule type="expression" dxfId="357" priority="149">
      <formula>#REF!="No"</formula>
    </cfRule>
  </conditionalFormatting>
  <conditionalFormatting sqref="G43">
    <cfRule type="expression" dxfId="356" priority="35">
      <formula>#REF!="No"</formula>
    </cfRule>
  </conditionalFormatting>
  <conditionalFormatting sqref="G90">
    <cfRule type="expression" dxfId="355" priority="60">
      <formula>#REF!="No"</formula>
    </cfRule>
  </conditionalFormatting>
  <conditionalFormatting sqref="G114">
    <cfRule type="expression" dxfId="354" priority="61">
      <formula>#REF!="No"</formula>
    </cfRule>
  </conditionalFormatting>
  <conditionalFormatting sqref="G138">
    <cfRule type="expression" dxfId="353" priority="59">
      <formula>#REF!="No"</formula>
    </cfRule>
  </conditionalFormatting>
  <conditionalFormatting sqref="G309">
    <cfRule type="expression" dxfId="352" priority="55">
      <formula>#REF!="No"</formula>
    </cfRule>
  </conditionalFormatting>
  <conditionalFormatting sqref="G314">
    <cfRule type="expression" dxfId="351" priority="54">
      <formula>#REF!="No"</formula>
    </cfRule>
  </conditionalFormatting>
  <conditionalFormatting sqref="G319">
    <cfRule type="expression" dxfId="350" priority="53">
      <formula>#REF!="No"</formula>
    </cfRule>
  </conditionalFormatting>
  <conditionalFormatting sqref="J28:J31">
    <cfRule type="expression" dxfId="349" priority="18">
      <formula>NOT(I28="User defined")</formula>
    </cfRule>
  </conditionalFormatting>
  <conditionalFormatting sqref="J34">
    <cfRule type="expression" dxfId="348" priority="21">
      <formula>NOT($I$34="User defined")</formula>
    </cfRule>
  </conditionalFormatting>
  <conditionalFormatting sqref="J89:AJ89">
    <cfRule type="containsText" dxfId="347" priority="42" operator="containsText" text="TRUE">
      <formula>NOT(ISERROR(SEARCH("TRUE",J89)))</formula>
    </cfRule>
  </conditionalFormatting>
  <conditionalFormatting sqref="M10">
    <cfRule type="expression" dxfId="346" priority="37">
      <formula>#REF!="No"</formula>
    </cfRule>
  </conditionalFormatting>
  <conditionalFormatting sqref="M11">
    <cfRule type="expression" dxfId="345" priority="78">
      <formula>#REF!="No"</formula>
    </cfRule>
  </conditionalFormatting>
  <conditionalFormatting sqref="M13">
    <cfRule type="expression" dxfId="344" priority="98">
      <formula>#REF!="No"</formula>
    </cfRule>
  </conditionalFormatting>
  <conditionalFormatting sqref="M23:M25">
    <cfRule type="expression" dxfId="343" priority="67">
      <formula>#REF!="No"</formula>
    </cfRule>
  </conditionalFormatting>
  <conditionalFormatting sqref="M37">
    <cfRule type="expression" dxfId="342" priority="143">
      <formula>#REF!="No"</formula>
    </cfRule>
  </conditionalFormatting>
  <conditionalFormatting sqref="M40">
    <cfRule type="expression" dxfId="341" priority="39">
      <formula>#REF!="No"</formula>
    </cfRule>
  </conditionalFormatting>
  <conditionalFormatting sqref="M42:M43">
    <cfRule type="expression" dxfId="340" priority="33">
      <formula>#REF!="No"</formula>
    </cfRule>
  </conditionalFormatting>
  <conditionalFormatting sqref="P28:P31">
    <cfRule type="expression" dxfId="339" priority="17">
      <formula>NOT(O28="User defined")</formula>
    </cfRule>
  </conditionalFormatting>
  <conditionalFormatting sqref="P34">
    <cfRule type="expression" dxfId="338" priority="20">
      <formula>NOT($O$34="User defined")</formula>
    </cfRule>
  </conditionalFormatting>
  <conditionalFormatting sqref="S10">
    <cfRule type="expression" dxfId="337" priority="22">
      <formula>#REF!="No"</formula>
    </cfRule>
  </conditionalFormatting>
  <conditionalFormatting sqref="S41:S43">
    <cfRule type="expression" dxfId="336" priority="23">
      <formula>#REF!="No"</formula>
    </cfRule>
  </conditionalFormatting>
  <conditionalFormatting sqref="V13">
    <cfRule type="expression" dxfId="335" priority="88">
      <formula>#REF!="No"</formula>
    </cfRule>
  </conditionalFormatting>
  <conditionalFormatting sqref="V42:W43">
    <cfRule type="expression" dxfId="334" priority="24">
      <formula>#REF!="No"</formula>
    </cfRule>
  </conditionalFormatting>
  <conditionalFormatting sqref="Y10:Y14">
    <cfRule type="expression" dxfId="333" priority="26">
      <formula>#REF!="No"</formula>
    </cfRule>
  </conditionalFormatting>
  <conditionalFormatting sqref="Y17">
    <cfRule type="expression" dxfId="332" priority="46">
      <formula>#REF!="No"</formula>
    </cfRule>
  </conditionalFormatting>
  <conditionalFormatting sqref="Y23:Y25">
    <cfRule type="expression" dxfId="331" priority="65">
      <formula>#REF!="No"</formula>
    </cfRule>
  </conditionalFormatting>
  <conditionalFormatting sqref="Y37">
    <cfRule type="expression" dxfId="330" priority="1">
      <formula>#REF!="No"</formula>
    </cfRule>
  </conditionalFormatting>
  <conditionalFormatting sqref="Y40">
    <cfRule type="expression" dxfId="329" priority="32">
      <formula>#REF!="No"</formula>
    </cfRule>
  </conditionalFormatting>
  <conditionalFormatting sqref="Y42:Y43">
    <cfRule type="expression" dxfId="328" priority="30">
      <formula>#REF!="No"</formula>
    </cfRule>
  </conditionalFormatting>
  <conditionalFormatting sqref="AB28:AB31">
    <cfRule type="expression" dxfId="327" priority="16">
      <formula>NOT(AA28="User defined")</formula>
    </cfRule>
  </conditionalFormatting>
  <conditionalFormatting sqref="AB34">
    <cfRule type="expression" dxfId="326" priority="19">
      <formula>NOT($AA$34="User defined")</formula>
    </cfRule>
  </conditionalFormatting>
  <hyperlinks>
    <hyperlink ref="G5:H7" location="SimpleStep2!A1" display="Done" xr:uid="{00000000-0004-0000-0600-000000000000}"/>
  </hyperlinks>
  <pageMargins left="0.25" right="0.25" top="0.75" bottom="0.75" header="0.3" footer="0.3"/>
  <pageSetup paperSize="8" scale="44"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600-000000000000}">
          <x14:formula1>
            <xm:f>Data!$G$40:$G$45</xm:f>
          </x14:formula1>
          <xm:sqref>I28 O28 AA28</xm:sqref>
        </x14:dataValidation>
        <x14:dataValidation type="list" allowBlank="1" showInputMessage="1" showErrorMessage="1" xr:uid="{00000000-0002-0000-0600-000001000000}">
          <x14:formula1>
            <xm:f>Data!$G$58:$G$63</xm:f>
          </x14:formula1>
          <xm:sqref>I30 O30 AA30</xm:sqref>
        </x14:dataValidation>
        <x14:dataValidation type="list" allowBlank="1" showInputMessage="1" showErrorMessage="1" xr:uid="{00000000-0002-0000-0600-000002000000}">
          <x14:formula1>
            <xm:f>Data!$G$66:$G$71</xm:f>
          </x14:formula1>
          <xm:sqref>I31 O31 AA31</xm:sqref>
        </x14:dataValidation>
        <x14:dataValidation type="list" allowBlank="1" showInputMessage="1" showErrorMessage="1" xr:uid="{00000000-0002-0000-0600-000003000000}">
          <x14:formula1>
            <xm:f>Data!$G$74:$G$79</xm:f>
          </x14:formula1>
          <xm:sqref>I34 O34 AA34</xm:sqref>
        </x14:dataValidation>
        <x14:dataValidation type="list" allowBlank="1" showInputMessage="1" showErrorMessage="1" xr:uid="{00000000-0002-0000-0600-000004000000}">
          <x14:formula1>
            <xm:f>Data!$G$48:$G$54</xm:f>
          </x14:formula1>
          <xm:sqref>I29 AA29 O29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BR338"/>
  <sheetViews>
    <sheetView showGridLines="0" topLeftCell="E1" zoomScale="70" zoomScaleNormal="70" zoomScaleSheetLayoutView="50" workbookViewId="0">
      <selection activeCell="G5" sqref="G5:H7"/>
    </sheetView>
  </sheetViews>
  <sheetFormatPr defaultColWidth="8.7109375" defaultRowHeight="15" customHeight="1" x14ac:dyDescent="0.2"/>
  <cols>
    <col min="1" max="1" width="3.7109375" style="847" customWidth="1"/>
    <col min="2" max="2" width="8.85546875" style="844" customWidth="1"/>
    <col min="3" max="3" width="8.7109375" style="852" customWidth="1"/>
    <col min="4" max="4" width="8.7109375" style="846" customWidth="1"/>
    <col min="5" max="5" width="3.7109375" style="845" customWidth="1"/>
    <col min="6" max="8" width="8.7109375" style="1"/>
    <col min="9" max="9" width="25.7109375" style="1" customWidth="1"/>
    <col min="10" max="11" width="12.7109375" style="1" customWidth="1"/>
    <col min="12" max="14" width="8.7109375" style="1"/>
    <col min="15" max="15" width="25.7109375" style="1" customWidth="1"/>
    <col min="16" max="17" width="12.7109375" style="1" customWidth="1"/>
    <col min="18" max="18" width="8.7109375" style="5"/>
    <col min="19" max="26" width="8.7109375" style="1"/>
    <col min="27" max="27" width="25.7109375" style="1" customWidth="1"/>
    <col min="28" max="29" width="12.7109375" style="1" customWidth="1"/>
    <col min="30" max="33" width="8.7109375" style="1"/>
    <col min="34" max="34" width="25.7109375" style="1" customWidth="1"/>
    <col min="35" max="36" width="8.7109375" style="1" customWidth="1"/>
    <col min="37" max="37" width="8.7109375" style="1"/>
    <col min="38" max="38" width="8.7109375" style="986"/>
    <col min="39" max="16384" width="8.7109375" style="1"/>
  </cols>
  <sheetData>
    <row r="1" spans="1:36" ht="15" customHeight="1" x14ac:dyDescent="0.2">
      <c r="A1" s="1062"/>
      <c r="B1" s="1062"/>
      <c r="C1" s="1062"/>
      <c r="D1" s="1062"/>
      <c r="E1" s="1062"/>
    </row>
    <row r="2" spans="1:36" ht="15" customHeight="1" x14ac:dyDescent="0.2">
      <c r="A2" s="1062"/>
      <c r="B2" s="1062"/>
      <c r="C2" s="1062"/>
      <c r="D2" s="1062"/>
      <c r="E2" s="1062"/>
      <c r="H2" s="2"/>
      <c r="I2" s="2"/>
      <c r="J2" s="2"/>
      <c r="K2" s="3"/>
      <c r="L2" s="70"/>
      <c r="M2" s="3"/>
      <c r="N2" s="2"/>
      <c r="O2" s="2"/>
      <c r="P2" s="2"/>
      <c r="Q2" s="4"/>
    </row>
    <row r="3" spans="1:36" ht="15" customHeight="1" x14ac:dyDescent="0.2">
      <c r="A3" s="1062"/>
      <c r="B3" s="1062"/>
      <c r="C3" s="1062"/>
      <c r="D3" s="1062"/>
      <c r="E3" s="1062"/>
    </row>
    <row r="4" spans="1:36" ht="15" customHeight="1" x14ac:dyDescent="0.2">
      <c r="A4" s="842"/>
      <c r="B4" s="842"/>
      <c r="C4" s="842"/>
      <c r="D4" s="842"/>
      <c r="E4" s="842"/>
    </row>
    <row r="5" spans="1:36" ht="15" customHeight="1" x14ac:dyDescent="0.2">
      <c r="A5" s="843"/>
      <c r="B5" s="844" t="s">
        <v>251</v>
      </c>
      <c r="C5" s="843"/>
      <c r="D5" s="843"/>
      <c r="E5" s="843"/>
      <c r="G5" s="1020" t="s">
        <v>201</v>
      </c>
      <c r="H5" s="1020"/>
    </row>
    <row r="6" spans="1:36" ht="15" customHeight="1" x14ac:dyDescent="0.2">
      <c r="A6" s="843"/>
      <c r="C6" s="845"/>
      <c r="E6" s="843"/>
      <c r="F6" s="8"/>
      <c r="G6" s="1020"/>
      <c r="H6" s="1020"/>
      <c r="I6" s="8"/>
      <c r="J6" s="8"/>
      <c r="K6" s="8"/>
      <c r="L6" s="10"/>
      <c r="M6" s="8"/>
      <c r="N6" s="8"/>
      <c r="O6" s="8"/>
      <c r="P6" s="8"/>
      <c r="Q6" s="8"/>
      <c r="R6" s="9"/>
      <c r="U6" s="8"/>
      <c r="V6" s="8"/>
      <c r="W6" s="627"/>
      <c r="X6" s="627"/>
      <c r="Y6" s="8"/>
      <c r="Z6" s="10"/>
      <c r="AA6" s="8"/>
      <c r="AB6" s="8"/>
      <c r="AC6" s="8"/>
      <c r="AD6" s="8"/>
      <c r="AE6" s="8"/>
      <c r="AF6" s="8"/>
      <c r="AG6" s="8"/>
      <c r="AH6" s="8"/>
      <c r="AI6" s="8"/>
      <c r="AJ6" s="8"/>
    </row>
    <row r="7" spans="1:36" ht="15" customHeight="1" x14ac:dyDescent="0.2">
      <c r="A7" s="843"/>
      <c r="B7" s="1063" t="str">
        <f>IF(Step1!K12="New building",Step1!Q12,Step1!K15)</f>
        <v>1-19 Torrington Place</v>
      </c>
      <c r="C7" s="1063"/>
      <c r="D7" s="1063"/>
      <c r="E7" s="843"/>
      <c r="F7" s="8"/>
      <c r="G7" s="1020"/>
      <c r="H7" s="1020"/>
      <c r="I7" s="22"/>
      <c r="J7" s="22"/>
      <c r="K7" s="8"/>
      <c r="L7" s="10"/>
      <c r="M7" s="8"/>
      <c r="N7" s="8"/>
      <c r="O7" s="8"/>
      <c r="P7" s="8"/>
      <c r="Q7" s="8"/>
      <c r="R7" s="9"/>
      <c r="U7" s="8"/>
      <c r="V7" s="8"/>
      <c r="W7" s="627"/>
      <c r="X7" s="627"/>
      <c r="Y7" s="8"/>
      <c r="Z7" s="10"/>
      <c r="AA7" s="8"/>
      <c r="AB7" s="8"/>
      <c r="AC7" s="8"/>
      <c r="AD7" s="8"/>
      <c r="AE7" s="8"/>
      <c r="AF7" s="8"/>
      <c r="AG7" s="8"/>
      <c r="AH7" s="8"/>
      <c r="AI7" s="8"/>
      <c r="AJ7" s="8"/>
    </row>
    <row r="8" spans="1:36" ht="15" customHeight="1" x14ac:dyDescent="0.2">
      <c r="B8" s="848"/>
      <c r="C8" s="845"/>
      <c r="F8" s="8"/>
      <c r="G8" s="8"/>
      <c r="H8" s="22"/>
      <c r="I8" s="22"/>
      <c r="J8" s="22"/>
      <c r="K8" s="8"/>
      <c r="L8" s="10"/>
      <c r="M8" s="8"/>
      <c r="N8" s="8"/>
      <c r="O8" s="8"/>
      <c r="P8" s="8"/>
      <c r="Q8" s="8"/>
      <c r="R8" s="9"/>
      <c r="S8" s="498"/>
      <c r="T8" s="498"/>
      <c r="U8" s="8"/>
      <c r="V8" s="8"/>
      <c r="W8" s="8"/>
      <c r="X8" s="8"/>
      <c r="Y8" s="8"/>
      <c r="Z8" s="10"/>
      <c r="AA8" s="8"/>
      <c r="AB8" s="8"/>
      <c r="AC8" s="8"/>
      <c r="AD8" s="8"/>
      <c r="AE8" s="8"/>
      <c r="AF8" s="71"/>
      <c r="AG8" s="8"/>
      <c r="AH8" s="8"/>
      <c r="AI8" s="8"/>
      <c r="AJ8" s="8"/>
    </row>
    <row r="9" spans="1:36" ht="15" customHeight="1" x14ac:dyDescent="0.2">
      <c r="B9" s="848"/>
      <c r="C9" s="845"/>
      <c r="F9" s="8"/>
      <c r="G9" s="8"/>
      <c r="H9" s="22"/>
      <c r="I9" s="22"/>
      <c r="J9" s="22"/>
      <c r="K9" s="8"/>
      <c r="L9" s="10"/>
      <c r="M9" s="8"/>
      <c r="N9" s="8"/>
      <c r="O9" s="8"/>
      <c r="P9" s="8"/>
      <c r="Q9" s="8"/>
      <c r="R9" s="9"/>
      <c r="S9" s="498"/>
      <c r="T9" s="498"/>
      <c r="U9" s="8"/>
      <c r="V9" s="8"/>
      <c r="W9" s="8"/>
      <c r="X9" s="8"/>
      <c r="Y9" s="8"/>
      <c r="Z9" s="10"/>
      <c r="AA9" s="8"/>
      <c r="AB9" s="8"/>
      <c r="AC9" s="8"/>
      <c r="AD9" s="8"/>
      <c r="AE9" s="8"/>
      <c r="AF9" s="71"/>
      <c r="AG9" s="8"/>
      <c r="AH9" s="8"/>
      <c r="AI9" s="8"/>
      <c r="AJ9" s="8"/>
    </row>
    <row r="10" spans="1:36" ht="15" customHeight="1" thickBot="1" x14ac:dyDescent="0.25">
      <c r="B10" s="849"/>
      <c r="C10" s="845"/>
      <c r="F10" s="8"/>
      <c r="G10" s="817" t="s">
        <v>573</v>
      </c>
      <c r="H10" s="297"/>
      <c r="I10" s="297"/>
      <c r="J10" s="297"/>
      <c r="K10" s="298"/>
      <c r="M10" s="339" t="s">
        <v>525</v>
      </c>
      <c r="N10" s="299"/>
      <c r="O10" s="299"/>
      <c r="P10" s="299"/>
      <c r="Q10" s="300"/>
      <c r="R10" s="9"/>
      <c r="S10" s="1019" t="s">
        <v>496</v>
      </c>
      <c r="T10" s="1019"/>
      <c r="U10" s="1019"/>
      <c r="V10" s="1019"/>
      <c r="W10" s="1019"/>
      <c r="X10" s="8"/>
      <c r="Y10" s="858" t="s">
        <v>530</v>
      </c>
      <c r="Z10" s="720"/>
      <c r="AA10" s="297"/>
      <c r="AB10" s="303"/>
      <c r="AC10" s="297"/>
      <c r="AD10" s="8"/>
      <c r="AE10" s="8"/>
    </row>
    <row r="11" spans="1:36" ht="15" customHeight="1" thickBot="1" x14ac:dyDescent="0.25">
      <c r="B11" s="850"/>
      <c r="C11" s="845"/>
      <c r="F11" s="8"/>
      <c r="G11" s="865" t="s">
        <v>442</v>
      </c>
      <c r="H11" s="171"/>
      <c r="I11" s="171"/>
      <c r="J11" s="1004">
        <f>(K55*Data!$P$206*24)*(1-(K27/100))</f>
        <v>0</v>
      </c>
      <c r="K11" s="994" t="str">
        <f>IF(J11&gt;(Step1!$K$24*Step1!$K$35),"Warning!","")</f>
        <v/>
      </c>
      <c r="M11" s="167" t="s">
        <v>442</v>
      </c>
      <c r="N11" s="171"/>
      <c r="O11" s="171"/>
      <c r="P11" s="262">
        <f>(Q55*Data!$P$206*24)*(1-(Q27/100))</f>
        <v>0</v>
      </c>
      <c r="Q11" s="994" t="str">
        <f>IF(P11&gt;(Step1!$K$24*Step1!$K$35),"Warning!","")</f>
        <v/>
      </c>
      <c r="Y11" s="859" t="s">
        <v>442</v>
      </c>
      <c r="Z11" s="719"/>
      <c r="AA11" s="171"/>
      <c r="AB11" s="1001">
        <f>(AC55*Data!$P$206*24)*(1-(AC27/100))</f>
        <v>0</v>
      </c>
      <c r="AC11" s="994" t="str">
        <f>IF(AB11&gt;(Step1!$K$24*Step1!$K$35),"Warning!","")</f>
        <v/>
      </c>
      <c r="AD11" s="8"/>
    </row>
    <row r="12" spans="1:36" ht="15" customHeight="1" thickBot="1" x14ac:dyDescent="0.25">
      <c r="B12" s="851"/>
      <c r="F12" s="8"/>
      <c r="G12" s="865"/>
      <c r="H12" s="171"/>
      <c r="I12" s="171"/>
      <c r="J12" s="185"/>
      <c r="K12" s="247"/>
      <c r="L12" s="86"/>
      <c r="M12" s="167" t="s">
        <v>387</v>
      </c>
      <c r="N12" s="171"/>
      <c r="O12" s="188"/>
      <c r="P12" s="263" t="e">
        <f>1-(P11/J11)</f>
        <v>#DIV/0!</v>
      </c>
      <c r="Q12" s="522"/>
      <c r="R12" s="425"/>
      <c r="S12" s="90"/>
      <c r="T12" s="425"/>
      <c r="U12" s="86"/>
      <c r="V12" s="86"/>
      <c r="W12" s="86"/>
      <c r="X12" s="86"/>
      <c r="Y12" s="830" t="s">
        <v>387</v>
      </c>
      <c r="Z12" s="171"/>
      <c r="AA12" s="171"/>
      <c r="AB12" s="1007" t="e">
        <f>1-(AB11/J11)</f>
        <v>#DIV/0!</v>
      </c>
      <c r="AC12" s="257"/>
      <c r="AD12" s="425"/>
      <c r="AE12" s="86"/>
    </row>
    <row r="13" spans="1:36" ht="15" customHeight="1" x14ac:dyDescent="0.2">
      <c r="B13" s="850"/>
      <c r="C13" s="853"/>
      <c r="F13" s="8"/>
      <c r="G13" s="820"/>
      <c r="H13" s="342"/>
      <c r="I13" s="523"/>
      <c r="J13" s="349"/>
      <c r="K13" s="524"/>
      <c r="M13" s="342"/>
      <c r="N13" s="342"/>
      <c r="O13" s="342"/>
      <c r="P13" s="350"/>
      <c r="Q13" s="524"/>
      <c r="R13" s="425"/>
      <c r="S13" s="90"/>
      <c r="T13" s="425"/>
      <c r="U13" s="86"/>
      <c r="V13" s="86"/>
      <c r="W13" s="86"/>
      <c r="X13" s="86"/>
      <c r="Y13" s="860"/>
      <c r="Z13" s="342"/>
      <c r="AA13" s="342"/>
      <c r="AB13" s="342"/>
      <c r="AC13" s="352"/>
      <c r="AD13" s="425"/>
      <c r="AE13" s="86"/>
    </row>
    <row r="14" spans="1:36" ht="15" customHeight="1" thickBot="1" x14ac:dyDescent="0.25">
      <c r="B14" s="849"/>
      <c r="C14" s="845"/>
      <c r="F14" s="8"/>
      <c r="G14" s="821" t="s">
        <v>283</v>
      </c>
      <c r="H14" s="310"/>
      <c r="I14" s="632" t="str">
        <f>Step1!$K$64</f>
        <v>District heating</v>
      </c>
      <c r="J14" s="302"/>
      <c r="K14" s="528"/>
      <c r="M14" s="226" t="s">
        <v>283</v>
      </c>
      <c r="N14" s="310"/>
      <c r="O14" s="632" t="str">
        <f>Step1!$K$64</f>
        <v>District heating</v>
      </c>
      <c r="P14" s="220"/>
      <c r="Q14" s="528"/>
      <c r="U14" s="8"/>
      <c r="V14" s="8"/>
      <c r="Y14" s="861" t="s">
        <v>283</v>
      </c>
      <c r="Z14" s="310"/>
      <c r="AA14" s="632" t="str">
        <f>Step1!$K$64</f>
        <v>District heating</v>
      </c>
      <c r="AB14" s="220"/>
      <c r="AC14" s="528"/>
      <c r="AD14" s="8"/>
    </row>
    <row r="15" spans="1:36" ht="15" customHeight="1" x14ac:dyDescent="0.2">
      <c r="B15" s="854"/>
      <c r="C15" s="845"/>
      <c r="F15" s="8"/>
      <c r="G15" s="866"/>
      <c r="H15" s="523"/>
      <c r="I15" s="523"/>
      <c r="J15" s="523"/>
      <c r="K15" s="524"/>
      <c r="M15" s="523"/>
      <c r="N15" s="523"/>
      <c r="O15" s="523"/>
      <c r="P15" s="523"/>
      <c r="Q15" s="524"/>
      <c r="R15" s="98">
        <f>((K16-Q16)*K316+(Q16)*Q316)*Data!$P$205*24/1000</f>
        <v>0</v>
      </c>
      <c r="S15" s="8"/>
      <c r="T15" s="8"/>
      <c r="U15" s="8"/>
      <c r="V15" s="8"/>
      <c r="W15" s="8"/>
      <c r="X15" s="8"/>
      <c r="Y15" s="862"/>
      <c r="Z15" s="523"/>
      <c r="AA15" s="523"/>
      <c r="AB15" s="523"/>
      <c r="AC15" s="524"/>
      <c r="AD15" s="8"/>
      <c r="AE15" s="8"/>
    </row>
    <row r="16" spans="1:36" ht="15" customHeight="1" thickBot="1" x14ac:dyDescent="0.25">
      <c r="B16" s="854"/>
      <c r="C16" s="845"/>
      <c r="F16" s="8"/>
      <c r="G16" s="867" t="s">
        <v>651</v>
      </c>
      <c r="H16" s="220"/>
      <c r="I16" s="220"/>
      <c r="J16" s="304">
        <v>0</v>
      </c>
      <c r="K16" s="244">
        <f>J16</f>
        <v>0</v>
      </c>
      <c r="M16" s="226" t="s">
        <v>219</v>
      </c>
      <c r="N16" s="220"/>
      <c r="O16" s="220"/>
      <c r="P16" s="304">
        <v>12</v>
      </c>
      <c r="Q16" s="244">
        <f>P16</f>
        <v>12</v>
      </c>
      <c r="Y16" s="861" t="s">
        <v>219</v>
      </c>
      <c r="Z16" s="220"/>
      <c r="AA16" s="220"/>
      <c r="AB16" s="304">
        <v>12</v>
      </c>
      <c r="AC16" s="245">
        <f>AB16</f>
        <v>12</v>
      </c>
    </row>
    <row r="17" spans="2:31" ht="15" customHeight="1" thickBot="1" x14ac:dyDescent="0.25">
      <c r="B17" s="854"/>
      <c r="C17" s="845"/>
      <c r="F17" s="8"/>
      <c r="G17" s="819" t="s">
        <v>802</v>
      </c>
      <c r="H17" s="171"/>
      <c r="I17" s="171"/>
      <c r="J17" s="172">
        <v>0</v>
      </c>
      <c r="K17" s="247">
        <f>J17</f>
        <v>0</v>
      </c>
      <c r="M17" s="170" t="s">
        <v>802</v>
      </c>
      <c r="N17" s="171"/>
      <c r="O17" s="171"/>
      <c r="P17" s="172">
        <v>0</v>
      </c>
      <c r="Q17" s="247">
        <f>P17</f>
        <v>0</v>
      </c>
      <c r="Y17" s="837" t="s">
        <v>800</v>
      </c>
      <c r="Z17" s="171"/>
      <c r="AA17" s="171"/>
      <c r="AB17" s="639">
        <v>0</v>
      </c>
      <c r="AC17" s="243">
        <f>AB17</f>
        <v>0</v>
      </c>
      <c r="AD17" s="8"/>
    </row>
    <row r="18" spans="2:31" ht="15" customHeight="1" thickBot="1" x14ac:dyDescent="0.25">
      <c r="B18" s="854"/>
      <c r="C18" s="845"/>
      <c r="F18" s="8"/>
      <c r="G18" s="819" t="s">
        <v>803</v>
      </c>
      <c r="H18" s="171"/>
      <c r="I18" s="171"/>
      <c r="J18" s="172">
        <v>0</v>
      </c>
      <c r="K18" s="247">
        <f>J18</f>
        <v>0</v>
      </c>
      <c r="M18" s="170" t="s">
        <v>803</v>
      </c>
      <c r="N18" s="171"/>
      <c r="O18" s="171"/>
      <c r="P18" s="172">
        <v>0</v>
      </c>
      <c r="Q18" s="247">
        <f>P18</f>
        <v>0</v>
      </c>
      <c r="U18" s="8"/>
      <c r="V18" s="8"/>
      <c r="Y18" s="837" t="s">
        <v>801</v>
      </c>
      <c r="Z18" s="171"/>
      <c r="AA18" s="171"/>
      <c r="AB18" s="639">
        <v>0</v>
      </c>
      <c r="AC18" s="243">
        <f>AB18</f>
        <v>0</v>
      </c>
      <c r="AD18" s="8"/>
    </row>
    <row r="19" spans="2:31" ht="15" customHeight="1" x14ac:dyDescent="0.2">
      <c r="B19" s="854"/>
      <c r="C19" s="845"/>
      <c r="F19" s="8"/>
      <c r="G19" s="868"/>
      <c r="H19" s="342"/>
      <c r="I19" s="342"/>
      <c r="J19" s="354"/>
      <c r="K19" s="352"/>
      <c r="M19" s="351"/>
      <c r="N19" s="342"/>
      <c r="O19" s="342"/>
      <c r="P19" s="354"/>
      <c r="Q19" s="352"/>
      <c r="U19" s="8"/>
      <c r="V19" s="8"/>
      <c r="Y19" s="860"/>
      <c r="Z19" s="342"/>
      <c r="AA19" s="342"/>
      <c r="AB19" s="354"/>
      <c r="AC19" s="352"/>
      <c r="AD19" s="8"/>
    </row>
    <row r="20" spans="2:31" ht="15" customHeight="1" thickBot="1" x14ac:dyDescent="0.25">
      <c r="B20" s="854"/>
      <c r="C20" s="845"/>
      <c r="F20" s="8"/>
      <c r="G20" s="867" t="s">
        <v>399</v>
      </c>
      <c r="H20" s="223"/>
      <c r="I20" s="242" t="s">
        <v>255</v>
      </c>
      <c r="J20" s="223"/>
      <c r="K20" s="245"/>
      <c r="L20" s="8"/>
      <c r="M20" s="226" t="s">
        <v>399</v>
      </c>
      <c r="N20" s="223"/>
      <c r="O20" s="242" t="s">
        <v>255</v>
      </c>
      <c r="P20" s="223"/>
      <c r="Q20" s="245"/>
      <c r="Y20" s="861" t="s">
        <v>399</v>
      </c>
      <c r="Z20" s="223"/>
      <c r="AA20" s="369" t="s">
        <v>255</v>
      </c>
      <c r="AB20" s="223"/>
      <c r="AC20" s="264"/>
    </row>
    <row r="21" spans="2:31" ht="15" customHeight="1" x14ac:dyDescent="0.2">
      <c r="B21" s="854"/>
      <c r="C21" s="845"/>
      <c r="F21" s="8"/>
      <c r="G21" s="868"/>
      <c r="H21" s="342"/>
      <c r="I21" s="342"/>
      <c r="J21" s="354"/>
      <c r="K21" s="352"/>
      <c r="M21" s="355"/>
      <c r="N21" s="342"/>
      <c r="O21" s="342"/>
      <c r="P21" s="354"/>
      <c r="Q21" s="352"/>
      <c r="R21" s="9"/>
      <c r="S21" s="8"/>
      <c r="T21" s="8"/>
      <c r="U21" s="8"/>
      <c r="V21" s="8"/>
      <c r="W21" s="8"/>
      <c r="X21" s="8"/>
      <c r="Y21" s="860"/>
      <c r="Z21" s="342"/>
      <c r="AA21" s="342"/>
      <c r="AB21" s="354"/>
      <c r="AC21" s="352"/>
      <c r="AD21" s="8"/>
      <c r="AE21" s="8"/>
    </row>
    <row r="22" spans="2:31" ht="15" customHeight="1" thickBot="1" x14ac:dyDescent="0.25">
      <c r="F22" s="8"/>
      <c r="G22" s="818" t="s">
        <v>648</v>
      </c>
      <c r="H22" s="220"/>
      <c r="I22" s="220"/>
      <c r="J22" s="220"/>
      <c r="K22" s="220"/>
      <c r="M22" s="232" t="s">
        <v>648</v>
      </c>
      <c r="N22" s="220"/>
      <c r="O22" s="220"/>
      <c r="P22" s="220"/>
      <c r="Q22" s="220"/>
      <c r="Y22" s="830" t="s">
        <v>648</v>
      </c>
      <c r="Z22" s="220"/>
      <c r="AA22" s="220"/>
      <c r="AB22" s="220"/>
      <c r="AC22" s="220"/>
    </row>
    <row r="23" spans="2:31" ht="15" customHeight="1" thickBot="1" x14ac:dyDescent="0.25">
      <c r="F23" s="8"/>
      <c r="G23" s="819" t="s">
        <v>653</v>
      </c>
      <c r="H23" s="221"/>
      <c r="I23" s="369" t="s">
        <v>21</v>
      </c>
      <c r="J23" s="221" t="s">
        <v>560</v>
      </c>
      <c r="K23" s="258">
        <f>VLOOKUP(I23,Data!$G$162:$P$165,10,FALSE)</f>
        <v>0</v>
      </c>
      <c r="M23" s="170" t="s">
        <v>653</v>
      </c>
      <c r="N23" s="221"/>
      <c r="O23" s="369" t="s">
        <v>221</v>
      </c>
      <c r="P23" s="221" t="s">
        <v>560</v>
      </c>
      <c r="Q23" s="258">
        <f>VLOOKUP(O23,Data!$G$162:$P$165,10,FALSE)</f>
        <v>0.5</v>
      </c>
      <c r="U23" s="8"/>
      <c r="V23" s="8"/>
      <c r="Y23" s="837" t="s">
        <v>653</v>
      </c>
      <c r="Z23" s="221"/>
      <c r="AA23" s="369" t="s">
        <v>221</v>
      </c>
      <c r="AB23" s="221" t="s">
        <v>560</v>
      </c>
      <c r="AC23" s="258">
        <f>VLOOKUP(AA23,Data!$G$162:$P$165,10,FALSE)</f>
        <v>0.5</v>
      </c>
      <c r="AD23" s="8"/>
    </row>
    <row r="24" spans="2:31" ht="15" customHeight="1" thickBot="1" x14ac:dyDescent="0.25">
      <c r="B24" s="850"/>
      <c r="C24" s="853"/>
      <c r="F24" s="8"/>
      <c r="G24" s="884"/>
      <c r="H24" s="884"/>
      <c r="I24" s="884"/>
      <c r="J24" s="884"/>
      <c r="K24" s="884"/>
      <c r="M24" s="956"/>
      <c r="N24" s="884"/>
      <c r="O24" s="884"/>
      <c r="P24" s="884"/>
      <c r="Q24" s="884"/>
      <c r="Y24" s="963"/>
      <c r="Z24" s="884"/>
      <c r="AA24" s="884"/>
      <c r="AB24" s="884"/>
      <c r="AC24" s="884"/>
      <c r="AD24" s="8"/>
    </row>
    <row r="25" spans="2:31" ht="15" customHeight="1" thickBot="1" x14ac:dyDescent="0.25">
      <c r="B25" s="849"/>
      <c r="C25" s="853"/>
      <c r="F25" s="8"/>
      <c r="G25" s="870" t="s">
        <v>652</v>
      </c>
      <c r="H25" s="940"/>
      <c r="I25" s="369" t="s">
        <v>21</v>
      </c>
      <c r="J25" s="940" t="s">
        <v>560</v>
      </c>
      <c r="K25" s="941">
        <f>VLOOKUP(I25,Data!$G$162:$P$165,10,FALSE)</f>
        <v>0</v>
      </c>
      <c r="M25" s="957" t="s">
        <v>652</v>
      </c>
      <c r="N25" s="940"/>
      <c r="O25" s="369" t="s">
        <v>21</v>
      </c>
      <c r="P25" s="940" t="s">
        <v>560</v>
      </c>
      <c r="Q25" s="941">
        <f>VLOOKUP(O25,Data!$G$162:$P$165,10,FALSE)</f>
        <v>0</v>
      </c>
      <c r="U25" s="8"/>
      <c r="V25" s="8"/>
      <c r="Y25" s="964" t="s">
        <v>652</v>
      </c>
      <c r="Z25" s="940"/>
      <c r="AA25" s="369" t="s">
        <v>21</v>
      </c>
      <c r="AB25" s="940" t="s">
        <v>560</v>
      </c>
      <c r="AC25" s="941">
        <f>VLOOKUP(AA25,Data!$G$162:$P$165,10,FALSE)</f>
        <v>0</v>
      </c>
      <c r="AD25" s="8"/>
    </row>
    <row r="26" spans="2:31" ht="15" customHeight="1" thickBot="1" x14ac:dyDescent="0.25">
      <c r="B26" s="848"/>
      <c r="C26" s="845"/>
      <c r="F26" s="8"/>
      <c r="G26" s="565"/>
      <c r="H26" s="565"/>
      <c r="I26" s="565"/>
      <c r="J26" s="565"/>
      <c r="K26" s="565"/>
      <c r="M26" s="958"/>
      <c r="N26" s="565"/>
      <c r="O26" s="565"/>
      <c r="P26" s="565"/>
      <c r="Q26" s="565"/>
      <c r="Y26" s="965"/>
      <c r="Z26" s="565"/>
      <c r="AA26" s="565"/>
      <c r="AB26" s="565"/>
      <c r="AC26" s="565"/>
      <c r="AD26" s="8"/>
    </row>
    <row r="27" spans="2:31" ht="15" customHeight="1" thickBot="1" x14ac:dyDescent="0.25">
      <c r="B27" s="848"/>
      <c r="C27" s="845"/>
      <c r="F27" s="8"/>
      <c r="G27" s="870" t="s">
        <v>654</v>
      </c>
      <c r="H27" s="326"/>
      <c r="I27" s="326"/>
      <c r="J27" s="927">
        <v>0</v>
      </c>
      <c r="K27" s="942">
        <f>IF(I20="Yes",0,J27)</f>
        <v>0</v>
      </c>
      <c r="M27" s="957" t="s">
        <v>654</v>
      </c>
      <c r="N27" s="326"/>
      <c r="O27" s="326"/>
      <c r="P27" s="927">
        <v>0</v>
      </c>
      <c r="Q27" s="942">
        <f>IF(O20="Yes",0,P27)</f>
        <v>0</v>
      </c>
      <c r="Y27" s="964" t="s">
        <v>654</v>
      </c>
      <c r="Z27" s="326"/>
      <c r="AA27" s="326"/>
      <c r="AB27" s="927">
        <v>0</v>
      </c>
      <c r="AC27" s="942">
        <f>IF(AA20="Yes",0,AB27)</f>
        <v>0</v>
      </c>
      <c r="AD27" s="8"/>
    </row>
    <row r="28" spans="2:31" ht="15" customHeight="1" thickBot="1" x14ac:dyDescent="0.25">
      <c r="B28" s="848"/>
      <c r="C28" s="845"/>
      <c r="F28" s="8"/>
      <c r="G28" s="944"/>
      <c r="H28" s="380"/>
      <c r="I28" s="380"/>
      <c r="J28" s="379"/>
      <c r="K28" s="945"/>
      <c r="M28" s="959"/>
      <c r="N28" s="380"/>
      <c r="O28" s="380"/>
      <c r="P28" s="379"/>
      <c r="Q28" s="945"/>
      <c r="Y28" s="966"/>
      <c r="Z28" s="380"/>
      <c r="AA28" s="380"/>
      <c r="AB28" s="379"/>
      <c r="AC28" s="945"/>
      <c r="AD28" s="8"/>
    </row>
    <row r="29" spans="2:31" ht="15" customHeight="1" thickBot="1" x14ac:dyDescent="0.25">
      <c r="B29" s="848"/>
      <c r="C29" s="845"/>
      <c r="F29" s="8"/>
      <c r="G29" s="943" t="s">
        <v>443</v>
      </c>
      <c r="H29" s="336"/>
      <c r="I29" s="336"/>
      <c r="J29" s="1003">
        <f>IF(I20="Yes",0,IF(I33="Yes",((K32*K53)/1000)*K36*K37*K38,((K32*K51)/1000)*K36*K37*K38))</f>
        <v>0</v>
      </c>
      <c r="K29" s="995" t="str">
        <f>IF(J29&gt;(Step1!$K$24*Step1!$K$43),"Warning!","")</f>
        <v/>
      </c>
      <c r="M29" s="960" t="s">
        <v>443</v>
      </c>
      <c r="N29" s="336"/>
      <c r="O29" s="336"/>
      <c r="P29" s="1005">
        <f>IF(O20="Yes",0,IF(O33="Yes",((Q32*Q53)/1000)*Q36*Q37*Q38,((Q32*Q51)/1000)*Q36*Q37*Q38))</f>
        <v>0</v>
      </c>
      <c r="Q29" s="995" t="str">
        <f>IF(P29&gt;(Step1!$K$24*Step1!$K$43),"Warning!","")</f>
        <v/>
      </c>
      <c r="U29" s="8"/>
      <c r="V29" s="8"/>
      <c r="Y29" s="967" t="s">
        <v>443</v>
      </c>
      <c r="Z29" s="336"/>
      <c r="AA29" s="336"/>
      <c r="AB29" s="1006">
        <f>IF(AA20="Yes",0,IF(AA33="Yes",((AC32*AC53)/1000)*AC36*AC37*AC38,((AC32*AC51)/1000)*AC36*AC37*AC38))</f>
        <v>0</v>
      </c>
      <c r="AC29" s="995" t="str">
        <f>IF(P29&gt;(Step1!$K$24*Step1!$K$43),"Warning!","")</f>
        <v/>
      </c>
      <c r="AD29" s="8"/>
    </row>
    <row r="30" spans="2:31" ht="15" customHeight="1" thickBot="1" x14ac:dyDescent="0.25">
      <c r="C30" s="845"/>
      <c r="F30" s="8"/>
      <c r="G30" s="870"/>
      <c r="H30" s="326"/>
      <c r="I30" s="326"/>
      <c r="J30" s="326"/>
      <c r="K30" s="327"/>
      <c r="M30" s="957"/>
      <c r="N30" s="326"/>
      <c r="O30" s="326"/>
      <c r="P30" s="326"/>
      <c r="Q30" s="327"/>
      <c r="Y30" s="964"/>
      <c r="Z30" s="326"/>
      <c r="AA30" s="326"/>
      <c r="AB30" s="326"/>
      <c r="AC30" s="327"/>
      <c r="AD30" s="8"/>
    </row>
    <row r="31" spans="2:31" ht="15" customHeight="1" thickBot="1" x14ac:dyDescent="0.25">
      <c r="B31" s="1061"/>
      <c r="C31" s="1061"/>
      <c r="D31" s="1061"/>
      <c r="F31" s="8"/>
      <c r="G31" s="870"/>
      <c r="H31" s="326"/>
      <c r="I31" s="326"/>
      <c r="J31" s="326"/>
      <c r="K31" s="327"/>
      <c r="M31" s="957"/>
      <c r="N31" s="326"/>
      <c r="O31" s="326"/>
      <c r="P31" s="326"/>
      <c r="Q31" s="327"/>
      <c r="Y31" s="964"/>
      <c r="Z31" s="326"/>
      <c r="AA31" s="326"/>
      <c r="AB31" s="326"/>
      <c r="AC31" s="327"/>
    </row>
    <row r="32" spans="2:31" ht="15" customHeight="1" thickBot="1" x14ac:dyDescent="0.25">
      <c r="C32" s="845"/>
      <c r="E32" s="855"/>
      <c r="F32" s="8"/>
      <c r="G32" s="870" t="s">
        <v>444</v>
      </c>
      <c r="H32" s="565"/>
      <c r="I32" s="928" t="s">
        <v>309</v>
      </c>
      <c r="J32" s="927"/>
      <c r="K32" s="329">
        <f>IF(I32="User defined",J32,VLOOKUP(I32,Data!$G$156:$P$159,10,FALSE))</f>
        <v>0</v>
      </c>
      <c r="M32" s="957" t="s">
        <v>444</v>
      </c>
      <c r="N32" s="565"/>
      <c r="O32" s="928" t="s">
        <v>309</v>
      </c>
      <c r="P32" s="927"/>
      <c r="Q32" s="329">
        <f>IF(O32="User defined",P32,VLOOKUP(O32,Data!$G$156:$P$159,10,FALSE))</f>
        <v>0</v>
      </c>
      <c r="U32" s="8"/>
      <c r="V32" s="8"/>
      <c r="Y32" s="964" t="s">
        <v>444</v>
      </c>
      <c r="Z32" s="565"/>
      <c r="AA32" s="928" t="s">
        <v>309</v>
      </c>
      <c r="AB32" s="927"/>
      <c r="AC32" s="329">
        <f>IF(AA32="User defined",AB32,VLOOKUP(AA32,Data!$G$156:$P$159,10,FALSE))</f>
        <v>0</v>
      </c>
      <c r="AD32" s="8"/>
    </row>
    <row r="33" spans="2:70" ht="15" customHeight="1" thickBot="1" x14ac:dyDescent="0.25">
      <c r="C33" s="845"/>
      <c r="F33" s="8"/>
      <c r="G33" s="870" t="s">
        <v>649</v>
      </c>
      <c r="H33" s="326"/>
      <c r="I33" s="242" t="s">
        <v>255</v>
      </c>
      <c r="J33" s="328"/>
      <c r="K33" s="330"/>
      <c r="M33" s="957" t="s">
        <v>649</v>
      </c>
      <c r="N33" s="326"/>
      <c r="O33" s="242" t="s">
        <v>255</v>
      </c>
      <c r="P33" s="328"/>
      <c r="Q33" s="330"/>
      <c r="Y33" s="964" t="s">
        <v>649</v>
      </c>
      <c r="Z33" s="326"/>
      <c r="AA33" s="242" t="s">
        <v>255</v>
      </c>
      <c r="AB33" s="328"/>
      <c r="AC33" s="330"/>
      <c r="AD33" s="8"/>
    </row>
    <row r="34" spans="2:70" ht="15" customHeight="1" thickBot="1" x14ac:dyDescent="0.25">
      <c r="C34" s="845"/>
      <c r="F34" s="8"/>
      <c r="G34" s="334"/>
      <c r="H34" s="334"/>
      <c r="I34" s="334"/>
      <c r="J34" s="334"/>
      <c r="K34" s="334"/>
      <c r="M34" s="335"/>
      <c r="N34" s="334"/>
      <c r="O34" s="334"/>
      <c r="P34" s="334"/>
      <c r="Q34" s="334"/>
      <c r="R34" s="9"/>
      <c r="S34" s="8"/>
      <c r="T34" s="8"/>
      <c r="U34" s="8"/>
      <c r="V34" s="8"/>
      <c r="W34" s="8"/>
      <c r="X34" s="8"/>
      <c r="Y34" s="863"/>
      <c r="Z34" s="334"/>
      <c r="AA34" s="334"/>
      <c r="AB34" s="334"/>
      <c r="AC34" s="334"/>
      <c r="AD34" s="8"/>
      <c r="AE34" s="8"/>
    </row>
    <row r="35" spans="2:70" ht="15" customHeight="1" thickBot="1" x14ac:dyDescent="0.25">
      <c r="C35" s="856"/>
      <c r="D35" s="856"/>
      <c r="F35" s="8"/>
      <c r="G35" s="869" t="s">
        <v>647</v>
      </c>
      <c r="H35" s="328"/>
      <c r="I35" s="328"/>
      <c r="J35" s="328"/>
      <c r="K35" s="328"/>
      <c r="M35" s="961" t="s">
        <v>647</v>
      </c>
      <c r="N35" s="328"/>
      <c r="O35" s="328"/>
      <c r="P35" s="328"/>
      <c r="Q35" s="328"/>
      <c r="U35" s="8"/>
      <c r="V35" s="8"/>
      <c r="Y35" s="968" t="s">
        <v>647</v>
      </c>
      <c r="Z35" s="328"/>
      <c r="AA35" s="328"/>
      <c r="AB35" s="328"/>
      <c r="AC35" s="328"/>
      <c r="AD35" s="8"/>
    </row>
    <row r="36" spans="2:70" ht="15" customHeight="1" thickBot="1" x14ac:dyDescent="0.25">
      <c r="C36" s="857"/>
      <c r="E36" s="855"/>
      <c r="F36" s="8"/>
      <c r="G36" s="870" t="s">
        <v>220</v>
      </c>
      <c r="H36" s="326"/>
      <c r="I36" s="334"/>
      <c r="J36" s="332">
        <v>8</v>
      </c>
      <c r="K36" s="331">
        <f>J36</f>
        <v>8</v>
      </c>
      <c r="M36" s="957" t="s">
        <v>220</v>
      </c>
      <c r="N36" s="326"/>
      <c r="O36" s="334"/>
      <c r="P36" s="332">
        <v>8</v>
      </c>
      <c r="Q36" s="331">
        <f>P36</f>
        <v>8</v>
      </c>
      <c r="U36" s="8"/>
      <c r="V36" s="8"/>
      <c r="Y36" s="964" t="s">
        <v>220</v>
      </c>
      <c r="Z36" s="326"/>
      <c r="AA36" s="334"/>
      <c r="AB36" s="332">
        <v>8</v>
      </c>
      <c r="AC36" s="331">
        <f>AB36</f>
        <v>8</v>
      </c>
      <c r="AD36" s="8"/>
    </row>
    <row r="37" spans="2:70" ht="15" customHeight="1" thickBot="1" x14ac:dyDescent="0.25">
      <c r="C37" s="855"/>
      <c r="F37" s="8"/>
      <c r="G37" s="870" t="s">
        <v>222</v>
      </c>
      <c r="H37" s="326"/>
      <c r="I37" s="326"/>
      <c r="J37" s="333">
        <v>5</v>
      </c>
      <c r="K37" s="331">
        <f>J37</f>
        <v>5</v>
      </c>
      <c r="M37" s="957" t="s">
        <v>222</v>
      </c>
      <c r="N37" s="326"/>
      <c r="O37" s="326"/>
      <c r="P37" s="333">
        <v>5</v>
      </c>
      <c r="Q37" s="331">
        <f>P37</f>
        <v>5</v>
      </c>
      <c r="U37" s="8"/>
      <c r="V37" s="8"/>
      <c r="Y37" s="964" t="s">
        <v>222</v>
      </c>
      <c r="Z37" s="326"/>
      <c r="AA37" s="326"/>
      <c r="AB37" s="333">
        <v>5</v>
      </c>
      <c r="AC37" s="331">
        <f>AB37</f>
        <v>5</v>
      </c>
      <c r="AD37" s="8"/>
    </row>
    <row r="38" spans="2:70" ht="15" customHeight="1" thickBot="1" x14ac:dyDescent="0.25">
      <c r="C38" s="845"/>
      <c r="F38" s="8"/>
      <c r="G38" s="870" t="s">
        <v>650</v>
      </c>
      <c r="H38" s="326"/>
      <c r="I38" s="326"/>
      <c r="J38" s="333">
        <v>40</v>
      </c>
      <c r="K38" s="331">
        <f>J38</f>
        <v>40</v>
      </c>
      <c r="M38" s="957" t="s">
        <v>650</v>
      </c>
      <c r="N38" s="326"/>
      <c r="O38" s="326"/>
      <c r="P38" s="333">
        <v>40</v>
      </c>
      <c r="Q38" s="331">
        <f>P38</f>
        <v>40</v>
      </c>
      <c r="U38" s="8"/>
      <c r="V38" s="8"/>
      <c r="Y38" s="964" t="s">
        <v>650</v>
      </c>
      <c r="Z38" s="326"/>
      <c r="AA38" s="326"/>
      <c r="AB38" s="333">
        <v>40</v>
      </c>
      <c r="AC38" s="331">
        <f>AB38</f>
        <v>40</v>
      </c>
      <c r="AD38" s="8"/>
    </row>
    <row r="39" spans="2:70" ht="15" customHeight="1" x14ac:dyDescent="0.2">
      <c r="C39" s="856"/>
      <c r="D39" s="856"/>
      <c r="F39" s="8"/>
      <c r="G39" s="871"/>
      <c r="H39" s="343"/>
      <c r="I39" s="344"/>
      <c r="J39" s="344"/>
      <c r="K39" s="345"/>
      <c r="M39" s="962"/>
      <c r="N39" s="343"/>
      <c r="O39" s="344"/>
      <c r="P39" s="344"/>
      <c r="Q39" s="345"/>
      <c r="Y39" s="969"/>
      <c r="Z39" s="343"/>
      <c r="AA39" s="344"/>
      <c r="AB39" s="344"/>
      <c r="AC39" s="345"/>
      <c r="AO39" s="10"/>
      <c r="AP39" s="8"/>
      <c r="AQ39" s="8"/>
      <c r="AR39" s="115"/>
      <c r="AS39" s="67"/>
      <c r="AU39" s="66"/>
      <c r="AV39" s="8"/>
      <c r="AW39" s="8"/>
      <c r="AX39" s="115"/>
      <c r="AY39" s="67"/>
      <c r="AZ39" s="5"/>
      <c r="BC39" s="8"/>
      <c r="BD39" s="8"/>
      <c r="BK39" s="8"/>
      <c r="BL39" s="8"/>
      <c r="BN39" s="64"/>
      <c r="BO39" s="8"/>
      <c r="BP39" s="8"/>
      <c r="BQ39" s="94"/>
      <c r="BR39" s="10"/>
    </row>
    <row r="40" spans="2:70" ht="15" customHeight="1" thickBot="1" x14ac:dyDescent="0.25">
      <c r="B40" s="848"/>
      <c r="C40" s="845"/>
      <c r="F40" s="8"/>
      <c r="G40" s="823" t="s">
        <v>386</v>
      </c>
      <c r="H40" s="223"/>
      <c r="I40" s="220"/>
      <c r="J40" s="224"/>
      <c r="K40" s="245"/>
      <c r="M40" s="225" t="s">
        <v>386</v>
      </c>
      <c r="N40" s="223"/>
      <c r="O40" s="220"/>
      <c r="P40" s="224"/>
      <c r="Q40" s="245"/>
      <c r="Y40" s="838" t="s">
        <v>386</v>
      </c>
      <c r="Z40" s="223"/>
      <c r="AA40" s="220"/>
      <c r="AB40" s="224"/>
      <c r="AC40" s="245"/>
      <c r="AD40" s="8"/>
      <c r="AO40" s="10"/>
      <c r="AP40" s="8"/>
      <c r="AQ40" s="8"/>
      <c r="AR40" s="87"/>
      <c r="AS40" s="67"/>
      <c r="AU40" s="66"/>
      <c r="AV40" s="8"/>
      <c r="AW40" s="8"/>
      <c r="AX40" s="87"/>
      <c r="AY40" s="67"/>
      <c r="AZ40" s="5"/>
      <c r="BC40" s="8"/>
      <c r="BD40" s="8"/>
      <c r="BK40" s="8"/>
      <c r="BL40" s="8"/>
      <c r="BN40" s="64"/>
      <c r="BO40" s="8"/>
      <c r="BP40" s="8"/>
      <c r="BQ40" s="94"/>
      <c r="BR40" s="10"/>
    </row>
    <row r="41" spans="2:70" ht="15" customHeight="1" thickBot="1" x14ac:dyDescent="0.25">
      <c r="C41" s="845"/>
      <c r="F41" s="8"/>
      <c r="G41" s="819" t="s">
        <v>205</v>
      </c>
      <c r="H41" s="171"/>
      <c r="I41" s="175"/>
      <c r="J41" s="184">
        <v>0</v>
      </c>
      <c r="K41" s="247">
        <f>J41</f>
        <v>0</v>
      </c>
      <c r="M41" s="170" t="s">
        <v>205</v>
      </c>
      <c r="N41" s="171"/>
      <c r="O41" s="175"/>
      <c r="P41" s="184">
        <v>0</v>
      </c>
      <c r="Q41" s="247">
        <f>P41</f>
        <v>0</v>
      </c>
      <c r="S41" s="899" t="s">
        <v>316</v>
      </c>
      <c r="T41" s="664"/>
      <c r="U41" s="665"/>
      <c r="V41" s="659"/>
      <c r="W41" s="659"/>
      <c r="Y41" s="837" t="s">
        <v>205</v>
      </c>
      <c r="Z41" s="171"/>
      <c r="AA41" s="175"/>
      <c r="AB41" s="184">
        <v>0</v>
      </c>
      <c r="AC41" s="247">
        <f>AB41</f>
        <v>0</v>
      </c>
      <c r="AD41" s="8"/>
    </row>
    <row r="42" spans="2:70" ht="15" customHeight="1" thickBot="1" x14ac:dyDescent="0.25">
      <c r="C42" s="845"/>
      <c r="F42" s="8"/>
      <c r="G42" s="819" t="s">
        <v>531</v>
      </c>
      <c r="H42" s="60"/>
      <c r="I42" s="60"/>
      <c r="J42" s="184">
        <v>0</v>
      </c>
      <c r="K42" s="247">
        <f>J42</f>
        <v>0</v>
      </c>
      <c r="M42" s="170" t="s">
        <v>531</v>
      </c>
      <c r="N42" s="60"/>
      <c r="O42" s="60"/>
      <c r="P42" s="184">
        <v>0</v>
      </c>
      <c r="Q42" s="247">
        <f>P42</f>
        <v>0</v>
      </c>
      <c r="S42" s="532" t="s">
        <v>541</v>
      </c>
      <c r="T42" s="60"/>
      <c r="U42" s="60"/>
      <c r="V42" s="661" t="e">
        <f>J72</f>
        <v>#N/A</v>
      </c>
      <c r="W42" s="662" t="s">
        <v>542</v>
      </c>
      <c r="Y42" s="837" t="s">
        <v>531</v>
      </c>
      <c r="Z42" s="60"/>
      <c r="AA42" s="60"/>
      <c r="AB42" s="184">
        <v>0</v>
      </c>
      <c r="AC42" s="247">
        <f>AB42</f>
        <v>0</v>
      </c>
    </row>
    <row r="43" spans="2:70" ht="15" customHeight="1" thickBot="1" x14ac:dyDescent="0.25">
      <c r="C43" s="845"/>
      <c r="F43" s="8"/>
      <c r="G43" s="872"/>
      <c r="H43" s="60"/>
      <c r="I43" s="60"/>
      <c r="J43" s="60"/>
      <c r="K43" s="60"/>
      <c r="M43" s="397"/>
      <c r="N43" s="60"/>
      <c r="O43" s="60"/>
      <c r="P43" s="60"/>
      <c r="Q43" s="60"/>
      <c r="R43" s="529"/>
      <c r="S43" s="906" t="s">
        <v>594</v>
      </c>
      <c r="T43" s="864"/>
      <c r="U43" s="864"/>
      <c r="V43" s="911" t="e">
        <f>J73</f>
        <v>#N/A</v>
      </c>
      <c r="W43" s="908" t="s">
        <v>542</v>
      </c>
      <c r="Y43" s="864"/>
      <c r="Z43" s="60"/>
      <c r="AA43" s="60"/>
      <c r="AB43" s="60"/>
      <c r="AC43" s="60"/>
    </row>
    <row r="44" spans="2:70" ht="15" customHeight="1" thickBot="1" x14ac:dyDescent="0.25">
      <c r="B44" s="848"/>
      <c r="C44" s="845"/>
      <c r="F44" s="8"/>
      <c r="G44" s="819" t="s">
        <v>200</v>
      </c>
      <c r="H44" s="171"/>
      <c r="I44" s="177"/>
      <c r="J44" s="184">
        <v>0</v>
      </c>
      <c r="K44" s="247">
        <f>J44</f>
        <v>0</v>
      </c>
      <c r="M44" s="170" t="s">
        <v>200</v>
      </c>
      <c r="N44" s="171"/>
      <c r="O44" s="177"/>
      <c r="P44" s="184"/>
      <c r="Q44" s="247">
        <f>P44</f>
        <v>0</v>
      </c>
      <c r="Y44" s="837" t="s">
        <v>200</v>
      </c>
      <c r="Z44" s="171"/>
      <c r="AA44" s="177"/>
      <c r="AB44" s="184">
        <v>0</v>
      </c>
      <c r="AC44" s="247">
        <f>AB44</f>
        <v>0</v>
      </c>
      <c r="AD44" s="566"/>
      <c r="AE44" s="566"/>
    </row>
    <row r="45" spans="2:70" ht="15" customHeight="1" thickBot="1" x14ac:dyDescent="0.25">
      <c r="B45" s="848"/>
      <c r="C45" s="845"/>
      <c r="F45" s="8"/>
      <c r="G45" s="872"/>
      <c r="H45" s="60"/>
      <c r="I45" s="60"/>
      <c r="J45" s="198"/>
      <c r="K45" s="60"/>
      <c r="M45" s="397"/>
      <c r="N45" s="60"/>
      <c r="O45" s="60"/>
      <c r="P45" s="198"/>
      <c r="Q45" s="60"/>
      <c r="R45" s="529"/>
      <c r="S45" s="566"/>
      <c r="T45" s="566"/>
      <c r="U45" s="566"/>
      <c r="V45" s="566"/>
      <c r="W45" s="566"/>
      <c r="X45" s="566"/>
      <c r="Y45" s="864"/>
      <c r="Z45" s="60"/>
      <c r="AA45" s="60"/>
      <c r="AB45" s="198"/>
      <c r="AC45" s="60"/>
      <c r="AD45" s="164"/>
      <c r="AE45" s="566"/>
    </row>
    <row r="46" spans="2:70" ht="15" customHeight="1" thickBot="1" x14ac:dyDescent="0.25">
      <c r="B46" s="848"/>
      <c r="C46" s="845"/>
      <c r="F46" s="8"/>
      <c r="G46" s="819" t="s">
        <v>385</v>
      </c>
      <c r="H46" s="60"/>
      <c r="I46" s="60"/>
      <c r="J46" s="184">
        <v>0</v>
      </c>
      <c r="K46" s="247">
        <f>J46</f>
        <v>0</v>
      </c>
      <c r="M46" s="170" t="s">
        <v>385</v>
      </c>
      <c r="N46" s="60"/>
      <c r="O46" s="60"/>
      <c r="P46" s="184">
        <v>0</v>
      </c>
      <c r="Q46" s="247">
        <f>P46</f>
        <v>0</v>
      </c>
      <c r="R46" s="529"/>
      <c r="S46" s="566"/>
      <c r="T46" s="566"/>
      <c r="U46" s="164"/>
      <c r="V46" s="164"/>
      <c r="W46" s="566"/>
      <c r="X46" s="566"/>
      <c r="Y46" s="837" t="s">
        <v>385</v>
      </c>
      <c r="Z46" s="60"/>
      <c r="AA46" s="60"/>
      <c r="AB46" s="184">
        <v>0</v>
      </c>
      <c r="AC46" s="247">
        <f>AB46</f>
        <v>0</v>
      </c>
      <c r="AD46" s="164"/>
      <c r="AE46" s="566"/>
    </row>
    <row r="47" spans="2:70" ht="15" customHeight="1" thickBot="1" x14ac:dyDescent="0.25">
      <c r="B47" s="848"/>
      <c r="C47" s="845"/>
      <c r="F47" s="8"/>
      <c r="G47" s="819" t="s">
        <v>532</v>
      </c>
      <c r="H47" s="171"/>
      <c r="I47" s="175"/>
      <c r="J47" s="184">
        <v>0</v>
      </c>
      <c r="K47" s="247">
        <f>J47</f>
        <v>0</v>
      </c>
      <c r="M47" s="170" t="s">
        <v>532</v>
      </c>
      <c r="N47" s="171"/>
      <c r="O47" s="175"/>
      <c r="P47" s="184">
        <v>0</v>
      </c>
      <c r="Q47" s="247">
        <f>P47</f>
        <v>0</v>
      </c>
      <c r="R47" s="529"/>
      <c r="S47" s="566"/>
      <c r="T47" s="566"/>
      <c r="U47" s="164"/>
      <c r="V47" s="164"/>
      <c r="W47" s="566"/>
      <c r="X47" s="566"/>
      <c r="Y47" s="837" t="s">
        <v>532</v>
      </c>
      <c r="Z47" s="171"/>
      <c r="AA47" s="175"/>
      <c r="AB47" s="184">
        <v>0</v>
      </c>
      <c r="AC47" s="247">
        <f>AB47</f>
        <v>0</v>
      </c>
      <c r="AD47" s="164"/>
      <c r="AE47" s="566"/>
    </row>
    <row r="48" spans="2:70" ht="15" customHeight="1" x14ac:dyDescent="0.2">
      <c r="B48" s="848"/>
      <c r="C48" s="845"/>
      <c r="F48" s="8"/>
      <c r="G48" s="872"/>
      <c r="H48" s="60"/>
      <c r="I48" s="60"/>
      <c r="J48" s="60"/>
      <c r="K48" s="60"/>
      <c r="M48" s="397"/>
      <c r="N48" s="60"/>
      <c r="O48" s="60"/>
      <c r="P48" s="60"/>
      <c r="Q48" s="60"/>
      <c r="R48" s="529"/>
      <c r="S48" s="566"/>
      <c r="T48" s="566"/>
      <c r="U48" s="164"/>
      <c r="V48" s="164"/>
      <c r="W48" s="566"/>
      <c r="X48" s="566"/>
      <c r="Y48" s="864"/>
      <c r="Z48" s="60"/>
      <c r="AA48" s="60"/>
      <c r="AB48" s="60"/>
      <c r="AC48" s="60"/>
      <c r="AD48" s="566"/>
      <c r="AE48" s="566"/>
    </row>
    <row r="49" spans="2:36" ht="15" customHeight="1" x14ac:dyDescent="0.2">
      <c r="B49" s="848"/>
      <c r="C49" s="845"/>
      <c r="F49" s="8"/>
      <c r="G49" s="250"/>
      <c r="H49" s="250"/>
      <c r="I49" s="250"/>
      <c r="J49" s="250"/>
      <c r="K49" s="275"/>
      <c r="M49" s="250"/>
      <c r="N49" s="250"/>
      <c r="O49" s="250"/>
      <c r="P49" s="250"/>
      <c r="Q49" s="275"/>
      <c r="R49" s="529"/>
      <c r="S49" s="566"/>
      <c r="T49" s="566"/>
      <c r="U49" s="164"/>
      <c r="V49" s="164"/>
      <c r="W49" s="566"/>
      <c r="X49" s="566"/>
      <c r="Y49" s="250"/>
      <c r="Z49" s="250"/>
      <c r="AA49" s="250"/>
      <c r="AB49" s="250"/>
      <c r="AC49" s="275"/>
      <c r="AD49" s="566"/>
      <c r="AE49" s="566"/>
      <c r="AF49" s="164"/>
      <c r="AG49" s="566"/>
      <c r="AH49" s="566"/>
      <c r="AI49" s="566"/>
      <c r="AJ49" s="165"/>
    </row>
    <row r="50" spans="2:36" ht="15" customHeight="1" x14ac:dyDescent="0.2">
      <c r="B50" s="848"/>
      <c r="C50" s="845"/>
      <c r="F50" s="8"/>
      <c r="L50" s="529"/>
      <c r="R50" s="529"/>
      <c r="S50" s="566"/>
      <c r="T50" s="566"/>
      <c r="U50" s="566"/>
      <c r="V50" s="566"/>
      <c r="W50" s="566"/>
      <c r="X50" s="566"/>
      <c r="AD50" s="566"/>
      <c r="AE50" s="566"/>
      <c r="AF50" s="164"/>
      <c r="AG50" s="566"/>
      <c r="AH50" s="566"/>
      <c r="AI50" s="566"/>
      <c r="AJ50" s="165"/>
    </row>
    <row r="51" spans="2:36" ht="15" customHeight="1" x14ac:dyDescent="0.2">
      <c r="B51" s="848"/>
      <c r="C51" s="845"/>
      <c r="F51" s="8"/>
      <c r="G51" s="289" t="s">
        <v>277</v>
      </c>
      <c r="H51" s="252"/>
      <c r="I51" s="252"/>
      <c r="J51" s="252"/>
      <c r="K51" s="645">
        <f>K16*K17</f>
        <v>0</v>
      </c>
      <c r="L51" s="529"/>
      <c r="M51" s="289" t="s">
        <v>277</v>
      </c>
      <c r="N51" s="252"/>
      <c r="O51" s="252"/>
      <c r="P51" s="252"/>
      <c r="Q51" s="645">
        <f>Q16*Q17</f>
        <v>0</v>
      </c>
      <c r="R51" s="529"/>
      <c r="S51" s="566"/>
      <c r="T51" s="566"/>
      <c r="U51" s="566"/>
      <c r="V51" s="566"/>
      <c r="W51" s="566"/>
      <c r="X51" s="566"/>
      <c r="Y51" s="289" t="s">
        <v>277</v>
      </c>
      <c r="Z51" s="252"/>
      <c r="AA51" s="252"/>
      <c r="AB51" s="252"/>
      <c r="AC51" s="645">
        <f>AC16*AC17</f>
        <v>0</v>
      </c>
      <c r="AD51" s="566"/>
      <c r="AE51" s="566"/>
      <c r="AF51" s="164"/>
      <c r="AG51" s="566"/>
      <c r="AH51" s="566"/>
      <c r="AI51" s="566"/>
      <c r="AJ51" s="165"/>
    </row>
    <row r="52" spans="2:36" ht="15" customHeight="1" x14ac:dyDescent="0.2">
      <c r="B52" s="848"/>
      <c r="C52" s="845"/>
      <c r="F52" s="8"/>
      <c r="G52" s="289" t="s">
        <v>224</v>
      </c>
      <c r="H52" s="252"/>
      <c r="I52" s="252"/>
      <c r="J52" s="252"/>
      <c r="K52" s="645">
        <f>K16*K18</f>
        <v>0</v>
      </c>
      <c r="L52" s="529"/>
      <c r="M52" s="289" t="s">
        <v>224</v>
      </c>
      <c r="N52" s="252"/>
      <c r="O52" s="252"/>
      <c r="P52" s="252"/>
      <c r="Q52" s="645">
        <f>Q16*Q18</f>
        <v>0</v>
      </c>
      <c r="R52" s="529"/>
      <c r="S52" s="566"/>
      <c r="T52" s="566"/>
      <c r="U52" s="566"/>
      <c r="V52" s="566"/>
      <c r="W52" s="566"/>
      <c r="X52" s="566"/>
      <c r="Y52" s="289" t="s">
        <v>224</v>
      </c>
      <c r="Z52" s="252"/>
      <c r="AA52" s="252"/>
      <c r="AB52" s="252"/>
      <c r="AC52" s="645">
        <f>AC16*AC18</f>
        <v>0</v>
      </c>
      <c r="AD52" s="566"/>
      <c r="AE52" s="566"/>
      <c r="AF52" s="164"/>
      <c r="AG52" s="566"/>
      <c r="AH52" s="566"/>
      <c r="AI52" s="566"/>
      <c r="AJ52" s="165"/>
    </row>
    <row r="53" spans="2:36" ht="15" customHeight="1" x14ac:dyDescent="0.2">
      <c r="B53" s="848"/>
      <c r="C53" s="845"/>
      <c r="F53" s="8"/>
      <c r="G53" s="289" t="s">
        <v>225</v>
      </c>
      <c r="H53" s="252"/>
      <c r="I53" s="252"/>
      <c r="J53" s="252"/>
      <c r="K53" s="645">
        <f>IF((K18*K16)&gt;(0.6*K17*K16),(K18*K16),(0.6*K17*K16))</f>
        <v>0</v>
      </c>
      <c r="L53" s="529"/>
      <c r="M53" s="289" t="s">
        <v>225</v>
      </c>
      <c r="N53" s="252"/>
      <c r="O53" s="252"/>
      <c r="P53" s="252"/>
      <c r="Q53" s="645">
        <f>IF((Q18*Q16)&gt;(0.6*Q17*Q16),(Q18*Q16),(0.6*Q17*Q16))</f>
        <v>0</v>
      </c>
      <c r="R53" s="529"/>
      <c r="S53" s="566"/>
      <c r="T53" s="566"/>
      <c r="U53" s="566"/>
      <c r="V53" s="566"/>
      <c r="W53" s="566"/>
      <c r="X53" s="566"/>
      <c r="Y53" s="289" t="s">
        <v>225</v>
      </c>
      <c r="Z53" s="252"/>
      <c r="AA53" s="252"/>
      <c r="AB53" s="252"/>
      <c r="AC53" s="645">
        <f>IF((AC18*AC16)&gt;(0.6*AC17*AC16),(AC18*AC16),(0.6*AC17*AC16))</f>
        <v>0</v>
      </c>
      <c r="AD53" s="566"/>
      <c r="AE53" s="566"/>
      <c r="AF53" s="164"/>
      <c r="AG53" s="566"/>
      <c r="AH53" s="566"/>
      <c r="AI53" s="566"/>
      <c r="AJ53" s="165"/>
    </row>
    <row r="54" spans="2:36" ht="15" customHeight="1" x14ac:dyDescent="0.2">
      <c r="B54" s="848"/>
      <c r="C54" s="845"/>
      <c r="F54" s="8"/>
      <c r="G54" s="289" t="s">
        <v>226</v>
      </c>
      <c r="H54" s="252"/>
      <c r="I54" s="252"/>
      <c r="J54" s="252"/>
      <c r="K54" s="646">
        <f>IF(I20="Yes",(K23*K53+((1-K23)*K17*K16))/1000,(K25*K53+((1-K25)*K17*K16))/1000)</f>
        <v>0</v>
      </c>
      <c r="M54" s="289" t="s">
        <v>226</v>
      </c>
      <c r="N54" s="252"/>
      <c r="O54" s="252"/>
      <c r="P54" s="252"/>
      <c r="Q54" s="646">
        <f>IF(O20="Yes",(Q23*Q53+((1-Q23)*Q17*Q16))/1000,(Q25*Q53+((1-Q25)*Q17*Q16))/1000)</f>
        <v>0</v>
      </c>
      <c r="Y54" s="289" t="s">
        <v>226</v>
      </c>
      <c r="Z54" s="252"/>
      <c r="AA54" s="252"/>
      <c r="AB54" s="252"/>
      <c r="AC54" s="646">
        <f>IF(AA20="Yes",(AC23*AC53+((1-AC23)*AC17*AC16))/1000,(AC25*AC53+((1-AC25)*AC17*AC16))/1000)</f>
        <v>0</v>
      </c>
    </row>
    <row r="55" spans="2:36" ht="15" customHeight="1" x14ac:dyDescent="0.2">
      <c r="F55" s="8"/>
      <c r="G55" s="289" t="s">
        <v>227</v>
      </c>
      <c r="H55" s="252"/>
      <c r="I55" s="252"/>
      <c r="J55" s="252"/>
      <c r="K55" s="646">
        <f>K54*1.2*1.02</f>
        <v>0</v>
      </c>
      <c r="M55" s="289" t="s">
        <v>227</v>
      </c>
      <c r="N55" s="252"/>
      <c r="O55" s="252"/>
      <c r="P55" s="252"/>
      <c r="Q55" s="646">
        <f>Q54*1.2*1.02</f>
        <v>0</v>
      </c>
      <c r="Y55" s="289" t="s">
        <v>227</v>
      </c>
      <c r="Z55" s="252"/>
      <c r="AA55" s="252"/>
      <c r="AB55" s="252"/>
      <c r="AC55" s="646">
        <f>AC54*1.2*1.02</f>
        <v>0</v>
      </c>
    </row>
    <row r="56" spans="2:36" ht="15" customHeight="1" x14ac:dyDescent="0.2">
      <c r="F56" s="8"/>
    </row>
    <row r="57" spans="2:36" ht="15" customHeight="1" x14ac:dyDescent="0.2">
      <c r="F57" s="8"/>
    </row>
    <row r="58" spans="2:36" ht="15" customHeight="1" x14ac:dyDescent="0.2">
      <c r="F58" s="8"/>
    </row>
    <row r="59" spans="2:36" ht="15" customHeight="1" x14ac:dyDescent="0.2">
      <c r="F59" s="8"/>
    </row>
    <row r="60" spans="2:36" ht="15" hidden="1" customHeight="1" x14ac:dyDescent="0.2">
      <c r="F60" s="8"/>
    </row>
    <row r="61" spans="2:36" ht="15" hidden="1" customHeight="1" x14ac:dyDescent="0.2">
      <c r="F61" s="8"/>
    </row>
    <row r="62" spans="2:36" ht="15" hidden="1" customHeight="1" x14ac:dyDescent="0.2">
      <c r="F62" s="8"/>
    </row>
    <row r="63" spans="2:36" ht="15" hidden="1" customHeight="1" x14ac:dyDescent="0.2">
      <c r="F63" s="8"/>
    </row>
    <row r="64" spans="2:36" ht="15" hidden="1" customHeight="1" x14ac:dyDescent="0.2">
      <c r="F64" s="8"/>
    </row>
    <row r="65" spans="6:36" ht="15" hidden="1" customHeight="1" x14ac:dyDescent="0.2">
      <c r="F65" s="8"/>
    </row>
    <row r="66" spans="6:36" ht="15" hidden="1" customHeight="1" x14ac:dyDescent="0.2">
      <c r="F66" s="8"/>
    </row>
    <row r="67" spans="6:36" ht="15" hidden="1" customHeight="1" x14ac:dyDescent="0.2">
      <c r="F67" s="8"/>
    </row>
    <row r="68" spans="6:36" ht="15" hidden="1" customHeight="1" x14ac:dyDescent="0.2">
      <c r="F68" s="8"/>
    </row>
    <row r="69" spans="6:36" ht="15" hidden="1" customHeight="1" x14ac:dyDescent="0.2">
      <c r="F69" s="8"/>
    </row>
    <row r="70" spans="6:36" ht="15" hidden="1" customHeight="1" x14ac:dyDescent="0.2">
      <c r="F70" s="8"/>
      <c r="G70" s="14"/>
      <c r="H70" s="14"/>
      <c r="I70" s="13"/>
      <c r="J70" s="13"/>
      <c r="K70" s="40">
        <v>0</v>
      </c>
      <c r="L70" s="40">
        <v>1</v>
      </c>
      <c r="M70" s="40">
        <v>2</v>
      </c>
      <c r="N70" s="40">
        <v>3</v>
      </c>
      <c r="O70" s="40">
        <v>4</v>
      </c>
      <c r="P70" s="40">
        <v>5</v>
      </c>
      <c r="Q70" s="40">
        <v>6</v>
      </c>
      <c r="R70" s="40">
        <v>7</v>
      </c>
      <c r="S70" s="40">
        <v>8</v>
      </c>
      <c r="T70" s="40">
        <v>9</v>
      </c>
      <c r="U70" s="40">
        <v>10</v>
      </c>
      <c r="V70" s="40">
        <v>11</v>
      </c>
      <c r="W70" s="40">
        <v>12</v>
      </c>
      <c r="X70" s="40">
        <v>13</v>
      </c>
      <c r="Y70" s="40">
        <v>14</v>
      </c>
      <c r="Z70" s="40">
        <v>15</v>
      </c>
      <c r="AA70" s="40">
        <v>16</v>
      </c>
      <c r="AB70" s="40">
        <v>17</v>
      </c>
      <c r="AC70" s="40">
        <v>18</v>
      </c>
      <c r="AD70" s="40">
        <v>19</v>
      </c>
      <c r="AE70" s="40">
        <v>20</v>
      </c>
      <c r="AF70" s="40">
        <v>21</v>
      </c>
      <c r="AG70" s="40">
        <v>22</v>
      </c>
      <c r="AH70" s="40">
        <v>23</v>
      </c>
      <c r="AI70" s="40">
        <v>24</v>
      </c>
      <c r="AJ70" s="40">
        <v>25</v>
      </c>
    </row>
    <row r="71" spans="6:36" ht="15" hidden="1" customHeight="1" x14ac:dyDescent="0.2">
      <c r="F71" s="8"/>
      <c r="G71" s="14" t="s">
        <v>183</v>
      </c>
      <c r="H71" s="14"/>
      <c r="I71" s="13"/>
      <c r="J71" s="13"/>
      <c r="K71" s="41">
        <v>1</v>
      </c>
      <c r="L71" s="41">
        <f>K71+1</f>
        <v>2</v>
      </c>
      <c r="M71" s="41">
        <f t="shared" ref="M71:AH71" si="0">L71+1</f>
        <v>3</v>
      </c>
      <c r="N71" s="41">
        <f t="shared" si="0"/>
        <v>4</v>
      </c>
      <c r="O71" s="41">
        <f t="shared" si="0"/>
        <v>5</v>
      </c>
      <c r="P71" s="41">
        <f t="shared" si="0"/>
        <v>6</v>
      </c>
      <c r="Q71" s="41">
        <f t="shared" si="0"/>
        <v>7</v>
      </c>
      <c r="R71" s="41">
        <f t="shared" si="0"/>
        <v>8</v>
      </c>
      <c r="S71" s="41">
        <f t="shared" si="0"/>
        <v>9</v>
      </c>
      <c r="T71" s="41">
        <f t="shared" si="0"/>
        <v>10</v>
      </c>
      <c r="U71" s="41">
        <f t="shared" si="0"/>
        <v>11</v>
      </c>
      <c r="V71" s="41">
        <f t="shared" si="0"/>
        <v>12</v>
      </c>
      <c r="W71" s="41">
        <f t="shared" si="0"/>
        <v>13</v>
      </c>
      <c r="X71" s="41">
        <f t="shared" si="0"/>
        <v>14</v>
      </c>
      <c r="Y71" s="41">
        <f t="shared" si="0"/>
        <v>15</v>
      </c>
      <c r="Z71" s="41">
        <f t="shared" si="0"/>
        <v>16</v>
      </c>
      <c r="AA71" s="41">
        <f t="shared" si="0"/>
        <v>17</v>
      </c>
      <c r="AB71" s="41">
        <f t="shared" si="0"/>
        <v>18</v>
      </c>
      <c r="AC71" s="41">
        <f t="shared" si="0"/>
        <v>19</v>
      </c>
      <c r="AD71" s="41">
        <f t="shared" si="0"/>
        <v>20</v>
      </c>
      <c r="AE71" s="41">
        <f t="shared" si="0"/>
        <v>21</v>
      </c>
      <c r="AF71" s="41">
        <f t="shared" si="0"/>
        <v>22</v>
      </c>
      <c r="AG71" s="41">
        <f t="shared" si="0"/>
        <v>23</v>
      </c>
      <c r="AH71" s="41">
        <f t="shared" si="0"/>
        <v>24</v>
      </c>
      <c r="AI71" s="41">
        <f>AH71+1</f>
        <v>25</v>
      </c>
      <c r="AJ71" s="41">
        <f>AI71+1</f>
        <v>26</v>
      </c>
    </row>
    <row r="72" spans="6:36" ht="15" hidden="1" customHeight="1" x14ac:dyDescent="0.2">
      <c r="F72" s="8"/>
      <c r="G72" s="14" t="s">
        <v>548</v>
      </c>
      <c r="H72" s="69"/>
      <c r="I72" s="69"/>
      <c r="J72" s="196" t="e">
        <f>INDEX(K$70:AJ$70,MATCH(TRUE,INDEX(K72:AJ72&lt;&gt;0,),0))</f>
        <v>#N/A</v>
      </c>
      <c r="K72" s="69">
        <f>IF(K70&lt;$Q$42,0,IF(K136&lt;K112,1,0))</f>
        <v>0</v>
      </c>
      <c r="L72" s="69">
        <f t="shared" ref="L72:AI72" si="1">IF(L70&lt;$Q$42,0,IF(L136&lt;L112,1,0))</f>
        <v>0</v>
      </c>
      <c r="M72" s="69">
        <f t="shared" si="1"/>
        <v>0</v>
      </c>
      <c r="N72" s="69">
        <f t="shared" si="1"/>
        <v>0</v>
      </c>
      <c r="O72" s="69">
        <f t="shared" si="1"/>
        <v>0</v>
      </c>
      <c r="P72" s="69">
        <f t="shared" si="1"/>
        <v>0</v>
      </c>
      <c r="Q72" s="69">
        <f t="shared" si="1"/>
        <v>0</v>
      </c>
      <c r="R72" s="69">
        <f t="shared" si="1"/>
        <v>0</v>
      </c>
      <c r="S72" s="69">
        <f t="shared" si="1"/>
        <v>0</v>
      </c>
      <c r="T72" s="69">
        <f t="shared" si="1"/>
        <v>0</v>
      </c>
      <c r="U72" s="69">
        <f t="shared" si="1"/>
        <v>0</v>
      </c>
      <c r="V72" s="69">
        <f t="shared" si="1"/>
        <v>0</v>
      </c>
      <c r="W72" s="69">
        <f t="shared" si="1"/>
        <v>0</v>
      </c>
      <c r="X72" s="69">
        <f t="shared" si="1"/>
        <v>0</v>
      </c>
      <c r="Y72" s="69">
        <f t="shared" si="1"/>
        <v>0</v>
      </c>
      <c r="Z72" s="69">
        <f t="shared" si="1"/>
        <v>0</v>
      </c>
      <c r="AA72" s="69">
        <f t="shared" si="1"/>
        <v>0</v>
      </c>
      <c r="AB72" s="69">
        <f t="shared" si="1"/>
        <v>0</v>
      </c>
      <c r="AC72" s="69">
        <f t="shared" si="1"/>
        <v>0</v>
      </c>
      <c r="AD72" s="69">
        <f t="shared" si="1"/>
        <v>0</v>
      </c>
      <c r="AE72" s="69">
        <f t="shared" si="1"/>
        <v>0</v>
      </c>
      <c r="AF72" s="69">
        <f t="shared" si="1"/>
        <v>0</v>
      </c>
      <c r="AG72" s="69">
        <f t="shared" si="1"/>
        <v>0</v>
      </c>
      <c r="AH72" s="69">
        <f t="shared" si="1"/>
        <v>0</v>
      </c>
      <c r="AI72" s="69">
        <f t="shared" si="1"/>
        <v>0</v>
      </c>
      <c r="AJ72" s="69">
        <f>IF(AJ70&lt;$Q$42,0,IF(AJ136&lt;AJ112,1,0))</f>
        <v>0</v>
      </c>
    </row>
    <row r="73" spans="6:36" ht="15" hidden="1" customHeight="1" x14ac:dyDescent="0.2">
      <c r="F73" s="8"/>
      <c r="G73" s="14" t="s">
        <v>592</v>
      </c>
      <c r="H73" s="69"/>
      <c r="I73" s="69"/>
      <c r="J73" s="196" t="e">
        <f>INDEX(K$70:AJ$70,MATCH(TRUE,INDEX(K73:AJ73&lt;&gt;0,),0))</f>
        <v>#N/A</v>
      </c>
      <c r="K73" s="69">
        <f>IF(K71&lt;$AC$42,0,IF(K160&lt;K112,1,0))</f>
        <v>0</v>
      </c>
      <c r="L73" s="69">
        <f>IF(L71&lt;$AC$42,0,IF(L160&lt;L112,1,0))</f>
        <v>0</v>
      </c>
      <c r="M73" s="69">
        <f t="shared" ref="M73:AI73" si="2">IF(M71&lt;$AC$42,0,IF(M160&lt;M112,1,0))</f>
        <v>0</v>
      </c>
      <c r="N73" s="69">
        <f t="shared" si="2"/>
        <v>0</v>
      </c>
      <c r="O73" s="69">
        <f t="shared" si="2"/>
        <v>0</v>
      </c>
      <c r="P73" s="69">
        <f t="shared" si="2"/>
        <v>0</v>
      </c>
      <c r="Q73" s="69">
        <f t="shared" si="2"/>
        <v>0</v>
      </c>
      <c r="R73" s="69">
        <f t="shared" si="2"/>
        <v>0</v>
      </c>
      <c r="S73" s="69">
        <f t="shared" si="2"/>
        <v>0</v>
      </c>
      <c r="T73" s="69">
        <f t="shared" si="2"/>
        <v>0</v>
      </c>
      <c r="U73" s="69">
        <f t="shared" si="2"/>
        <v>0</v>
      </c>
      <c r="V73" s="69">
        <f t="shared" si="2"/>
        <v>0</v>
      </c>
      <c r="W73" s="69">
        <f t="shared" si="2"/>
        <v>0</v>
      </c>
      <c r="X73" s="69">
        <f t="shared" si="2"/>
        <v>0</v>
      </c>
      <c r="Y73" s="69">
        <f t="shared" si="2"/>
        <v>0</v>
      </c>
      <c r="Z73" s="69">
        <f t="shared" si="2"/>
        <v>0</v>
      </c>
      <c r="AA73" s="69">
        <f t="shared" si="2"/>
        <v>0</v>
      </c>
      <c r="AB73" s="69">
        <f t="shared" si="2"/>
        <v>0</v>
      </c>
      <c r="AC73" s="69">
        <f t="shared" si="2"/>
        <v>0</v>
      </c>
      <c r="AD73" s="69">
        <f t="shared" si="2"/>
        <v>0</v>
      </c>
      <c r="AE73" s="69">
        <f t="shared" si="2"/>
        <v>0</v>
      </c>
      <c r="AF73" s="69">
        <f t="shared" si="2"/>
        <v>0</v>
      </c>
      <c r="AG73" s="69">
        <f t="shared" si="2"/>
        <v>0</v>
      </c>
      <c r="AH73" s="69">
        <f t="shared" si="2"/>
        <v>0</v>
      </c>
      <c r="AI73" s="69">
        <f t="shared" si="2"/>
        <v>0</v>
      </c>
      <c r="AJ73" s="69">
        <f>IF(AJ71&lt;$AC$42,0,IF(AJ160&lt;AJ112,1,0))</f>
        <v>0</v>
      </c>
    </row>
    <row r="74" spans="6:36" ht="15" hidden="1" customHeight="1" x14ac:dyDescent="0.2">
      <c r="F74" s="8"/>
      <c r="G74" s="14"/>
      <c r="H74" s="69"/>
      <c r="I74" s="69"/>
      <c r="J74" s="196"/>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row>
    <row r="75" spans="6:36" ht="15" hidden="1" customHeight="1" x14ac:dyDescent="0.2">
      <c r="F75" s="8"/>
      <c r="G75" s="14" t="s">
        <v>309</v>
      </c>
      <c r="H75" s="69"/>
      <c r="I75" s="69"/>
      <c r="J75" s="196"/>
      <c r="K75" s="394">
        <f>Data!$P$170</f>
        <v>0</v>
      </c>
      <c r="L75" s="103">
        <f>K75*(1+(Data!$P$196/100))</f>
        <v>0</v>
      </c>
      <c r="M75" s="103">
        <f>L75*(1+(Data!$P$196/100))</f>
        <v>0</v>
      </c>
      <c r="N75" s="103">
        <f>M75*(1+(Data!$P$196/100))</f>
        <v>0</v>
      </c>
      <c r="O75" s="103">
        <f>N75*(1+(Data!$P$196/100))</f>
        <v>0</v>
      </c>
      <c r="P75" s="103">
        <f>O75*(1+(Data!$P$196/100))</f>
        <v>0</v>
      </c>
      <c r="Q75" s="103">
        <f>P75*(1+(Data!$P$196/100))</f>
        <v>0</v>
      </c>
      <c r="R75" s="103">
        <f>Q75*(1+(Data!$P$196/100))</f>
        <v>0</v>
      </c>
      <c r="S75" s="103">
        <f>R75*(1+(Data!$P$196/100))</f>
        <v>0</v>
      </c>
      <c r="T75" s="103">
        <f>S75*(1+(Data!$P$196/100))</f>
        <v>0</v>
      </c>
      <c r="U75" s="103">
        <f>T75*(1+(Data!$P$196/100))</f>
        <v>0</v>
      </c>
      <c r="V75" s="103">
        <f>U75*(1+(Data!$P$196/100))</f>
        <v>0</v>
      </c>
      <c r="W75" s="103">
        <f>V75*(1+(Data!$P$196/100))</f>
        <v>0</v>
      </c>
      <c r="X75" s="103">
        <f>W75*(1+(Data!$P$196/100))</f>
        <v>0</v>
      </c>
      <c r="Y75" s="103">
        <f>X75*(1+(Data!$P$196/100))</f>
        <v>0</v>
      </c>
      <c r="Z75" s="103">
        <f>Y75*(1+(Data!$P$196/100))</f>
        <v>0</v>
      </c>
      <c r="AA75" s="103">
        <f>Z75*(1+(Data!$P$196/100))</f>
        <v>0</v>
      </c>
      <c r="AB75" s="103">
        <f>AA75*(1+(Data!$P$196/100))</f>
        <v>0</v>
      </c>
      <c r="AC75" s="103">
        <f>AB75*(1+(Data!$P$196/100))</f>
        <v>0</v>
      </c>
      <c r="AD75" s="103">
        <f>AC75*(1+(Data!$P$196/100))</f>
        <v>0</v>
      </c>
      <c r="AE75" s="103">
        <f>AD75*(1+(Data!$P$196/100))</f>
        <v>0</v>
      </c>
      <c r="AF75" s="103">
        <f>AE75*(1+(Data!$P$196/100))</f>
        <v>0</v>
      </c>
      <c r="AG75" s="103">
        <f>AF75*(1+(Data!$P$196/100))</f>
        <v>0</v>
      </c>
      <c r="AH75" s="103">
        <f>AG75*(1+(Data!$P$196/100))</f>
        <v>0</v>
      </c>
      <c r="AI75" s="103">
        <f>AH75*(1+(Data!$P$196/100))</f>
        <v>0</v>
      </c>
      <c r="AJ75" s="103">
        <f>AI75*(1+(Data!$P$196/100))</f>
        <v>0</v>
      </c>
    </row>
    <row r="76" spans="6:36" ht="15" hidden="1" customHeight="1" x14ac:dyDescent="0.2">
      <c r="F76" s="8"/>
      <c r="G76" s="14" t="s">
        <v>284</v>
      </c>
      <c r="H76" s="14"/>
      <c r="I76" s="14"/>
      <c r="J76" s="14"/>
      <c r="K76" s="103">
        <f>Data!$P$171</f>
        <v>0.184</v>
      </c>
      <c r="L76" s="103">
        <f>K76*(1+(Data!$P$197/100))</f>
        <v>0.184</v>
      </c>
      <c r="M76" s="103">
        <f>L76*(1+(Data!$P$197/100))</f>
        <v>0.184</v>
      </c>
      <c r="N76" s="103">
        <f>M76*(1+(Data!$P$197/100))</f>
        <v>0.184</v>
      </c>
      <c r="O76" s="103">
        <f>N76*(1+(Data!$P$197/100))</f>
        <v>0.184</v>
      </c>
      <c r="P76" s="103">
        <f>O76*(1+(Data!$P$197/100))</f>
        <v>0.184</v>
      </c>
      <c r="Q76" s="103">
        <f>P76*(1+(Data!$P$197/100))</f>
        <v>0.184</v>
      </c>
      <c r="R76" s="103">
        <f>Q76*(1+(Data!$P$197/100))</f>
        <v>0.184</v>
      </c>
      <c r="S76" s="103">
        <f>R76*(1+(Data!$P$197/100))</f>
        <v>0.184</v>
      </c>
      <c r="T76" s="103">
        <f>S76*(1+(Data!$P$197/100))</f>
        <v>0.184</v>
      </c>
      <c r="U76" s="103">
        <f>T76*(1+(Data!$P$197/100))</f>
        <v>0.184</v>
      </c>
      <c r="V76" s="103">
        <f>U76*(1+(Data!$P$197/100))</f>
        <v>0.184</v>
      </c>
      <c r="W76" s="103">
        <f>V76*(1+(Data!$P$197/100))</f>
        <v>0.184</v>
      </c>
      <c r="X76" s="103">
        <f>W76*(1+(Data!$P$197/100))</f>
        <v>0.184</v>
      </c>
      <c r="Y76" s="103">
        <f>X76*(1+(Data!$P$197/100))</f>
        <v>0.184</v>
      </c>
      <c r="Z76" s="103">
        <f>Y76*(1+(Data!$P$197/100))</f>
        <v>0.184</v>
      </c>
      <c r="AA76" s="103">
        <f>Z76*(1+(Data!$P$197/100))</f>
        <v>0.184</v>
      </c>
      <c r="AB76" s="103">
        <f>AA76*(1+(Data!$P$197/100))</f>
        <v>0.184</v>
      </c>
      <c r="AC76" s="103">
        <f>AB76*(1+(Data!$P$197/100))</f>
        <v>0.184</v>
      </c>
      <c r="AD76" s="103">
        <f>AC76*(1+(Data!$P$197/100))</f>
        <v>0.184</v>
      </c>
      <c r="AE76" s="103">
        <f>AD76*(1+(Data!$P$197/100))</f>
        <v>0.184</v>
      </c>
      <c r="AF76" s="103">
        <f>AE76*(1+(Data!$P$197/100))</f>
        <v>0.184</v>
      </c>
      <c r="AG76" s="103">
        <f>AF76*(1+(Data!$P$197/100))</f>
        <v>0.184</v>
      </c>
      <c r="AH76" s="103">
        <f>AG76*(1+(Data!$P$197/100))</f>
        <v>0.184</v>
      </c>
      <c r="AI76" s="103">
        <f>AH76*(1+(Data!$P$197/100))</f>
        <v>0.184</v>
      </c>
      <c r="AJ76" s="103">
        <f>AI76*(1+(Data!$P$197/100))</f>
        <v>0.184</v>
      </c>
    </row>
    <row r="77" spans="6:36" ht="15" hidden="1" customHeight="1" x14ac:dyDescent="0.2">
      <c r="F77" s="8"/>
      <c r="G77" s="14" t="s">
        <v>259</v>
      </c>
      <c r="H77" s="14"/>
      <c r="I77" s="14"/>
      <c r="J77" s="14"/>
      <c r="K77" s="103">
        <f>Data!$P$172</f>
        <v>0.17072999999999999</v>
      </c>
      <c r="L77" s="103">
        <f>K77*(1+(Data!$P$198/100))</f>
        <v>0.17072999999999999</v>
      </c>
      <c r="M77" s="103">
        <f>L77*(1+(Data!$P$198/100))</f>
        <v>0.17072999999999999</v>
      </c>
      <c r="N77" s="103">
        <f>M77*(1+(Data!$P$198/100))</f>
        <v>0.17072999999999999</v>
      </c>
      <c r="O77" s="103">
        <f>N77*(1+(Data!$P$198/100))</f>
        <v>0.17072999999999999</v>
      </c>
      <c r="P77" s="103">
        <f>O77*(1+(Data!$P$198/100))</f>
        <v>0.17072999999999999</v>
      </c>
      <c r="Q77" s="103">
        <f>P77*(1+(Data!$P$198/100))</f>
        <v>0.17072999999999999</v>
      </c>
      <c r="R77" s="103">
        <f>Q77*(1+(Data!$P$198/100))</f>
        <v>0.17072999999999999</v>
      </c>
      <c r="S77" s="103">
        <f>R77*(1+(Data!$P$198/100))</f>
        <v>0.17072999999999999</v>
      </c>
      <c r="T77" s="103">
        <f>S77*(1+(Data!$P$198/100))</f>
        <v>0.17072999999999999</v>
      </c>
      <c r="U77" s="103">
        <f>T77*(1+(Data!$P$198/100))</f>
        <v>0.17072999999999999</v>
      </c>
      <c r="V77" s="103">
        <f>U77*(1+(Data!$P$198/100))</f>
        <v>0.17072999999999999</v>
      </c>
      <c r="W77" s="103">
        <f>V77*(1+(Data!$P$198/100))</f>
        <v>0.17072999999999999</v>
      </c>
      <c r="X77" s="103">
        <f>W77*(1+(Data!$P$198/100))</f>
        <v>0.17072999999999999</v>
      </c>
      <c r="Y77" s="103">
        <f>X77*(1+(Data!$P$198/100))</f>
        <v>0.17072999999999999</v>
      </c>
      <c r="Z77" s="103">
        <f>Y77*(1+(Data!$P$198/100))</f>
        <v>0.17072999999999999</v>
      </c>
      <c r="AA77" s="103">
        <f>Z77*(1+(Data!$P$198/100))</f>
        <v>0.17072999999999999</v>
      </c>
      <c r="AB77" s="103">
        <f>AA77*(1+(Data!$P$198/100))</f>
        <v>0.17072999999999999</v>
      </c>
      <c r="AC77" s="103">
        <f>AB77*(1+(Data!$P$198/100))</f>
        <v>0.17072999999999999</v>
      </c>
      <c r="AD77" s="103">
        <f>AC77*(1+(Data!$P$198/100))</f>
        <v>0.17072999999999999</v>
      </c>
      <c r="AE77" s="103">
        <f>AD77*(1+(Data!$P$198/100))</f>
        <v>0.17072999999999999</v>
      </c>
      <c r="AF77" s="103">
        <f>AE77*(1+(Data!$P$198/100))</f>
        <v>0.17072999999999999</v>
      </c>
      <c r="AG77" s="103">
        <f>AF77*(1+(Data!$P$198/100))</f>
        <v>0.17072999999999999</v>
      </c>
      <c r="AH77" s="103">
        <f>AG77*(1+(Data!$P$198/100))</f>
        <v>0.17072999999999999</v>
      </c>
      <c r="AI77" s="103">
        <f>AH77*(1+(Data!$P$198/100))</f>
        <v>0.17072999999999999</v>
      </c>
      <c r="AJ77" s="103">
        <f>AI77*(1+(Data!$P$198/100))</f>
        <v>0.17072999999999999</v>
      </c>
    </row>
    <row r="78" spans="6:36" ht="15" hidden="1" customHeight="1" x14ac:dyDescent="0.2">
      <c r="F78" s="8"/>
      <c r="G78" s="14" t="s">
        <v>320</v>
      </c>
      <c r="H78" s="14"/>
      <c r="I78" s="14"/>
      <c r="J78" s="14"/>
      <c r="K78" s="103">
        <f>Data!$P$173</f>
        <v>0.17072999999999999</v>
      </c>
      <c r="L78" s="103">
        <f>K78*(1+(Data!$P$199/100))</f>
        <v>0.17072999999999999</v>
      </c>
      <c r="M78" s="103">
        <f>L78*(1+(Data!$P$199/100))</f>
        <v>0.17072999999999999</v>
      </c>
      <c r="N78" s="103">
        <f>M78*(1+(Data!$P$199/100))</f>
        <v>0.17072999999999999</v>
      </c>
      <c r="O78" s="103">
        <f>N78*(1+(Data!$P$199/100))</f>
        <v>0.17072999999999999</v>
      </c>
      <c r="P78" s="103">
        <f>O78*(1+(Data!$P$199/100))</f>
        <v>0.17072999999999999</v>
      </c>
      <c r="Q78" s="103">
        <f>P78*(1+(Data!$P$199/100))</f>
        <v>0.17072999999999999</v>
      </c>
      <c r="R78" s="103">
        <f>Q78*(1+(Data!$P$199/100))</f>
        <v>0.17072999999999999</v>
      </c>
      <c r="S78" s="103">
        <f>R78*(1+(Data!$P$199/100))</f>
        <v>0.17072999999999999</v>
      </c>
      <c r="T78" s="103">
        <f>S78*(1+(Data!$P$199/100))</f>
        <v>0.17072999999999999</v>
      </c>
      <c r="U78" s="103">
        <f>T78*(1+(Data!$P$199/100))</f>
        <v>0.17072999999999999</v>
      </c>
      <c r="V78" s="103">
        <f>U78*(1+(Data!$P$199/100))</f>
        <v>0.17072999999999999</v>
      </c>
      <c r="W78" s="103">
        <f>V78*(1+(Data!$P$199/100))</f>
        <v>0.17072999999999999</v>
      </c>
      <c r="X78" s="103">
        <f>W78*(1+(Data!$P$199/100))</f>
        <v>0.17072999999999999</v>
      </c>
      <c r="Y78" s="103">
        <f>X78*(1+(Data!$P$199/100))</f>
        <v>0.17072999999999999</v>
      </c>
      <c r="Z78" s="103">
        <f>Y78*(1+(Data!$P$199/100))</f>
        <v>0.17072999999999999</v>
      </c>
      <c r="AA78" s="103">
        <f>Z78*(1+(Data!$P$199/100))</f>
        <v>0.17072999999999999</v>
      </c>
      <c r="AB78" s="103">
        <f>AA78*(1+(Data!$P$199/100))</f>
        <v>0.17072999999999999</v>
      </c>
      <c r="AC78" s="103">
        <f>AB78*(1+(Data!$P$199/100))</f>
        <v>0.17072999999999999</v>
      </c>
      <c r="AD78" s="103">
        <f>AC78*(1+(Data!$P$199/100))</f>
        <v>0.17072999999999999</v>
      </c>
      <c r="AE78" s="103">
        <f>AD78*(1+(Data!$P$199/100))</f>
        <v>0.17072999999999999</v>
      </c>
      <c r="AF78" s="103">
        <f>AE78*(1+(Data!$P$199/100))</f>
        <v>0.17072999999999999</v>
      </c>
      <c r="AG78" s="103">
        <f>AF78*(1+(Data!$P$199/100))</f>
        <v>0.17072999999999999</v>
      </c>
      <c r="AH78" s="103">
        <f>AG78*(1+(Data!$P$199/100))</f>
        <v>0.17072999999999999</v>
      </c>
      <c r="AI78" s="103">
        <f>AH78*(1+(Data!$P$199/100))</f>
        <v>0.17072999999999999</v>
      </c>
      <c r="AJ78" s="103">
        <f>AI78*(1+(Data!$P$199/100))</f>
        <v>0.17072999999999999</v>
      </c>
    </row>
    <row r="79" spans="6:36" ht="15" hidden="1" customHeight="1" x14ac:dyDescent="0.2">
      <c r="F79" s="8"/>
      <c r="G79" s="14" t="s">
        <v>252</v>
      </c>
      <c r="H79" s="14"/>
      <c r="I79" s="14"/>
      <c r="J79" s="14"/>
      <c r="K79" s="103">
        <f>Data!$P$174</f>
        <v>0.19338</v>
      </c>
      <c r="L79" s="103">
        <f>K79*(1+(Data!$P$200/100))</f>
        <v>0.18757859999999998</v>
      </c>
      <c r="M79" s="103">
        <f>L79*(1+(Data!$P$200/100))</f>
        <v>0.18195124199999999</v>
      </c>
      <c r="N79" s="103">
        <f>M79*(1+(Data!$P$200/100))</f>
        <v>0.17649270473999998</v>
      </c>
      <c r="O79" s="103">
        <f>N79*(1+(Data!$P$200/100))</f>
        <v>0.17119792359779998</v>
      </c>
      <c r="P79" s="103">
        <f>O79*(1+(Data!$P$200/100))</f>
        <v>0.16606198588986598</v>
      </c>
      <c r="Q79" s="103">
        <f>P79*(1+(Data!$P$200/100))</f>
        <v>0.16108012631317001</v>
      </c>
      <c r="R79" s="103">
        <f>Q79*(1+(Data!$P$200/100))</f>
        <v>0.15624772252377489</v>
      </c>
      <c r="S79" s="103">
        <f>R79*(1+(Data!$P$200/100))</f>
        <v>0.15156029084806164</v>
      </c>
      <c r="T79" s="103">
        <f>S79*(1+(Data!$P$200/100))</f>
        <v>0.14701348212261978</v>
      </c>
      <c r="U79" s="103">
        <f>T79*(1+(Data!$P$200/100))</f>
        <v>0.14260307765894117</v>
      </c>
      <c r="V79" s="103">
        <f>U79*(1+(Data!$P$200/100))</f>
        <v>0.13832498532917292</v>
      </c>
      <c r="W79" s="103">
        <f>V79*(1+(Data!$P$200/100))</f>
        <v>0.13417523576929774</v>
      </c>
      <c r="X79" s="103">
        <f>W79*(1+(Data!$P$200/100))</f>
        <v>0.1301499786962188</v>
      </c>
      <c r="Y79" s="103">
        <f>X79*(1+(Data!$P$200/100))</f>
        <v>0.12624547933533223</v>
      </c>
      <c r="Z79" s="103">
        <f>Y79*(1+(Data!$P$200/100))</f>
        <v>0.12245811495527226</v>
      </c>
      <c r="AA79" s="103">
        <f>Z79*(1+(Data!$P$200/100))</f>
        <v>0.11878437150661408</v>
      </c>
      <c r="AB79" s="103">
        <f>AA79*(1+(Data!$P$200/100))</f>
        <v>0.11522084036141565</v>
      </c>
      <c r="AC79" s="103">
        <f>AB79*(1+(Data!$P$200/100))</f>
        <v>0.11176421515057318</v>
      </c>
      <c r="AD79" s="103">
        <f>AC79*(1+(Data!$P$200/100))</f>
        <v>0.10841128869605599</v>
      </c>
      <c r="AE79" s="103">
        <f>AD79*(1+(Data!$P$200/100))</f>
        <v>0.10515895003517431</v>
      </c>
      <c r="AF79" s="103">
        <f>AE79*(1+(Data!$P$200/100))</f>
        <v>0.10200418153411908</v>
      </c>
      <c r="AG79" s="103">
        <f>AF79*(1+(Data!$P$200/100))</f>
        <v>9.8944056088095506E-2</v>
      </c>
      <c r="AH79" s="103">
        <f>AG79*(1+(Data!$P$200/100))</f>
        <v>9.5975734405452637E-2</v>
      </c>
      <c r="AI79" s="103">
        <f>AH79*(1+(Data!$P$200/100))</f>
        <v>9.3096462373289057E-2</v>
      </c>
      <c r="AJ79" s="103">
        <f>AI79*(1+(Data!$P$200/100))</f>
        <v>9.0303568502090384E-2</v>
      </c>
    </row>
    <row r="80" spans="6:36" ht="15" hidden="1" customHeight="1" x14ac:dyDescent="0.2">
      <c r="F80" s="8"/>
      <c r="G80" s="14"/>
      <c r="H80" s="69"/>
      <c r="I80" s="69"/>
      <c r="J80" s="196"/>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row>
    <row r="81" spans="6:36" ht="15" hidden="1" customHeight="1" x14ac:dyDescent="0.2">
      <c r="F81" s="8"/>
      <c r="G81" s="14" t="s">
        <v>309</v>
      </c>
      <c r="H81" s="69"/>
      <c r="I81" s="69"/>
      <c r="J81" s="196"/>
      <c r="K81" s="394">
        <f>Data!$P$177</f>
        <v>0</v>
      </c>
      <c r="L81" s="103">
        <f>K81*(1+(Data!$P$188/100))</f>
        <v>0</v>
      </c>
      <c r="M81" s="103">
        <f>L81*(1+(Data!$P$188/100))</f>
        <v>0</v>
      </c>
      <c r="N81" s="103">
        <f>M81*(1+(Data!$P$188/100))</f>
        <v>0</v>
      </c>
      <c r="O81" s="103">
        <f>N81*(1+(Data!$P$188/100))</f>
        <v>0</v>
      </c>
      <c r="P81" s="103">
        <f>O81*(1+(Data!$P$188/100))</f>
        <v>0</v>
      </c>
      <c r="Q81" s="103">
        <f>P81*(1+(Data!$P$188/100))</f>
        <v>0</v>
      </c>
      <c r="R81" s="103">
        <f>Q81*(1+(Data!$P$188/100))</f>
        <v>0</v>
      </c>
      <c r="S81" s="103">
        <f>R81*(1+(Data!$P$188/100))</f>
        <v>0</v>
      </c>
      <c r="T81" s="103">
        <f>S81*(1+(Data!$P$188/100))</f>
        <v>0</v>
      </c>
      <c r="U81" s="103">
        <f>T81*(1+(Data!$P$188/100))</f>
        <v>0</v>
      </c>
      <c r="V81" s="103">
        <f>U81*(1+(Data!$P$188/100))</f>
        <v>0</v>
      </c>
      <c r="W81" s="103">
        <f>V81*(1+(Data!$P$188/100))</f>
        <v>0</v>
      </c>
      <c r="X81" s="103">
        <f>W81*(1+(Data!$P$188/100))</f>
        <v>0</v>
      </c>
      <c r="Y81" s="103">
        <f>X81*(1+(Data!$P$188/100))</f>
        <v>0</v>
      </c>
      <c r="Z81" s="103">
        <f>Y81*(1+(Data!$P$188/100))</f>
        <v>0</v>
      </c>
      <c r="AA81" s="103">
        <f>Z81*(1+(Data!$P$188/100))</f>
        <v>0</v>
      </c>
      <c r="AB81" s="103">
        <f>AA81*(1+(Data!$P$188/100))</f>
        <v>0</v>
      </c>
      <c r="AC81" s="103">
        <f>AB81*(1+(Data!$P$188/100))</f>
        <v>0</v>
      </c>
      <c r="AD81" s="103">
        <f>AC81*(1+(Data!$P$188/100))</f>
        <v>0</v>
      </c>
      <c r="AE81" s="103">
        <f>AD81*(1+(Data!$P$188/100))</f>
        <v>0</v>
      </c>
      <c r="AF81" s="103">
        <f>AE81*(1+(Data!$P$188/100))</f>
        <v>0</v>
      </c>
      <c r="AG81" s="103">
        <f>AF81*(1+(Data!$P$188/100))</f>
        <v>0</v>
      </c>
      <c r="AH81" s="103">
        <f>AG81*(1+(Data!$P$188/100))</f>
        <v>0</v>
      </c>
      <c r="AI81" s="103">
        <f>AH81*(1+(Data!$P$188/100))</f>
        <v>0</v>
      </c>
      <c r="AJ81" s="103">
        <f>AI81*(1+(Data!$P$188/100))</f>
        <v>0</v>
      </c>
    </row>
    <row r="82" spans="6:36" ht="15" hidden="1" customHeight="1" x14ac:dyDescent="0.2">
      <c r="F82" s="8"/>
      <c r="G82" s="14" t="s">
        <v>284</v>
      </c>
      <c r="H82" s="69"/>
      <c r="I82" s="69"/>
      <c r="J82" s="196"/>
      <c r="K82" s="392">
        <f>Data!$P$178</f>
        <v>0.09</v>
      </c>
      <c r="L82" s="103">
        <f>K82*(1+(Data!$P$189/100))</f>
        <v>9.5399999999999999E-2</v>
      </c>
      <c r="M82" s="103">
        <f>L82*(1+(Data!$P$189/100))</f>
        <v>0.10112400000000001</v>
      </c>
      <c r="N82" s="103">
        <f>M82*(1+(Data!$P$189/100))</f>
        <v>0.10719144000000001</v>
      </c>
      <c r="O82" s="103">
        <f>N82*(1+(Data!$P$189/100))</f>
        <v>0.11362292640000002</v>
      </c>
      <c r="P82" s="103">
        <f>O82*(1+(Data!$P$189/100))</f>
        <v>0.12044030198400002</v>
      </c>
      <c r="Q82" s="103">
        <f>P82*(1+(Data!$P$189/100))</f>
        <v>0.12766672010304003</v>
      </c>
      <c r="R82" s="103">
        <f>Q82*(1+(Data!$P$189/100))</f>
        <v>0.13532672330922244</v>
      </c>
      <c r="S82" s="103">
        <f>R82*(1+(Data!$P$189/100))</f>
        <v>0.1434463267077758</v>
      </c>
      <c r="T82" s="103">
        <f>S82*(1+(Data!$P$189/100))</f>
        <v>0.15205310631024235</v>
      </c>
      <c r="U82" s="103">
        <f>T82*(1+(Data!$P$189/100))</f>
        <v>0.16117629268885691</v>
      </c>
      <c r="V82" s="103">
        <f>U82*(1+(Data!$P$189/100))</f>
        <v>0.17084687025018833</v>
      </c>
      <c r="W82" s="103">
        <f>V82*(1+(Data!$P$189/100))</f>
        <v>0.18109768246519964</v>
      </c>
      <c r="X82" s="103">
        <f>W82*(1+(Data!$P$189/100))</f>
        <v>0.19196354341311161</v>
      </c>
      <c r="Y82" s="103">
        <f>X82*(1+(Data!$P$189/100))</f>
        <v>0.20348135601789832</v>
      </c>
      <c r="Z82" s="103">
        <f>Y82*(1+(Data!$P$189/100))</f>
        <v>0.21569023737897222</v>
      </c>
      <c r="AA82" s="103">
        <f>Z82*(1+(Data!$P$189/100))</f>
        <v>0.22863165162171056</v>
      </c>
      <c r="AB82" s="103">
        <f>AA82*(1+(Data!$P$189/100))</f>
        <v>0.24234955071901321</v>
      </c>
      <c r="AC82" s="103">
        <f>AB82*(1+(Data!$P$189/100))</f>
        <v>0.25689052376215399</v>
      </c>
      <c r="AD82" s="103">
        <f>AC82*(1+(Data!$P$189/100))</f>
        <v>0.27230395518788325</v>
      </c>
      <c r="AE82" s="103">
        <f>AD82*(1+(Data!$P$189/100))</f>
        <v>0.28864219249915624</v>
      </c>
      <c r="AF82" s="103">
        <f>AE82*(1+(Data!$P$189/100))</f>
        <v>0.30596072404910563</v>
      </c>
      <c r="AG82" s="103">
        <f>AF82*(1+(Data!$P$189/100))</f>
        <v>0.32431836749205201</v>
      </c>
      <c r="AH82" s="103">
        <f>AG82*(1+(Data!$P$189/100))</f>
        <v>0.34377746954157512</v>
      </c>
      <c r="AI82" s="103">
        <f>AH82*(1+(Data!$P$189/100))</f>
        <v>0.36440411771406966</v>
      </c>
      <c r="AJ82" s="103">
        <f>AI82*(1+(Data!$P$189/100))</f>
        <v>0.38626836477691384</v>
      </c>
    </row>
    <row r="83" spans="6:36" ht="15" hidden="1" customHeight="1" x14ac:dyDescent="0.2">
      <c r="F83" s="8"/>
      <c r="G83" s="14" t="s">
        <v>259</v>
      </c>
      <c r="H83" s="69"/>
      <c r="I83" s="69"/>
      <c r="J83" s="196"/>
      <c r="K83" s="392">
        <f>Data!$P$179</f>
        <v>0.09</v>
      </c>
      <c r="L83" s="103">
        <f>K83*(1+(Data!$P$190/100))</f>
        <v>9.5399999999999999E-2</v>
      </c>
      <c r="M83" s="103">
        <f>L83*(1+(Data!$P$190/100))</f>
        <v>0.10112400000000001</v>
      </c>
      <c r="N83" s="103">
        <f>M83*(1+(Data!$P$190/100))</f>
        <v>0.10719144000000001</v>
      </c>
      <c r="O83" s="103">
        <f>N83*(1+(Data!$P$190/100))</f>
        <v>0.11362292640000002</v>
      </c>
      <c r="P83" s="103">
        <f>O83*(1+(Data!$P$190/100))</f>
        <v>0.12044030198400002</v>
      </c>
      <c r="Q83" s="103">
        <f>P83*(1+(Data!$P$190/100))</f>
        <v>0.12766672010304003</v>
      </c>
      <c r="R83" s="103">
        <f>Q83*(1+(Data!$P$190/100))</f>
        <v>0.13532672330922244</v>
      </c>
      <c r="S83" s="103">
        <f>R83*(1+(Data!$P$190/100))</f>
        <v>0.1434463267077758</v>
      </c>
      <c r="T83" s="103">
        <f>S83*(1+(Data!$P$190/100))</f>
        <v>0.15205310631024235</v>
      </c>
      <c r="U83" s="103">
        <f>T83*(1+(Data!$P$190/100))</f>
        <v>0.16117629268885691</v>
      </c>
      <c r="V83" s="103">
        <f>U83*(1+(Data!$P$190/100))</f>
        <v>0.17084687025018833</v>
      </c>
      <c r="W83" s="103">
        <f>V83*(1+(Data!$P$190/100))</f>
        <v>0.18109768246519964</v>
      </c>
      <c r="X83" s="103">
        <f>W83*(1+(Data!$P$190/100))</f>
        <v>0.19196354341311161</v>
      </c>
      <c r="Y83" s="103">
        <f>X83*(1+(Data!$P$190/100))</f>
        <v>0.20348135601789832</v>
      </c>
      <c r="Z83" s="103">
        <f>Y83*(1+(Data!$P$190/100))</f>
        <v>0.21569023737897222</v>
      </c>
      <c r="AA83" s="103">
        <f>Z83*(1+(Data!$P$190/100))</f>
        <v>0.22863165162171056</v>
      </c>
      <c r="AB83" s="103">
        <f>AA83*(1+(Data!$P$190/100))</f>
        <v>0.24234955071901321</v>
      </c>
      <c r="AC83" s="103">
        <f>AB83*(1+(Data!$P$190/100))</f>
        <v>0.25689052376215399</v>
      </c>
      <c r="AD83" s="103">
        <f>AC83*(1+(Data!$P$190/100))</f>
        <v>0.27230395518788325</v>
      </c>
      <c r="AE83" s="103">
        <f>AD83*(1+(Data!$P$190/100))</f>
        <v>0.28864219249915624</v>
      </c>
      <c r="AF83" s="103">
        <f>AE83*(1+(Data!$P$190/100))</f>
        <v>0.30596072404910563</v>
      </c>
      <c r="AG83" s="103">
        <f>AF83*(1+(Data!$P$190/100))</f>
        <v>0.32431836749205201</v>
      </c>
      <c r="AH83" s="103">
        <f>AG83*(1+(Data!$P$190/100))</f>
        <v>0.34377746954157512</v>
      </c>
      <c r="AI83" s="103">
        <f>AH83*(1+(Data!$P$190/100))</f>
        <v>0.36440411771406966</v>
      </c>
      <c r="AJ83" s="103">
        <f>AI83*(1+(Data!$P$190/100))</f>
        <v>0.38626836477691384</v>
      </c>
    </row>
    <row r="84" spans="6:36" ht="15" hidden="1" customHeight="1" x14ac:dyDescent="0.2">
      <c r="F84" s="8"/>
      <c r="G84" s="14" t="s">
        <v>320</v>
      </c>
      <c r="H84" s="69"/>
      <c r="I84" s="69"/>
      <c r="J84" s="196"/>
      <c r="K84" s="392">
        <f>Data!$P$180</f>
        <v>0.16463429999999998</v>
      </c>
      <c r="L84" s="103">
        <f>K84*(1+(Data!$P$191/100))</f>
        <v>0.17451235799999998</v>
      </c>
      <c r="M84" s="103">
        <f>L84*(1+(Data!$P$191/100))</f>
        <v>0.18498309948</v>
      </c>
      <c r="N84" s="103">
        <f>M84*(1+(Data!$P$191/100))</f>
        <v>0.19608208544880001</v>
      </c>
      <c r="O84" s="103">
        <f>N84*(1+(Data!$P$191/100))</f>
        <v>0.20784701057572802</v>
      </c>
      <c r="P84" s="103">
        <f>O84*(1+(Data!$P$191/100))</f>
        <v>0.22031783121027171</v>
      </c>
      <c r="Q84" s="103">
        <f>P84*(1+(Data!$P$191/100))</f>
        <v>0.23353690108288802</v>
      </c>
      <c r="R84" s="103">
        <f>Q84*(1+(Data!$P$191/100))</f>
        <v>0.24754911514786132</v>
      </c>
      <c r="S84" s="103">
        <f>R84*(1+(Data!$P$191/100))</f>
        <v>0.262402062056733</v>
      </c>
      <c r="T84" s="103">
        <f>S84*(1+(Data!$P$191/100))</f>
        <v>0.278146185780137</v>
      </c>
      <c r="U84" s="103">
        <f>T84*(1+(Data!$P$191/100))</f>
        <v>0.29483495692694522</v>
      </c>
      <c r="V84" s="103">
        <f>U84*(1+(Data!$P$191/100))</f>
        <v>0.31252505434256195</v>
      </c>
      <c r="W84" s="103">
        <f>V84*(1+(Data!$P$191/100))</f>
        <v>0.3312765576031157</v>
      </c>
      <c r="X84" s="103">
        <f>W84*(1+(Data!$P$191/100))</f>
        <v>0.35115315105930267</v>
      </c>
      <c r="Y84" s="103">
        <f>X84*(1+(Data!$P$191/100))</f>
        <v>0.37222234012286087</v>
      </c>
      <c r="Z84" s="103">
        <f>Y84*(1+(Data!$P$191/100))</f>
        <v>0.39455568053023254</v>
      </c>
      <c r="AA84" s="103">
        <f>Z84*(1+(Data!$P$191/100))</f>
        <v>0.41822902136204654</v>
      </c>
      <c r="AB84" s="103">
        <f>AA84*(1+(Data!$P$191/100))</f>
        <v>0.44332276264376935</v>
      </c>
      <c r="AC84" s="103">
        <f>AB84*(1+(Data!$P$191/100))</f>
        <v>0.46992212840239556</v>
      </c>
      <c r="AD84" s="103">
        <f>AC84*(1+(Data!$P$191/100))</f>
        <v>0.49811745610653929</v>
      </c>
      <c r="AE84" s="103">
        <f>AD84*(1+(Data!$P$191/100))</f>
        <v>0.52800450347293171</v>
      </c>
      <c r="AF84" s="103">
        <f>AE84*(1+(Data!$P$191/100))</f>
        <v>0.55968477368130765</v>
      </c>
      <c r="AG84" s="103">
        <f>AF84*(1+(Data!$P$191/100))</f>
        <v>0.59326586010218618</v>
      </c>
      <c r="AH84" s="103">
        <f>AG84*(1+(Data!$P$191/100))</f>
        <v>0.62886181170831734</v>
      </c>
      <c r="AI84" s="103">
        <f>AH84*(1+(Data!$P$191/100))</f>
        <v>0.66659352041081643</v>
      </c>
      <c r="AJ84" s="103">
        <f>AI84*(1+(Data!$P$191/100))</f>
        <v>0.70658913163546544</v>
      </c>
    </row>
    <row r="85" spans="6:36" ht="15" hidden="1" customHeight="1" x14ac:dyDescent="0.2">
      <c r="F85" s="8"/>
      <c r="G85" s="14" t="s">
        <v>252</v>
      </c>
      <c r="H85" s="69"/>
      <c r="I85" s="69"/>
      <c r="J85" s="196"/>
      <c r="K85" s="392">
        <f>Data!$P$181</f>
        <v>0.31</v>
      </c>
      <c r="L85" s="103">
        <f>K85*(1+(Data!$P$192/100))</f>
        <v>0.34100000000000003</v>
      </c>
      <c r="M85" s="103">
        <f>L85*(1+(Data!$P$192/100))</f>
        <v>0.37510000000000004</v>
      </c>
      <c r="N85" s="103">
        <f>M85*(1+(Data!$P$192/100))</f>
        <v>0.41261000000000009</v>
      </c>
      <c r="O85" s="103">
        <f>N85*(1+(Data!$P$192/100))</f>
        <v>0.45387100000000014</v>
      </c>
      <c r="P85" s="103">
        <f>O85*(1+(Data!$P$192/100))</f>
        <v>0.4992581000000002</v>
      </c>
      <c r="Q85" s="103">
        <f>P85*(1+(Data!$P$192/100))</f>
        <v>0.54918391000000022</v>
      </c>
      <c r="R85" s="103">
        <f>Q85*(1+(Data!$P$192/100))</f>
        <v>0.60410230100000029</v>
      </c>
      <c r="S85" s="103">
        <f>R85*(1+(Data!$P$192/100))</f>
        <v>0.66451253110000041</v>
      </c>
      <c r="T85" s="103">
        <f>S85*(1+(Data!$P$192/100))</f>
        <v>0.73096378421000052</v>
      </c>
      <c r="U85" s="103">
        <f>T85*(1+(Data!$P$192/100))</f>
        <v>0.80406016263100066</v>
      </c>
      <c r="V85" s="103">
        <f>U85*(1+(Data!$P$192/100))</f>
        <v>0.88446617889410084</v>
      </c>
      <c r="W85" s="103">
        <f>V85*(1+(Data!$P$192/100))</f>
        <v>0.97291279678351106</v>
      </c>
      <c r="X85" s="103">
        <f>W85*(1+(Data!$P$192/100))</f>
        <v>1.0702040764618623</v>
      </c>
      <c r="Y85" s="103">
        <f>X85*(1+(Data!$P$192/100))</f>
        <v>1.1772244841080486</v>
      </c>
      <c r="Z85" s="103">
        <f>Y85*(1+(Data!$P$192/100))</f>
        <v>1.2949469325188536</v>
      </c>
      <c r="AA85" s="103">
        <f>Z85*(1+(Data!$P$192/100))</f>
        <v>1.4244416257707391</v>
      </c>
      <c r="AB85" s="103">
        <f>AA85*(1+(Data!$P$192/100))</f>
        <v>1.5668857883478131</v>
      </c>
      <c r="AC85" s="103">
        <f>AB85*(1+(Data!$P$192/100))</f>
        <v>1.7235743671825945</v>
      </c>
      <c r="AD85" s="103">
        <f>AC85*(1+(Data!$P$192/100))</f>
        <v>1.8959318039008541</v>
      </c>
      <c r="AE85" s="103">
        <f>AD85*(1+(Data!$P$192/100))</f>
        <v>2.0855249842909398</v>
      </c>
      <c r="AF85" s="103">
        <f>AE85*(1+(Data!$P$192/100))</f>
        <v>2.2940774827200339</v>
      </c>
      <c r="AG85" s="103">
        <f>AF85*(1+(Data!$P$192/100))</f>
        <v>2.5234852309920375</v>
      </c>
      <c r="AH85" s="103">
        <f>AG85*(1+(Data!$P$192/100))</f>
        <v>2.7758337540912414</v>
      </c>
      <c r="AI85" s="103">
        <f>AH85*(1+(Data!$P$192/100))</f>
        <v>3.053417129500366</v>
      </c>
      <c r="AJ85" s="103">
        <f>AI85*(1+(Data!$P$192/100))</f>
        <v>3.3587588424504031</v>
      </c>
    </row>
    <row r="86" spans="6:36" ht="15" hidden="1" customHeight="1" x14ac:dyDescent="0.2">
      <c r="F86" s="8"/>
      <c r="G86" s="14"/>
      <c r="H86" s="69"/>
      <c r="I86" s="69"/>
      <c r="J86" s="196"/>
      <c r="K86" s="392"/>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row>
    <row r="87" spans="6:36" ht="15" hidden="1" customHeight="1" x14ac:dyDescent="0.2">
      <c r="F87" s="8"/>
      <c r="G87" s="14" t="s">
        <v>307</v>
      </c>
      <c r="H87" s="14"/>
      <c r="I87" s="14"/>
      <c r="J87" s="14"/>
      <c r="K87" s="103">
        <v>1</v>
      </c>
      <c r="L87" s="103">
        <f>K87*(1+(Data!$P$194)/100)</f>
        <v>1.02</v>
      </c>
      <c r="M87" s="103">
        <f>L87*(1+(Data!$P$194)/100)</f>
        <v>1.0404</v>
      </c>
      <c r="N87" s="103">
        <f>M87*(1+(Data!$P$194)/100)</f>
        <v>1.0612079999999999</v>
      </c>
      <c r="O87" s="103">
        <f>N87*(1+(Data!$P$194)/100)</f>
        <v>1.08243216</v>
      </c>
      <c r="P87" s="103">
        <f>O87*(1+(Data!$P$194)/100)</f>
        <v>1.1040808032</v>
      </c>
      <c r="Q87" s="103">
        <f>P87*(1+(Data!$P$194)/100)</f>
        <v>1.1261624192640001</v>
      </c>
      <c r="R87" s="103">
        <f>Q87*(1+(Data!$P$194)/100)</f>
        <v>1.14868566764928</v>
      </c>
      <c r="S87" s="103">
        <f>R87*(1+(Data!$P$194)/100)</f>
        <v>1.1716593810022657</v>
      </c>
      <c r="T87" s="103">
        <f>S87*(1+(Data!$P$194)/100)</f>
        <v>1.1950925686223111</v>
      </c>
      <c r="U87" s="103">
        <f>T87*(1+(Data!$P$194)/100)</f>
        <v>1.2189944199947573</v>
      </c>
      <c r="V87" s="103">
        <f>U87*(1+(Data!$P$194)/100)</f>
        <v>1.2433743083946525</v>
      </c>
      <c r="W87" s="103">
        <f>V87*(1+(Data!$P$194)/100)</f>
        <v>1.2682417945625455</v>
      </c>
      <c r="X87" s="103">
        <f>W87*(1+(Data!$P$194)/100)</f>
        <v>1.2936066304537963</v>
      </c>
      <c r="Y87" s="103">
        <f>X87*(1+(Data!$P$194)/100)</f>
        <v>1.3194787630628724</v>
      </c>
      <c r="Z87" s="103">
        <f>Y87*(1+(Data!$P$194)/100)</f>
        <v>1.3458683383241299</v>
      </c>
      <c r="AA87" s="103">
        <f>Z87*(1+(Data!$P$194)/100)</f>
        <v>1.3727857050906125</v>
      </c>
      <c r="AB87" s="103">
        <f>AA87*(1+(Data!$P$194)/100)</f>
        <v>1.4002414191924248</v>
      </c>
      <c r="AC87" s="103">
        <f>AB87*(1+(Data!$P$194)/100)</f>
        <v>1.4282462475762734</v>
      </c>
      <c r="AD87" s="103">
        <f>AC87*(1+(Data!$P$194)/100)</f>
        <v>1.4568111725277988</v>
      </c>
      <c r="AE87" s="103">
        <f>AD87*(1+(Data!$P$194)/100)</f>
        <v>1.4859473959783549</v>
      </c>
      <c r="AF87" s="103">
        <f>AE87*(1+(Data!$P$194)/100)</f>
        <v>1.5156663438979221</v>
      </c>
      <c r="AG87" s="103">
        <f>AF87*(1+(Data!$P$194)/100)</f>
        <v>1.5459796707758806</v>
      </c>
      <c r="AH87" s="103">
        <f>AG87*(1+(Data!$P$194)/100)</f>
        <v>1.5768992641913981</v>
      </c>
      <c r="AI87" s="103">
        <f>AH87*(1+(Data!$P$194)/100)</f>
        <v>1.6084372494752261</v>
      </c>
      <c r="AJ87" s="103">
        <f>AI87*(1+(Data!$P$194)/100)</f>
        <v>1.6406059944647307</v>
      </c>
    </row>
    <row r="88" spans="6:36" ht="15" hidden="1" customHeight="1" x14ac:dyDescent="0.2">
      <c r="F88" s="8"/>
      <c r="G88" s="14" t="s">
        <v>3</v>
      </c>
      <c r="H88" s="14"/>
      <c r="I88" s="14"/>
      <c r="J88" s="14"/>
      <c r="K88" s="103">
        <f>Data!$P$183</f>
        <v>0.1</v>
      </c>
      <c r="L88" s="103">
        <f>K88*((100+Data!$P$202)/100)</f>
        <v>0.10200000000000001</v>
      </c>
      <c r="M88" s="103">
        <f>L88*((100+Data!$P$202)/100)</f>
        <v>0.10404000000000001</v>
      </c>
      <c r="N88" s="103">
        <f>M88*((100+Data!$P$202)/100)</f>
        <v>0.10612080000000002</v>
      </c>
      <c r="O88" s="103">
        <f>N88*((100+Data!$P$202)/100)</f>
        <v>0.10824321600000002</v>
      </c>
      <c r="P88" s="103">
        <f>O88*((100+Data!$P$202)/100)</f>
        <v>0.11040808032000002</v>
      </c>
      <c r="Q88" s="103">
        <f>P88*((100+Data!$P$202)/100)</f>
        <v>0.11261624192640002</v>
      </c>
      <c r="R88" s="103">
        <f>Q88*((100+Data!$P$202)/100)</f>
        <v>0.11486856676492802</v>
      </c>
      <c r="S88" s="103">
        <f>R88*((100+Data!$P$202)/100)</f>
        <v>0.11716593810022657</v>
      </c>
      <c r="T88" s="103">
        <f>S88*((100+Data!$P$202)/100)</f>
        <v>0.11950925686223111</v>
      </c>
      <c r="U88" s="103">
        <f>T88*((100+Data!$P$202)/100)</f>
        <v>0.12189944199947574</v>
      </c>
      <c r="V88" s="103">
        <f>U88*((100+Data!$P$202)/100)</f>
        <v>0.12433743083946525</v>
      </c>
      <c r="W88" s="103">
        <f>V88*((100+Data!$P$202)/100)</f>
        <v>0.12682417945625454</v>
      </c>
      <c r="X88" s="103">
        <f>W88*((100+Data!$P$202)/100)</f>
        <v>0.12936066304537963</v>
      </c>
      <c r="Y88" s="103">
        <f>X88*((100+Data!$P$202)/100)</f>
        <v>0.13194787630628724</v>
      </c>
      <c r="Z88" s="103">
        <f>Y88*((100+Data!$P$202)/100)</f>
        <v>0.13458683383241299</v>
      </c>
      <c r="AA88" s="103">
        <f>Z88*((100+Data!$P$202)/100)</f>
        <v>0.13727857050906125</v>
      </c>
      <c r="AB88" s="103">
        <f>AA88*((100+Data!$P$202)/100)</f>
        <v>0.14002414191924248</v>
      </c>
      <c r="AC88" s="103">
        <f>AB88*((100+Data!$P$202)/100)</f>
        <v>0.14282462475762733</v>
      </c>
      <c r="AD88" s="103">
        <f>AC88*((100+Data!$P$202)/100)</f>
        <v>0.14568111725277988</v>
      </c>
      <c r="AE88" s="103">
        <f>AD88*((100+Data!$P$202)/100)</f>
        <v>0.14859473959783548</v>
      </c>
      <c r="AF88" s="103">
        <f>AE88*((100+Data!$P$202)/100)</f>
        <v>0.1515666343897922</v>
      </c>
      <c r="AG88" s="103">
        <f>AF88*((100+Data!$P$202)/100)</f>
        <v>0.15459796707758805</v>
      </c>
      <c r="AH88" s="103">
        <f>AG88*((100+Data!$P$202)/100)</f>
        <v>0.15768992641913981</v>
      </c>
      <c r="AI88" s="103">
        <f>AH88*((100+Data!$P$202)/100)</f>
        <v>0.16084372494752261</v>
      </c>
      <c r="AJ88" s="103">
        <f>AI88*((100+Data!$P$202)/100)</f>
        <v>0.16406059944647305</v>
      </c>
    </row>
    <row r="89" spans="6:36" ht="15" hidden="1" customHeight="1" x14ac:dyDescent="0.2">
      <c r="F89" s="8"/>
      <c r="G89" s="10"/>
      <c r="H89" s="10"/>
      <c r="I89" s="8"/>
      <c r="J89" s="8"/>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row>
    <row r="90" spans="6:36" ht="15" hidden="1" customHeight="1" x14ac:dyDescent="0.2">
      <c r="F90" s="8"/>
      <c r="G90" s="489" t="s">
        <v>290</v>
      </c>
      <c r="H90" s="14"/>
      <c r="I90" s="13"/>
      <c r="J90" s="13"/>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row>
    <row r="91" spans="6:36" ht="15" hidden="1" customHeight="1" x14ac:dyDescent="0.2">
      <c r="F91" s="8"/>
      <c r="G91" s="14"/>
      <c r="H91" s="14"/>
      <c r="I91" s="13"/>
      <c r="J91" s="13"/>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row>
    <row r="92" spans="6:36" ht="15" hidden="1" customHeight="1" x14ac:dyDescent="0.2">
      <c r="F92" s="8"/>
      <c r="G92" s="14" t="s">
        <v>2</v>
      </c>
      <c r="H92" s="60"/>
      <c r="I92" s="60"/>
      <c r="J92" s="60"/>
      <c r="K92" s="39">
        <f>K$79</f>
        <v>0.19338</v>
      </c>
      <c r="L92" s="39">
        <f t="shared" ref="L92:AJ92" si="3">L$79</f>
        <v>0.18757859999999998</v>
      </c>
      <c r="M92" s="39">
        <f t="shared" si="3"/>
        <v>0.18195124199999999</v>
      </c>
      <c r="N92" s="39">
        <f t="shared" si="3"/>
        <v>0.17649270473999998</v>
      </c>
      <c r="O92" s="39">
        <f t="shared" si="3"/>
        <v>0.17119792359779998</v>
      </c>
      <c r="P92" s="39">
        <f t="shared" si="3"/>
        <v>0.16606198588986598</v>
      </c>
      <c r="Q92" s="39">
        <f t="shared" si="3"/>
        <v>0.16108012631317001</v>
      </c>
      <c r="R92" s="39">
        <f t="shared" si="3"/>
        <v>0.15624772252377489</v>
      </c>
      <c r="S92" s="39">
        <f t="shared" si="3"/>
        <v>0.15156029084806164</v>
      </c>
      <c r="T92" s="39">
        <f t="shared" si="3"/>
        <v>0.14701348212261978</v>
      </c>
      <c r="U92" s="39">
        <f t="shared" si="3"/>
        <v>0.14260307765894117</v>
      </c>
      <c r="V92" s="39">
        <f t="shared" si="3"/>
        <v>0.13832498532917292</v>
      </c>
      <c r="W92" s="39">
        <f t="shared" si="3"/>
        <v>0.13417523576929774</v>
      </c>
      <c r="X92" s="39">
        <f t="shared" si="3"/>
        <v>0.1301499786962188</v>
      </c>
      <c r="Y92" s="39">
        <f t="shared" si="3"/>
        <v>0.12624547933533223</v>
      </c>
      <c r="Z92" s="39">
        <f t="shared" si="3"/>
        <v>0.12245811495527226</v>
      </c>
      <c r="AA92" s="39">
        <f t="shared" si="3"/>
        <v>0.11878437150661408</v>
      </c>
      <c r="AB92" s="39">
        <f t="shared" si="3"/>
        <v>0.11522084036141565</v>
      </c>
      <c r="AC92" s="39">
        <f t="shared" si="3"/>
        <v>0.11176421515057318</v>
      </c>
      <c r="AD92" s="39">
        <f t="shared" si="3"/>
        <v>0.10841128869605599</v>
      </c>
      <c r="AE92" s="39">
        <f t="shared" si="3"/>
        <v>0.10515895003517431</v>
      </c>
      <c r="AF92" s="39">
        <f t="shared" si="3"/>
        <v>0.10200418153411908</v>
      </c>
      <c r="AG92" s="39">
        <f t="shared" si="3"/>
        <v>9.8944056088095506E-2</v>
      </c>
      <c r="AH92" s="39">
        <f t="shared" si="3"/>
        <v>9.5975734405452637E-2</v>
      </c>
      <c r="AI92" s="39">
        <f t="shared" si="3"/>
        <v>9.3096462373289057E-2</v>
      </c>
      <c r="AJ92" s="39">
        <f t="shared" si="3"/>
        <v>9.0303568502090384E-2</v>
      </c>
    </row>
    <row r="93" spans="6:36" ht="15" hidden="1" customHeight="1" x14ac:dyDescent="0.2">
      <c r="F93" s="8"/>
      <c r="G93" s="14" t="s">
        <v>1</v>
      </c>
      <c r="H93" s="60"/>
      <c r="I93" s="60"/>
      <c r="J93" s="60"/>
      <c r="K93" s="39">
        <f>K$85</f>
        <v>0.31</v>
      </c>
      <c r="L93" s="39">
        <f t="shared" ref="L93:AJ93" si="4">L$85</f>
        <v>0.34100000000000003</v>
      </c>
      <c r="M93" s="39">
        <f t="shared" si="4"/>
        <v>0.37510000000000004</v>
      </c>
      <c r="N93" s="39">
        <f t="shared" si="4"/>
        <v>0.41261000000000009</v>
      </c>
      <c r="O93" s="39">
        <f t="shared" si="4"/>
        <v>0.45387100000000014</v>
      </c>
      <c r="P93" s="39">
        <f t="shared" si="4"/>
        <v>0.4992581000000002</v>
      </c>
      <c r="Q93" s="39">
        <f t="shared" si="4"/>
        <v>0.54918391000000022</v>
      </c>
      <c r="R93" s="39">
        <f t="shared" si="4"/>
        <v>0.60410230100000029</v>
      </c>
      <c r="S93" s="39">
        <f t="shared" si="4"/>
        <v>0.66451253110000041</v>
      </c>
      <c r="T93" s="39">
        <f t="shared" si="4"/>
        <v>0.73096378421000052</v>
      </c>
      <c r="U93" s="39">
        <f t="shared" si="4"/>
        <v>0.80406016263100066</v>
      </c>
      <c r="V93" s="39">
        <f t="shared" si="4"/>
        <v>0.88446617889410084</v>
      </c>
      <c r="W93" s="39">
        <f t="shared" si="4"/>
        <v>0.97291279678351106</v>
      </c>
      <c r="X93" s="39">
        <f t="shared" si="4"/>
        <v>1.0702040764618623</v>
      </c>
      <c r="Y93" s="39">
        <f t="shared" si="4"/>
        <v>1.1772244841080486</v>
      </c>
      <c r="Z93" s="39">
        <f t="shared" si="4"/>
        <v>1.2949469325188536</v>
      </c>
      <c r="AA93" s="39">
        <f t="shared" si="4"/>
        <v>1.4244416257707391</v>
      </c>
      <c r="AB93" s="39">
        <f t="shared" si="4"/>
        <v>1.5668857883478131</v>
      </c>
      <c r="AC93" s="39">
        <f t="shared" si="4"/>
        <v>1.7235743671825945</v>
      </c>
      <c r="AD93" s="39">
        <f t="shared" si="4"/>
        <v>1.8959318039008541</v>
      </c>
      <c r="AE93" s="39">
        <f t="shared" si="4"/>
        <v>2.0855249842909398</v>
      </c>
      <c r="AF93" s="39">
        <f t="shared" si="4"/>
        <v>2.2940774827200339</v>
      </c>
      <c r="AG93" s="39">
        <f t="shared" si="4"/>
        <v>2.5234852309920375</v>
      </c>
      <c r="AH93" s="39">
        <f t="shared" si="4"/>
        <v>2.7758337540912414</v>
      </c>
      <c r="AI93" s="39">
        <f t="shared" si="4"/>
        <v>3.053417129500366</v>
      </c>
      <c r="AJ93" s="39">
        <f t="shared" si="4"/>
        <v>3.3587588424504031</v>
      </c>
    </row>
    <row r="94" spans="6:36" ht="15" hidden="1" customHeight="1" x14ac:dyDescent="0.2">
      <c r="F94" s="8"/>
      <c r="G94" s="13"/>
      <c r="H94" s="60"/>
      <c r="I94" s="60"/>
      <c r="J94" s="60"/>
      <c r="K94" s="60"/>
      <c r="L94" s="60"/>
      <c r="M94" s="60"/>
      <c r="N94" s="60"/>
      <c r="O94" s="60"/>
      <c r="P94" s="60"/>
      <c r="Q94" s="60"/>
      <c r="R94" s="61"/>
      <c r="S94" s="60"/>
      <c r="T94" s="60"/>
      <c r="U94" s="60"/>
      <c r="V94" s="60"/>
      <c r="W94" s="60"/>
      <c r="X94" s="60"/>
      <c r="Y94" s="60"/>
      <c r="Z94" s="60"/>
      <c r="AA94" s="60"/>
      <c r="AB94" s="60"/>
      <c r="AC94" s="60"/>
      <c r="AD94" s="60"/>
      <c r="AE94" s="60"/>
      <c r="AF94" s="60"/>
      <c r="AG94" s="60"/>
      <c r="AH94" s="60"/>
      <c r="AI94" s="60"/>
      <c r="AJ94" s="60"/>
    </row>
    <row r="95" spans="6:36" ht="15" hidden="1" customHeight="1" x14ac:dyDescent="0.2">
      <c r="F95" s="8"/>
      <c r="G95" s="14" t="s">
        <v>4</v>
      </c>
      <c r="H95" s="14"/>
      <c r="I95" s="13"/>
      <c r="J95" s="13"/>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row>
    <row r="96" spans="6:36" ht="15" hidden="1" customHeight="1" x14ac:dyDescent="0.2">
      <c r="F96" s="8"/>
      <c r="G96" s="14" t="s">
        <v>5</v>
      </c>
      <c r="H96" s="14"/>
      <c r="I96" s="13"/>
      <c r="J96" s="13"/>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row>
    <row r="97" spans="6:36" ht="15" hidden="1" customHeight="1" x14ac:dyDescent="0.2">
      <c r="F97" s="8"/>
      <c r="G97" s="14" t="s">
        <v>6</v>
      </c>
      <c r="H97" s="14"/>
      <c r="I97" s="13"/>
      <c r="J97" s="13"/>
      <c r="K97" s="75">
        <f>K170+K243</f>
        <v>0</v>
      </c>
      <c r="L97" s="75">
        <f t="shared" ref="L97:AJ97" si="5">L170+L243</f>
        <v>0</v>
      </c>
      <c r="M97" s="75">
        <f t="shared" si="5"/>
        <v>0</v>
      </c>
      <c r="N97" s="75">
        <f t="shared" si="5"/>
        <v>0</v>
      </c>
      <c r="O97" s="75">
        <f t="shared" si="5"/>
        <v>0</v>
      </c>
      <c r="P97" s="75">
        <f t="shared" si="5"/>
        <v>0</v>
      </c>
      <c r="Q97" s="75">
        <f t="shared" si="5"/>
        <v>0</v>
      </c>
      <c r="R97" s="75">
        <f t="shared" si="5"/>
        <v>0</v>
      </c>
      <c r="S97" s="75">
        <f t="shared" si="5"/>
        <v>0</v>
      </c>
      <c r="T97" s="75">
        <f t="shared" si="5"/>
        <v>0</v>
      </c>
      <c r="U97" s="75">
        <f t="shared" si="5"/>
        <v>0</v>
      </c>
      <c r="V97" s="75">
        <f t="shared" si="5"/>
        <v>0</v>
      </c>
      <c r="W97" s="75">
        <f t="shared" si="5"/>
        <v>0</v>
      </c>
      <c r="X97" s="75">
        <f t="shared" si="5"/>
        <v>0</v>
      </c>
      <c r="Y97" s="75">
        <f t="shared" si="5"/>
        <v>0</v>
      </c>
      <c r="Z97" s="75">
        <f t="shared" si="5"/>
        <v>0</v>
      </c>
      <c r="AA97" s="75">
        <f t="shared" si="5"/>
        <v>0</v>
      </c>
      <c r="AB97" s="75">
        <f t="shared" si="5"/>
        <v>0</v>
      </c>
      <c r="AC97" s="75">
        <f t="shared" si="5"/>
        <v>0</v>
      </c>
      <c r="AD97" s="75">
        <f t="shared" si="5"/>
        <v>0</v>
      </c>
      <c r="AE97" s="75">
        <f t="shared" si="5"/>
        <v>0</v>
      </c>
      <c r="AF97" s="75">
        <f t="shared" si="5"/>
        <v>0</v>
      </c>
      <c r="AG97" s="75">
        <f t="shared" si="5"/>
        <v>0</v>
      </c>
      <c r="AH97" s="75">
        <f t="shared" si="5"/>
        <v>0</v>
      </c>
      <c r="AI97" s="75">
        <f t="shared" si="5"/>
        <v>0</v>
      </c>
      <c r="AJ97" s="75">
        <f t="shared" si="5"/>
        <v>0</v>
      </c>
    </row>
    <row r="98" spans="6:36" ht="15" hidden="1" customHeight="1" x14ac:dyDescent="0.2">
      <c r="F98" s="8"/>
      <c r="G98" s="14"/>
      <c r="H98" s="14"/>
      <c r="I98" s="13"/>
      <c r="J98" s="13"/>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row>
    <row r="99" spans="6:36" ht="15" hidden="1" customHeight="1" x14ac:dyDescent="0.2">
      <c r="F99" s="8"/>
      <c r="G99" s="14" t="s">
        <v>7</v>
      </c>
      <c r="H99" s="14"/>
      <c r="I99" s="13"/>
      <c r="J99" s="13"/>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row>
    <row r="100" spans="6:36" ht="15" hidden="1" customHeight="1" x14ac:dyDescent="0.2">
      <c r="F100" s="8"/>
      <c r="G100" s="14" t="s">
        <v>8</v>
      </c>
      <c r="H100" s="14"/>
      <c r="I100" s="13"/>
      <c r="J100" s="13"/>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row>
    <row r="101" spans="6:36" ht="15" hidden="1" customHeight="1" x14ac:dyDescent="0.2">
      <c r="F101" s="8"/>
      <c r="G101" s="14" t="s">
        <v>9</v>
      </c>
      <c r="H101" s="14"/>
      <c r="I101" s="13"/>
      <c r="J101" s="13"/>
      <c r="K101" s="75">
        <f>K174+K247</f>
        <v>0</v>
      </c>
      <c r="L101" s="75">
        <f t="shared" ref="L101:AJ101" si="6">L174+L247</f>
        <v>0</v>
      </c>
      <c r="M101" s="75">
        <f t="shared" si="6"/>
        <v>0</v>
      </c>
      <c r="N101" s="75">
        <f t="shared" si="6"/>
        <v>0</v>
      </c>
      <c r="O101" s="75">
        <f t="shared" si="6"/>
        <v>0</v>
      </c>
      <c r="P101" s="75">
        <f t="shared" si="6"/>
        <v>0</v>
      </c>
      <c r="Q101" s="75">
        <f t="shared" si="6"/>
        <v>0</v>
      </c>
      <c r="R101" s="75">
        <f t="shared" si="6"/>
        <v>0</v>
      </c>
      <c r="S101" s="75">
        <f t="shared" si="6"/>
        <v>0</v>
      </c>
      <c r="T101" s="75">
        <f t="shared" si="6"/>
        <v>0</v>
      </c>
      <c r="U101" s="75">
        <f t="shared" si="6"/>
        <v>0</v>
      </c>
      <c r="V101" s="75">
        <f t="shared" si="6"/>
        <v>0</v>
      </c>
      <c r="W101" s="75">
        <f t="shared" si="6"/>
        <v>0</v>
      </c>
      <c r="X101" s="75">
        <f t="shared" si="6"/>
        <v>0</v>
      </c>
      <c r="Y101" s="75">
        <f t="shared" si="6"/>
        <v>0</v>
      </c>
      <c r="Z101" s="75">
        <f t="shared" si="6"/>
        <v>0</v>
      </c>
      <c r="AA101" s="75">
        <f t="shared" si="6"/>
        <v>0</v>
      </c>
      <c r="AB101" s="75">
        <f t="shared" si="6"/>
        <v>0</v>
      </c>
      <c r="AC101" s="75">
        <f t="shared" si="6"/>
        <v>0</v>
      </c>
      <c r="AD101" s="75">
        <f t="shared" si="6"/>
        <v>0</v>
      </c>
      <c r="AE101" s="75">
        <f t="shared" si="6"/>
        <v>0</v>
      </c>
      <c r="AF101" s="75">
        <f t="shared" si="6"/>
        <v>0</v>
      </c>
      <c r="AG101" s="75">
        <f t="shared" si="6"/>
        <v>0</v>
      </c>
      <c r="AH101" s="75">
        <f t="shared" si="6"/>
        <v>0</v>
      </c>
      <c r="AI101" s="75">
        <f t="shared" si="6"/>
        <v>0</v>
      </c>
      <c r="AJ101" s="75">
        <f t="shared" si="6"/>
        <v>0</v>
      </c>
    </row>
    <row r="102" spans="6:36" ht="15" hidden="1" customHeight="1" x14ac:dyDescent="0.2">
      <c r="F102" s="8"/>
      <c r="G102" s="14"/>
      <c r="H102" s="14"/>
      <c r="I102" s="13"/>
      <c r="J102" s="13"/>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row>
    <row r="103" spans="6:36" ht="15" hidden="1" customHeight="1" x14ac:dyDescent="0.2">
      <c r="F103" s="8"/>
      <c r="G103" s="14" t="s">
        <v>10</v>
      </c>
      <c r="H103" s="14"/>
      <c r="I103" s="13"/>
      <c r="J103" s="13"/>
      <c r="K103" s="75">
        <f>IF($K$47=0,IF(K70=$K$42,$K$41,0),IF(K$70=$K$42,$K$41*K$87,IF(OR(AND($K$42=0,K$70=$K$42),AND(K$70&gt;=$K$42+$K$47,INT((K$70-$K$42)/($K$47))=(K$70-$K$42)/($K$47))),$K$46*K$87,0)))</f>
        <v>0</v>
      </c>
      <c r="L103" s="75">
        <f t="shared" ref="L103:AJ103" si="7">IF($K$47=0,IF(L70=$K$42,$K$41,0),IF(L$70=$K$42,$K$41*L$87,IF(OR(AND($K$42=0,L$70=$K$42),AND(L$70&gt;=$K$42+$K$47,INT((L$70-$K$42)/($K$47))=(L$70-$K$42)/($K$47))),$K$46*L$87,0)))</f>
        <v>0</v>
      </c>
      <c r="M103" s="75">
        <f t="shared" si="7"/>
        <v>0</v>
      </c>
      <c r="N103" s="75">
        <f t="shared" si="7"/>
        <v>0</v>
      </c>
      <c r="O103" s="75">
        <f t="shared" si="7"/>
        <v>0</v>
      </c>
      <c r="P103" s="75">
        <f t="shared" si="7"/>
        <v>0</v>
      </c>
      <c r="Q103" s="75">
        <f t="shared" si="7"/>
        <v>0</v>
      </c>
      <c r="R103" s="75">
        <f t="shared" si="7"/>
        <v>0</v>
      </c>
      <c r="S103" s="75">
        <f t="shared" si="7"/>
        <v>0</v>
      </c>
      <c r="T103" s="75">
        <f t="shared" si="7"/>
        <v>0</v>
      </c>
      <c r="U103" s="75">
        <f t="shared" si="7"/>
        <v>0</v>
      </c>
      <c r="V103" s="75">
        <f t="shared" si="7"/>
        <v>0</v>
      </c>
      <c r="W103" s="75">
        <f t="shared" si="7"/>
        <v>0</v>
      </c>
      <c r="X103" s="75">
        <f t="shared" si="7"/>
        <v>0</v>
      </c>
      <c r="Y103" s="75">
        <f t="shared" si="7"/>
        <v>0</v>
      </c>
      <c r="Z103" s="75">
        <f t="shared" si="7"/>
        <v>0</v>
      </c>
      <c r="AA103" s="75">
        <f t="shared" si="7"/>
        <v>0</v>
      </c>
      <c r="AB103" s="75">
        <f t="shared" si="7"/>
        <v>0</v>
      </c>
      <c r="AC103" s="75">
        <f t="shared" si="7"/>
        <v>0</v>
      </c>
      <c r="AD103" s="75">
        <f t="shared" si="7"/>
        <v>0</v>
      </c>
      <c r="AE103" s="75">
        <f t="shared" si="7"/>
        <v>0</v>
      </c>
      <c r="AF103" s="75">
        <f t="shared" si="7"/>
        <v>0</v>
      </c>
      <c r="AG103" s="75">
        <f t="shared" si="7"/>
        <v>0</v>
      </c>
      <c r="AH103" s="75">
        <f t="shared" si="7"/>
        <v>0</v>
      </c>
      <c r="AI103" s="75">
        <f t="shared" si="7"/>
        <v>0</v>
      </c>
      <c r="AJ103" s="75">
        <f t="shared" si="7"/>
        <v>0</v>
      </c>
    </row>
    <row r="104" spans="6:36" ht="15" hidden="1" customHeight="1" x14ac:dyDescent="0.2">
      <c r="F104" s="8"/>
      <c r="G104" s="14" t="s">
        <v>11</v>
      </c>
      <c r="H104" s="14"/>
      <c r="I104" s="13"/>
      <c r="J104" s="13"/>
      <c r="K104" s="31">
        <f>($K$44*K$87)-($K$45*K$87)</f>
        <v>0</v>
      </c>
      <c r="L104" s="31">
        <f t="shared" ref="L104:AI104" si="8">($K$44*L$87)-($K$45*L$87)</f>
        <v>0</v>
      </c>
      <c r="M104" s="31">
        <f t="shared" si="8"/>
        <v>0</v>
      </c>
      <c r="N104" s="31">
        <f t="shared" si="8"/>
        <v>0</v>
      </c>
      <c r="O104" s="31">
        <f t="shared" si="8"/>
        <v>0</v>
      </c>
      <c r="P104" s="31">
        <f t="shared" si="8"/>
        <v>0</v>
      </c>
      <c r="Q104" s="31">
        <f t="shared" si="8"/>
        <v>0</v>
      </c>
      <c r="R104" s="31">
        <f t="shared" si="8"/>
        <v>0</v>
      </c>
      <c r="S104" s="31">
        <f t="shared" si="8"/>
        <v>0</v>
      </c>
      <c r="T104" s="31">
        <f t="shared" si="8"/>
        <v>0</v>
      </c>
      <c r="U104" s="31">
        <f t="shared" si="8"/>
        <v>0</v>
      </c>
      <c r="V104" s="31">
        <f t="shared" si="8"/>
        <v>0</v>
      </c>
      <c r="W104" s="31">
        <f t="shared" si="8"/>
        <v>0</v>
      </c>
      <c r="X104" s="31">
        <f t="shared" si="8"/>
        <v>0</v>
      </c>
      <c r="Y104" s="31">
        <f t="shared" si="8"/>
        <v>0</v>
      </c>
      <c r="Z104" s="31">
        <f t="shared" si="8"/>
        <v>0</v>
      </c>
      <c r="AA104" s="31">
        <f t="shared" si="8"/>
        <v>0</v>
      </c>
      <c r="AB104" s="31">
        <f t="shared" si="8"/>
        <v>0</v>
      </c>
      <c r="AC104" s="31">
        <f t="shared" si="8"/>
        <v>0</v>
      </c>
      <c r="AD104" s="31">
        <f t="shared" si="8"/>
        <v>0</v>
      </c>
      <c r="AE104" s="31">
        <f t="shared" si="8"/>
        <v>0</v>
      </c>
      <c r="AF104" s="31">
        <f t="shared" si="8"/>
        <v>0</v>
      </c>
      <c r="AG104" s="31">
        <f t="shared" si="8"/>
        <v>0</v>
      </c>
      <c r="AH104" s="31">
        <f t="shared" si="8"/>
        <v>0</v>
      </c>
      <c r="AI104" s="31">
        <f t="shared" si="8"/>
        <v>0</v>
      </c>
      <c r="AJ104" s="31">
        <f>($K$44*AJ$87)-($K$45*AJ$87)</f>
        <v>0</v>
      </c>
    </row>
    <row r="105" spans="6:36" ht="15" hidden="1" customHeight="1" x14ac:dyDescent="0.2">
      <c r="F105" s="8"/>
      <c r="G105" s="14" t="s">
        <v>12</v>
      </c>
      <c r="H105" s="14"/>
      <c r="I105" s="13"/>
      <c r="J105" s="13"/>
      <c r="K105" s="75">
        <f>K178+K251</f>
        <v>0</v>
      </c>
      <c r="L105" s="75">
        <f t="shared" ref="L105:AJ106" si="9">L178+L251</f>
        <v>0</v>
      </c>
      <c r="M105" s="75">
        <f t="shared" si="9"/>
        <v>0</v>
      </c>
      <c r="N105" s="75">
        <f t="shared" si="9"/>
        <v>0</v>
      </c>
      <c r="O105" s="75">
        <f t="shared" si="9"/>
        <v>0</v>
      </c>
      <c r="P105" s="75">
        <f t="shared" si="9"/>
        <v>0</v>
      </c>
      <c r="Q105" s="75">
        <f t="shared" si="9"/>
        <v>0</v>
      </c>
      <c r="R105" s="75">
        <f t="shared" si="9"/>
        <v>0</v>
      </c>
      <c r="S105" s="75">
        <f t="shared" si="9"/>
        <v>0</v>
      </c>
      <c r="T105" s="75">
        <f t="shared" si="9"/>
        <v>0</v>
      </c>
      <c r="U105" s="75">
        <f t="shared" si="9"/>
        <v>0</v>
      </c>
      <c r="V105" s="75">
        <f t="shared" si="9"/>
        <v>0</v>
      </c>
      <c r="W105" s="75">
        <f t="shared" si="9"/>
        <v>0</v>
      </c>
      <c r="X105" s="75">
        <f t="shared" si="9"/>
        <v>0</v>
      </c>
      <c r="Y105" s="75">
        <f t="shared" si="9"/>
        <v>0</v>
      </c>
      <c r="Z105" s="75">
        <f t="shared" si="9"/>
        <v>0</v>
      </c>
      <c r="AA105" s="75">
        <f t="shared" si="9"/>
        <v>0</v>
      </c>
      <c r="AB105" s="75">
        <f t="shared" si="9"/>
        <v>0</v>
      </c>
      <c r="AC105" s="75">
        <f t="shared" si="9"/>
        <v>0</v>
      </c>
      <c r="AD105" s="75">
        <f t="shared" si="9"/>
        <v>0</v>
      </c>
      <c r="AE105" s="75">
        <f t="shared" si="9"/>
        <v>0</v>
      </c>
      <c r="AF105" s="75">
        <f t="shared" si="9"/>
        <v>0</v>
      </c>
      <c r="AG105" s="75">
        <f t="shared" si="9"/>
        <v>0</v>
      </c>
      <c r="AH105" s="75">
        <f t="shared" si="9"/>
        <v>0</v>
      </c>
      <c r="AI105" s="75">
        <f t="shared" si="9"/>
        <v>0</v>
      </c>
      <c r="AJ105" s="75">
        <f>AJ178+AJ251</f>
        <v>0</v>
      </c>
    </row>
    <row r="106" spans="6:36" ht="15" hidden="1" customHeight="1" x14ac:dyDescent="0.2">
      <c r="F106" s="8"/>
      <c r="G106" s="14" t="s">
        <v>13</v>
      </c>
      <c r="H106" s="14"/>
      <c r="I106" s="13"/>
      <c r="J106" s="13"/>
      <c r="K106" s="75">
        <f>K179+K252</f>
        <v>0</v>
      </c>
      <c r="L106" s="75">
        <f t="shared" si="9"/>
        <v>0</v>
      </c>
      <c r="M106" s="75">
        <f t="shared" si="9"/>
        <v>0</v>
      </c>
      <c r="N106" s="75">
        <f t="shared" si="9"/>
        <v>0</v>
      </c>
      <c r="O106" s="75">
        <f t="shared" si="9"/>
        <v>0</v>
      </c>
      <c r="P106" s="75">
        <f t="shared" si="9"/>
        <v>0</v>
      </c>
      <c r="Q106" s="75">
        <f t="shared" si="9"/>
        <v>0</v>
      </c>
      <c r="R106" s="75">
        <f t="shared" si="9"/>
        <v>0</v>
      </c>
      <c r="S106" s="75">
        <f t="shared" si="9"/>
        <v>0</v>
      </c>
      <c r="T106" s="75">
        <f t="shared" si="9"/>
        <v>0</v>
      </c>
      <c r="U106" s="75">
        <f t="shared" si="9"/>
        <v>0</v>
      </c>
      <c r="V106" s="75">
        <f t="shared" si="9"/>
        <v>0</v>
      </c>
      <c r="W106" s="75">
        <f t="shared" si="9"/>
        <v>0</v>
      </c>
      <c r="X106" s="75">
        <f t="shared" si="9"/>
        <v>0</v>
      </c>
      <c r="Y106" s="75">
        <f t="shared" si="9"/>
        <v>0</v>
      </c>
      <c r="Z106" s="75">
        <f t="shared" si="9"/>
        <v>0</v>
      </c>
      <c r="AA106" s="75">
        <f t="shared" si="9"/>
        <v>0</v>
      </c>
      <c r="AB106" s="75">
        <f t="shared" si="9"/>
        <v>0</v>
      </c>
      <c r="AC106" s="75">
        <f t="shared" si="9"/>
        <v>0</v>
      </c>
      <c r="AD106" s="75">
        <f t="shared" si="9"/>
        <v>0</v>
      </c>
      <c r="AE106" s="75">
        <f t="shared" si="9"/>
        <v>0</v>
      </c>
      <c r="AF106" s="75">
        <f t="shared" si="9"/>
        <v>0</v>
      </c>
      <c r="AG106" s="75">
        <f t="shared" si="9"/>
        <v>0</v>
      </c>
      <c r="AH106" s="75">
        <f t="shared" si="9"/>
        <v>0</v>
      </c>
      <c r="AI106" s="75">
        <f t="shared" si="9"/>
        <v>0</v>
      </c>
      <c r="AJ106" s="75">
        <f t="shared" si="9"/>
        <v>0</v>
      </c>
    </row>
    <row r="107" spans="6:36" ht="15" hidden="1" customHeight="1" x14ac:dyDescent="0.2">
      <c r="F107" s="8"/>
      <c r="G107" s="14"/>
      <c r="H107" s="14"/>
      <c r="I107" s="13"/>
      <c r="J107" s="13"/>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row>
    <row r="108" spans="6:36" ht="15" hidden="1" customHeight="1" x14ac:dyDescent="0.2">
      <c r="F108" s="8"/>
      <c r="G108" s="14" t="s">
        <v>14</v>
      </c>
      <c r="H108" s="14"/>
      <c r="I108" s="13"/>
      <c r="J108" s="13"/>
      <c r="K108" s="31">
        <f t="shared" ref="K108:Z108" si="10">SUM(K103:K106)</f>
        <v>0</v>
      </c>
      <c r="L108" s="31">
        <f t="shared" si="10"/>
        <v>0</v>
      </c>
      <c r="M108" s="31">
        <f t="shared" si="10"/>
        <v>0</v>
      </c>
      <c r="N108" s="31">
        <f t="shared" si="10"/>
        <v>0</v>
      </c>
      <c r="O108" s="31">
        <f t="shared" si="10"/>
        <v>0</v>
      </c>
      <c r="P108" s="31">
        <f t="shared" si="10"/>
        <v>0</v>
      </c>
      <c r="Q108" s="31">
        <f t="shared" si="10"/>
        <v>0</v>
      </c>
      <c r="R108" s="31">
        <f t="shared" si="10"/>
        <v>0</v>
      </c>
      <c r="S108" s="31">
        <f t="shared" si="10"/>
        <v>0</v>
      </c>
      <c r="T108" s="31">
        <f t="shared" si="10"/>
        <v>0</v>
      </c>
      <c r="U108" s="31">
        <f t="shared" si="10"/>
        <v>0</v>
      </c>
      <c r="V108" s="31">
        <f t="shared" si="10"/>
        <v>0</v>
      </c>
      <c r="W108" s="31">
        <f t="shared" si="10"/>
        <v>0</v>
      </c>
      <c r="X108" s="31">
        <f t="shared" si="10"/>
        <v>0</v>
      </c>
      <c r="Y108" s="31">
        <f t="shared" si="10"/>
        <v>0</v>
      </c>
      <c r="Z108" s="31">
        <f t="shared" si="10"/>
        <v>0</v>
      </c>
      <c r="AA108" s="31">
        <f t="shared" ref="AA108:AH108" si="11">SUM(AA103:AA106)</f>
        <v>0</v>
      </c>
      <c r="AB108" s="31">
        <f t="shared" si="11"/>
        <v>0</v>
      </c>
      <c r="AC108" s="31">
        <f t="shared" si="11"/>
        <v>0</v>
      </c>
      <c r="AD108" s="31">
        <f t="shared" si="11"/>
        <v>0</v>
      </c>
      <c r="AE108" s="31">
        <f t="shared" si="11"/>
        <v>0</v>
      </c>
      <c r="AF108" s="31">
        <f t="shared" si="11"/>
        <v>0</v>
      </c>
      <c r="AG108" s="31">
        <f t="shared" si="11"/>
        <v>0</v>
      </c>
      <c r="AH108" s="31">
        <f t="shared" si="11"/>
        <v>0</v>
      </c>
      <c r="AI108" s="31">
        <f>SUM(AI103:AI106)</f>
        <v>0</v>
      </c>
      <c r="AJ108" s="31">
        <f>SUM(AJ103:AJ106)</f>
        <v>0</v>
      </c>
    </row>
    <row r="109" spans="6:36" ht="15" hidden="1" customHeight="1" x14ac:dyDescent="0.2">
      <c r="F109" s="8"/>
      <c r="G109" s="14" t="s">
        <v>15</v>
      </c>
      <c r="H109" s="14"/>
      <c r="I109" s="13"/>
      <c r="J109" s="13"/>
      <c r="K109" s="31">
        <f>K108</f>
        <v>0</v>
      </c>
      <c r="L109" s="31">
        <f t="shared" ref="L109:AI109" si="12">K109+L108</f>
        <v>0</v>
      </c>
      <c r="M109" s="31">
        <f t="shared" si="12"/>
        <v>0</v>
      </c>
      <c r="N109" s="31">
        <f t="shared" si="12"/>
        <v>0</v>
      </c>
      <c r="O109" s="31">
        <f t="shared" si="12"/>
        <v>0</v>
      </c>
      <c r="P109" s="31">
        <f t="shared" si="12"/>
        <v>0</v>
      </c>
      <c r="Q109" s="31">
        <f t="shared" si="12"/>
        <v>0</v>
      </c>
      <c r="R109" s="31">
        <f t="shared" si="12"/>
        <v>0</v>
      </c>
      <c r="S109" s="31">
        <f t="shared" si="12"/>
        <v>0</v>
      </c>
      <c r="T109" s="31">
        <f t="shared" si="12"/>
        <v>0</v>
      </c>
      <c r="U109" s="31">
        <f t="shared" si="12"/>
        <v>0</v>
      </c>
      <c r="V109" s="31">
        <f t="shared" si="12"/>
        <v>0</v>
      </c>
      <c r="W109" s="31">
        <f t="shared" si="12"/>
        <v>0</v>
      </c>
      <c r="X109" s="31">
        <f t="shared" si="12"/>
        <v>0</v>
      </c>
      <c r="Y109" s="31">
        <f t="shared" si="12"/>
        <v>0</v>
      </c>
      <c r="Z109" s="31">
        <f t="shared" si="12"/>
        <v>0</v>
      </c>
      <c r="AA109" s="31">
        <f t="shared" si="12"/>
        <v>0</v>
      </c>
      <c r="AB109" s="31">
        <f t="shared" si="12"/>
        <v>0</v>
      </c>
      <c r="AC109" s="31">
        <f t="shared" si="12"/>
        <v>0</v>
      </c>
      <c r="AD109" s="31">
        <f t="shared" si="12"/>
        <v>0</v>
      </c>
      <c r="AE109" s="31">
        <f t="shared" si="12"/>
        <v>0</v>
      </c>
      <c r="AF109" s="31">
        <f t="shared" si="12"/>
        <v>0</v>
      </c>
      <c r="AG109" s="31">
        <f t="shared" si="12"/>
        <v>0</v>
      </c>
      <c r="AH109" s="31">
        <f t="shared" si="12"/>
        <v>0</v>
      </c>
      <c r="AI109" s="31">
        <f t="shared" si="12"/>
        <v>0</v>
      </c>
      <c r="AJ109" s="31">
        <f>AI109+AJ108</f>
        <v>0</v>
      </c>
    </row>
    <row r="110" spans="6:36" ht="15" hidden="1" customHeight="1" x14ac:dyDescent="0.2">
      <c r="F110" s="8"/>
      <c r="G110" s="13"/>
      <c r="H110" s="13"/>
      <c r="I110" s="13"/>
      <c r="J110" s="13"/>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row>
    <row r="111" spans="6:36" ht="15" hidden="1" customHeight="1" x14ac:dyDescent="0.2">
      <c r="F111" s="8"/>
      <c r="G111" s="14" t="s">
        <v>17</v>
      </c>
      <c r="H111" s="13"/>
      <c r="I111" s="13"/>
      <c r="J111" s="13"/>
      <c r="K111" s="31">
        <f>K108/(((Data!$P$186/100)+1)^K$70)</f>
        <v>0</v>
      </c>
      <c r="L111" s="31">
        <f>L108/(((Data!$P$186/100)+1)^L$70)</f>
        <v>0</v>
      </c>
      <c r="M111" s="31">
        <f>M108/(((Data!$P$186/100)+1)^M$70)</f>
        <v>0</v>
      </c>
      <c r="N111" s="31">
        <f>N108/(((Data!$P$186/100)+1)^N$70)</f>
        <v>0</v>
      </c>
      <c r="O111" s="31">
        <f>O108/(((Data!$P$186/100)+1)^O$70)</f>
        <v>0</v>
      </c>
      <c r="P111" s="31">
        <f>P108/(((Data!$P$186/100)+1)^P$70)</f>
        <v>0</v>
      </c>
      <c r="Q111" s="31">
        <f>Q108/(((Data!$P$186/100)+1)^Q$70)</f>
        <v>0</v>
      </c>
      <c r="R111" s="31">
        <f>R108/(((Data!$P$186/100)+1)^R$70)</f>
        <v>0</v>
      </c>
      <c r="S111" s="31">
        <f>S108/(((Data!$P$186/100)+1)^S$70)</f>
        <v>0</v>
      </c>
      <c r="T111" s="31">
        <f>T108/(((Data!$P$186/100)+1)^T$70)</f>
        <v>0</v>
      </c>
      <c r="U111" s="31">
        <f>U108/(((Data!$P$186/100)+1)^U$70)</f>
        <v>0</v>
      </c>
      <c r="V111" s="31">
        <f>V108/(((Data!$P$186/100)+1)^V$70)</f>
        <v>0</v>
      </c>
      <c r="W111" s="31">
        <f>W108/(((Data!$P$186/100)+1)^W$70)</f>
        <v>0</v>
      </c>
      <c r="X111" s="31">
        <f>X108/(((Data!$P$186/100)+1)^X$70)</f>
        <v>0</v>
      </c>
      <c r="Y111" s="31">
        <f>Y108/(((Data!$P$186/100)+1)^Y$70)</f>
        <v>0</v>
      </c>
      <c r="Z111" s="31">
        <f>Z108/(((Data!$P$186/100)+1)^Z$70)</f>
        <v>0</v>
      </c>
      <c r="AA111" s="31">
        <f>AA108/(((Data!$P$186/100)+1)^AA$70)</f>
        <v>0</v>
      </c>
      <c r="AB111" s="31">
        <f>AB108/(((Data!$P$186/100)+1)^AB$70)</f>
        <v>0</v>
      </c>
      <c r="AC111" s="31">
        <f>AC108/(((Data!$P$186/100)+1)^AC$70)</f>
        <v>0</v>
      </c>
      <c r="AD111" s="31">
        <f>AD108/(((Data!$P$186/100)+1)^AD$70)</f>
        <v>0</v>
      </c>
      <c r="AE111" s="31">
        <f>AE108/(((Data!$P$186/100)+1)^AE$70)</f>
        <v>0</v>
      </c>
      <c r="AF111" s="31">
        <f>AF108/(((Data!$P$186/100)+1)^AF$70)</f>
        <v>0</v>
      </c>
      <c r="AG111" s="31">
        <f>AG108/(((Data!$P$186/100)+1)^AG$70)</f>
        <v>0</v>
      </c>
      <c r="AH111" s="31">
        <f>AH108/(((Data!$P$186/100)+1)^AH$70)</f>
        <v>0</v>
      </c>
      <c r="AI111" s="31">
        <f>AI108/(((Data!$P$186/100)+1)^AI$70)</f>
        <v>0</v>
      </c>
      <c r="AJ111" s="31">
        <f>AJ108/(((Data!$P$186/100)+1)^AJ$70)</f>
        <v>0</v>
      </c>
    </row>
    <row r="112" spans="6:36" ht="15" hidden="1" customHeight="1" x14ac:dyDescent="0.2">
      <c r="F112" s="8"/>
      <c r="G112" s="30" t="s">
        <v>186</v>
      </c>
      <c r="H112" s="33"/>
      <c r="I112" s="13"/>
      <c r="J112" s="13"/>
      <c r="K112" s="34">
        <f>K111</f>
        <v>0</v>
      </c>
      <c r="L112" s="34">
        <f t="shared" ref="L112:AJ112" si="13">K112+L111</f>
        <v>0</v>
      </c>
      <c r="M112" s="34">
        <f t="shared" si="13"/>
        <v>0</v>
      </c>
      <c r="N112" s="34">
        <f t="shared" si="13"/>
        <v>0</v>
      </c>
      <c r="O112" s="34">
        <f t="shared" si="13"/>
        <v>0</v>
      </c>
      <c r="P112" s="34">
        <f t="shared" si="13"/>
        <v>0</v>
      </c>
      <c r="Q112" s="34">
        <f t="shared" si="13"/>
        <v>0</v>
      </c>
      <c r="R112" s="34">
        <f t="shared" si="13"/>
        <v>0</v>
      </c>
      <c r="S112" s="34">
        <f t="shared" si="13"/>
        <v>0</v>
      </c>
      <c r="T112" s="34">
        <f t="shared" si="13"/>
        <v>0</v>
      </c>
      <c r="U112" s="34">
        <f t="shared" si="13"/>
        <v>0</v>
      </c>
      <c r="V112" s="34">
        <f t="shared" si="13"/>
        <v>0</v>
      </c>
      <c r="W112" s="34">
        <f t="shared" si="13"/>
        <v>0</v>
      </c>
      <c r="X112" s="34">
        <f t="shared" si="13"/>
        <v>0</v>
      </c>
      <c r="Y112" s="34">
        <f t="shared" si="13"/>
        <v>0</v>
      </c>
      <c r="Z112" s="34">
        <f t="shared" si="13"/>
        <v>0</v>
      </c>
      <c r="AA112" s="34">
        <f t="shared" si="13"/>
        <v>0</v>
      </c>
      <c r="AB112" s="34">
        <f t="shared" si="13"/>
        <v>0</v>
      </c>
      <c r="AC112" s="34">
        <f t="shared" si="13"/>
        <v>0</v>
      </c>
      <c r="AD112" s="34">
        <f t="shared" si="13"/>
        <v>0</v>
      </c>
      <c r="AE112" s="34">
        <f t="shared" si="13"/>
        <v>0</v>
      </c>
      <c r="AF112" s="34">
        <f t="shared" si="13"/>
        <v>0</v>
      </c>
      <c r="AG112" s="34">
        <f t="shared" si="13"/>
        <v>0</v>
      </c>
      <c r="AH112" s="34">
        <f t="shared" si="13"/>
        <v>0</v>
      </c>
      <c r="AI112" s="34">
        <f t="shared" si="13"/>
        <v>0</v>
      </c>
      <c r="AJ112" s="34">
        <f t="shared" si="13"/>
        <v>0</v>
      </c>
    </row>
    <row r="113" spans="6:38" ht="15" hidden="1" customHeight="1" x14ac:dyDescent="0.2">
      <c r="F113" s="8"/>
      <c r="G113" s="8"/>
      <c r="H113" s="8"/>
      <c r="I113" s="8"/>
      <c r="J113" s="8"/>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row>
    <row r="114" spans="6:38" ht="15" hidden="1" customHeight="1" x14ac:dyDescent="0.2">
      <c r="F114" s="8"/>
      <c r="G114" s="532" t="s">
        <v>525</v>
      </c>
      <c r="H114" s="17"/>
      <c r="I114" s="13"/>
      <c r="J114" s="13"/>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row>
    <row r="115" spans="6:38" ht="15" hidden="1" customHeight="1" x14ac:dyDescent="0.2">
      <c r="F115" s="8"/>
      <c r="G115" s="17"/>
      <c r="H115" s="17"/>
      <c r="I115" s="13"/>
      <c r="J115" s="13"/>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row>
    <row r="116" spans="6:38" ht="15" hidden="1" customHeight="1" x14ac:dyDescent="0.2">
      <c r="F116" s="8"/>
      <c r="G116" s="17" t="s">
        <v>2</v>
      </c>
      <c r="H116" s="60"/>
      <c r="I116" s="60"/>
      <c r="J116" s="60"/>
      <c r="K116" s="101">
        <f>K$79</f>
        <v>0.19338</v>
      </c>
      <c r="L116" s="101">
        <f t="shared" ref="L116:AJ116" si="14">L$79</f>
        <v>0.18757859999999998</v>
      </c>
      <c r="M116" s="101">
        <f t="shared" si="14"/>
        <v>0.18195124199999999</v>
      </c>
      <c r="N116" s="101">
        <f t="shared" si="14"/>
        <v>0.17649270473999998</v>
      </c>
      <c r="O116" s="101">
        <f t="shared" si="14"/>
        <v>0.17119792359779998</v>
      </c>
      <c r="P116" s="101">
        <f t="shared" si="14"/>
        <v>0.16606198588986598</v>
      </c>
      <c r="Q116" s="101">
        <f t="shared" si="14"/>
        <v>0.16108012631317001</v>
      </c>
      <c r="R116" s="101">
        <f t="shared" si="14"/>
        <v>0.15624772252377489</v>
      </c>
      <c r="S116" s="101">
        <f t="shared" si="14"/>
        <v>0.15156029084806164</v>
      </c>
      <c r="T116" s="101">
        <f t="shared" si="14"/>
        <v>0.14701348212261978</v>
      </c>
      <c r="U116" s="101">
        <f t="shared" si="14"/>
        <v>0.14260307765894117</v>
      </c>
      <c r="V116" s="101">
        <f t="shared" si="14"/>
        <v>0.13832498532917292</v>
      </c>
      <c r="W116" s="101">
        <f t="shared" si="14"/>
        <v>0.13417523576929774</v>
      </c>
      <c r="X116" s="101">
        <f t="shared" si="14"/>
        <v>0.1301499786962188</v>
      </c>
      <c r="Y116" s="101">
        <f t="shared" si="14"/>
        <v>0.12624547933533223</v>
      </c>
      <c r="Z116" s="101">
        <f t="shared" si="14"/>
        <v>0.12245811495527226</v>
      </c>
      <c r="AA116" s="101">
        <f t="shared" si="14"/>
        <v>0.11878437150661408</v>
      </c>
      <c r="AB116" s="101">
        <f t="shared" si="14"/>
        <v>0.11522084036141565</v>
      </c>
      <c r="AC116" s="101">
        <f t="shared" si="14"/>
        <v>0.11176421515057318</v>
      </c>
      <c r="AD116" s="101">
        <f t="shared" si="14"/>
        <v>0.10841128869605599</v>
      </c>
      <c r="AE116" s="101">
        <f t="shared" si="14"/>
        <v>0.10515895003517431</v>
      </c>
      <c r="AF116" s="101">
        <f t="shared" si="14"/>
        <v>0.10200418153411908</v>
      </c>
      <c r="AG116" s="101">
        <f t="shared" si="14"/>
        <v>9.8944056088095506E-2</v>
      </c>
      <c r="AH116" s="101">
        <f t="shared" si="14"/>
        <v>9.5975734405452637E-2</v>
      </c>
      <c r="AI116" s="101">
        <f t="shared" si="14"/>
        <v>9.3096462373289057E-2</v>
      </c>
      <c r="AJ116" s="101">
        <f t="shared" si="14"/>
        <v>9.0303568502090384E-2</v>
      </c>
    </row>
    <row r="117" spans="6:38" ht="15" hidden="1" customHeight="1" x14ac:dyDescent="0.2">
      <c r="F117" s="8"/>
      <c r="G117" s="17" t="s">
        <v>1</v>
      </c>
      <c r="H117" s="60"/>
      <c r="I117" s="60"/>
      <c r="J117" s="60"/>
      <c r="K117" s="101">
        <f>K$85</f>
        <v>0.31</v>
      </c>
      <c r="L117" s="101">
        <f t="shared" ref="L117:AJ117" si="15">L$85</f>
        <v>0.34100000000000003</v>
      </c>
      <c r="M117" s="101">
        <f t="shared" si="15"/>
        <v>0.37510000000000004</v>
      </c>
      <c r="N117" s="101">
        <f t="shared" si="15"/>
        <v>0.41261000000000009</v>
      </c>
      <c r="O117" s="101">
        <f t="shared" si="15"/>
        <v>0.45387100000000014</v>
      </c>
      <c r="P117" s="101">
        <f t="shared" si="15"/>
        <v>0.4992581000000002</v>
      </c>
      <c r="Q117" s="101">
        <f t="shared" si="15"/>
        <v>0.54918391000000022</v>
      </c>
      <c r="R117" s="101">
        <f t="shared" si="15"/>
        <v>0.60410230100000029</v>
      </c>
      <c r="S117" s="101">
        <f t="shared" si="15"/>
        <v>0.66451253110000041</v>
      </c>
      <c r="T117" s="101">
        <f t="shared" si="15"/>
        <v>0.73096378421000052</v>
      </c>
      <c r="U117" s="101">
        <f t="shared" si="15"/>
        <v>0.80406016263100066</v>
      </c>
      <c r="V117" s="101">
        <f t="shared" si="15"/>
        <v>0.88446617889410084</v>
      </c>
      <c r="W117" s="101">
        <f t="shared" si="15"/>
        <v>0.97291279678351106</v>
      </c>
      <c r="X117" s="101">
        <f t="shared" si="15"/>
        <v>1.0702040764618623</v>
      </c>
      <c r="Y117" s="101">
        <f t="shared" si="15"/>
        <v>1.1772244841080486</v>
      </c>
      <c r="Z117" s="101">
        <f t="shared" si="15"/>
        <v>1.2949469325188536</v>
      </c>
      <c r="AA117" s="101">
        <f t="shared" si="15"/>
        <v>1.4244416257707391</v>
      </c>
      <c r="AB117" s="101">
        <f t="shared" si="15"/>
        <v>1.5668857883478131</v>
      </c>
      <c r="AC117" s="101">
        <f t="shared" si="15"/>
        <v>1.7235743671825945</v>
      </c>
      <c r="AD117" s="101">
        <f t="shared" si="15"/>
        <v>1.8959318039008541</v>
      </c>
      <c r="AE117" s="101">
        <f t="shared" si="15"/>
        <v>2.0855249842909398</v>
      </c>
      <c r="AF117" s="101">
        <f t="shared" si="15"/>
        <v>2.2940774827200339</v>
      </c>
      <c r="AG117" s="101">
        <f t="shared" si="15"/>
        <v>2.5234852309920375</v>
      </c>
      <c r="AH117" s="101">
        <f t="shared" si="15"/>
        <v>2.7758337540912414</v>
      </c>
      <c r="AI117" s="101">
        <f t="shared" si="15"/>
        <v>3.053417129500366</v>
      </c>
      <c r="AJ117" s="101">
        <f t="shared" si="15"/>
        <v>3.3587588424504031</v>
      </c>
    </row>
    <row r="118" spans="6:38" ht="15" hidden="1" customHeight="1" x14ac:dyDescent="0.2">
      <c r="F118" s="8"/>
      <c r="G118" s="60"/>
      <c r="H118" s="60"/>
      <c r="I118" s="60"/>
      <c r="J118" s="60"/>
      <c r="K118" s="60"/>
      <c r="L118" s="60"/>
      <c r="M118" s="60"/>
      <c r="N118" s="60"/>
      <c r="O118" s="60"/>
      <c r="P118" s="60"/>
      <c r="Q118" s="60"/>
      <c r="R118" s="61"/>
      <c r="S118" s="60"/>
      <c r="T118" s="60"/>
      <c r="U118" s="60"/>
      <c r="V118" s="60"/>
      <c r="W118" s="60"/>
      <c r="X118" s="60"/>
      <c r="Y118" s="60"/>
      <c r="Z118" s="60"/>
      <c r="AA118" s="60"/>
      <c r="AB118" s="60"/>
      <c r="AC118" s="60"/>
      <c r="AD118" s="60"/>
      <c r="AE118" s="60"/>
      <c r="AF118" s="60"/>
      <c r="AG118" s="60"/>
      <c r="AH118" s="60"/>
      <c r="AI118" s="60"/>
      <c r="AJ118" s="60"/>
    </row>
    <row r="119" spans="6:38" ht="15" hidden="1" customHeight="1" x14ac:dyDescent="0.2">
      <c r="F119" s="8"/>
      <c r="G119" s="17" t="s">
        <v>4</v>
      </c>
      <c r="H119" s="17"/>
      <c r="I119" s="13"/>
      <c r="J119" s="1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row>
    <row r="120" spans="6:38" ht="15" hidden="1" customHeight="1" x14ac:dyDescent="0.2">
      <c r="F120" s="8"/>
      <c r="G120" s="17" t="s">
        <v>5</v>
      </c>
      <c r="H120" s="17"/>
      <c r="I120" s="13"/>
      <c r="J120" s="1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row>
    <row r="121" spans="6:38" ht="15" hidden="1" customHeight="1" x14ac:dyDescent="0.2">
      <c r="F121" s="8"/>
      <c r="G121" s="17" t="s">
        <v>6</v>
      </c>
      <c r="H121" s="17"/>
      <c r="I121" s="13"/>
      <c r="J121" s="13"/>
      <c r="K121" s="80">
        <f>K194+K267</f>
        <v>0</v>
      </c>
      <c r="L121" s="80">
        <f t="shared" ref="L121:AI121" si="16">L194+L267</f>
        <v>0</v>
      </c>
      <c r="M121" s="80">
        <f t="shared" si="16"/>
        <v>0</v>
      </c>
      <c r="N121" s="80">
        <f t="shared" si="16"/>
        <v>0</v>
      </c>
      <c r="O121" s="80">
        <f t="shared" si="16"/>
        <v>0</v>
      </c>
      <c r="P121" s="80">
        <f t="shared" si="16"/>
        <v>0</v>
      </c>
      <c r="Q121" s="80">
        <f t="shared" si="16"/>
        <v>0</v>
      </c>
      <c r="R121" s="80">
        <f t="shared" si="16"/>
        <v>0</v>
      </c>
      <c r="S121" s="80">
        <f t="shared" si="16"/>
        <v>0</v>
      </c>
      <c r="T121" s="80">
        <f t="shared" si="16"/>
        <v>0</v>
      </c>
      <c r="U121" s="80">
        <f t="shared" si="16"/>
        <v>0</v>
      </c>
      <c r="V121" s="80">
        <f t="shared" si="16"/>
        <v>0</v>
      </c>
      <c r="W121" s="80">
        <f t="shared" si="16"/>
        <v>0</v>
      </c>
      <c r="X121" s="80">
        <f t="shared" si="16"/>
        <v>0</v>
      </c>
      <c r="Y121" s="80">
        <f t="shared" si="16"/>
        <v>0</v>
      </c>
      <c r="Z121" s="80">
        <f t="shared" si="16"/>
        <v>0</v>
      </c>
      <c r="AA121" s="80">
        <f t="shared" si="16"/>
        <v>0</v>
      </c>
      <c r="AB121" s="80">
        <f t="shared" si="16"/>
        <v>0</v>
      </c>
      <c r="AC121" s="80">
        <f t="shared" si="16"/>
        <v>0</v>
      </c>
      <c r="AD121" s="80">
        <f t="shared" si="16"/>
        <v>0</v>
      </c>
      <c r="AE121" s="80">
        <f t="shared" si="16"/>
        <v>0</v>
      </c>
      <c r="AF121" s="80">
        <f t="shared" si="16"/>
        <v>0</v>
      </c>
      <c r="AG121" s="80">
        <f t="shared" si="16"/>
        <v>0</v>
      </c>
      <c r="AH121" s="80">
        <f t="shared" si="16"/>
        <v>0</v>
      </c>
      <c r="AI121" s="80">
        <f t="shared" si="16"/>
        <v>0</v>
      </c>
      <c r="AJ121" s="80">
        <f>AJ194+AJ267</f>
        <v>0</v>
      </c>
    </row>
    <row r="122" spans="6:38" ht="15" hidden="1" customHeight="1" x14ac:dyDescent="0.2">
      <c r="F122" s="8"/>
      <c r="G122" s="17"/>
      <c r="H122" s="17"/>
      <c r="I122" s="13"/>
      <c r="J122" s="13"/>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row>
    <row r="123" spans="6:38" ht="15" hidden="1" customHeight="1" x14ac:dyDescent="0.2">
      <c r="F123" s="8"/>
      <c r="G123" s="17" t="s">
        <v>7</v>
      </c>
      <c r="H123" s="17"/>
      <c r="I123" s="13"/>
      <c r="J123" s="1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row>
    <row r="124" spans="6:38" ht="15" hidden="1" customHeight="1" x14ac:dyDescent="0.2">
      <c r="F124" s="8"/>
      <c r="G124" s="17" t="s">
        <v>8</v>
      </c>
      <c r="H124" s="17"/>
      <c r="I124" s="13"/>
      <c r="J124" s="1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row>
    <row r="125" spans="6:38" ht="15" hidden="1" customHeight="1" x14ac:dyDescent="0.2">
      <c r="F125" s="8"/>
      <c r="G125" s="17" t="s">
        <v>9</v>
      </c>
      <c r="H125" s="17"/>
      <c r="I125" s="13"/>
      <c r="J125" s="13"/>
      <c r="K125" s="80">
        <f>K198+K271</f>
        <v>0</v>
      </c>
      <c r="L125" s="80">
        <f t="shared" ref="L125:AI125" si="17">L198+L271</f>
        <v>0</v>
      </c>
      <c r="M125" s="80">
        <f t="shared" si="17"/>
        <v>0</v>
      </c>
      <c r="N125" s="80">
        <f t="shared" si="17"/>
        <v>0</v>
      </c>
      <c r="O125" s="80">
        <f t="shared" si="17"/>
        <v>0</v>
      </c>
      <c r="P125" s="80">
        <f t="shared" si="17"/>
        <v>0</v>
      </c>
      <c r="Q125" s="80">
        <f t="shared" si="17"/>
        <v>0</v>
      </c>
      <c r="R125" s="80">
        <f t="shared" si="17"/>
        <v>0</v>
      </c>
      <c r="S125" s="80">
        <f t="shared" si="17"/>
        <v>0</v>
      </c>
      <c r="T125" s="80">
        <f t="shared" si="17"/>
        <v>0</v>
      </c>
      <c r="U125" s="80">
        <f t="shared" si="17"/>
        <v>0</v>
      </c>
      <c r="V125" s="80">
        <f t="shared" si="17"/>
        <v>0</v>
      </c>
      <c r="W125" s="80">
        <f t="shared" si="17"/>
        <v>0</v>
      </c>
      <c r="X125" s="80">
        <f t="shared" si="17"/>
        <v>0</v>
      </c>
      <c r="Y125" s="80">
        <f t="shared" si="17"/>
        <v>0</v>
      </c>
      <c r="Z125" s="80">
        <f t="shared" si="17"/>
        <v>0</v>
      </c>
      <c r="AA125" s="80">
        <f t="shared" si="17"/>
        <v>0</v>
      </c>
      <c r="AB125" s="80">
        <f t="shared" si="17"/>
        <v>0</v>
      </c>
      <c r="AC125" s="80">
        <f t="shared" si="17"/>
        <v>0</v>
      </c>
      <c r="AD125" s="80">
        <f t="shared" si="17"/>
        <v>0</v>
      </c>
      <c r="AE125" s="80">
        <f t="shared" si="17"/>
        <v>0</v>
      </c>
      <c r="AF125" s="80">
        <f t="shared" si="17"/>
        <v>0</v>
      </c>
      <c r="AG125" s="80">
        <f t="shared" si="17"/>
        <v>0</v>
      </c>
      <c r="AH125" s="80">
        <f t="shared" si="17"/>
        <v>0</v>
      </c>
      <c r="AI125" s="80">
        <f t="shared" si="17"/>
        <v>0</v>
      </c>
      <c r="AJ125" s="80">
        <f>AJ198+AJ271</f>
        <v>0</v>
      </c>
    </row>
    <row r="126" spans="6:38" ht="15" hidden="1" customHeight="1" x14ac:dyDescent="0.2">
      <c r="F126" s="8"/>
      <c r="G126" s="17"/>
      <c r="H126" s="17"/>
      <c r="I126" s="13"/>
      <c r="J126" s="13"/>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row>
    <row r="127" spans="6:38" ht="15" hidden="1" customHeight="1" x14ac:dyDescent="0.2">
      <c r="F127" s="8"/>
      <c r="G127" s="17" t="s">
        <v>10</v>
      </c>
      <c r="H127" s="17"/>
      <c r="I127" s="13"/>
      <c r="J127" s="13"/>
      <c r="K127" s="80">
        <f>IF($Q$47=0,IF(K70=$Q$42,$Q$41,0),IF(K$70=$Q$42,$Q$41*K$87,IF(OR(AND($Q$42=0,K$70=$Q$42),AND(K$70&gt;=$Q$42+$Q$47,INT((K$70-$Q$42)/($Q$47))=(K$70-$Q$42)/($Q$47))),$Q$46*K$87,0)))</f>
        <v>0</v>
      </c>
      <c r="L127" s="80">
        <f t="shared" ref="L127:AJ127" si="18">IF($Q$47=0,IF(L70=$Q$42,$Q$41,0),IF(L$70=$Q$42,$Q$41*L$87,IF(OR(AND($Q$42=0,L$70=$Q$42),AND(L$70&gt;=$Q$42+$Q$47,INT((L$70-$Q$42)/($Q$47))=(L$70-$Q$42)/($Q$47))),$Q$46*L$87,0)))</f>
        <v>0</v>
      </c>
      <c r="M127" s="80">
        <f t="shared" si="18"/>
        <v>0</v>
      </c>
      <c r="N127" s="80">
        <f t="shared" si="18"/>
        <v>0</v>
      </c>
      <c r="O127" s="80">
        <f t="shared" si="18"/>
        <v>0</v>
      </c>
      <c r="P127" s="80">
        <f t="shared" si="18"/>
        <v>0</v>
      </c>
      <c r="Q127" s="80">
        <f t="shared" si="18"/>
        <v>0</v>
      </c>
      <c r="R127" s="80">
        <f t="shared" si="18"/>
        <v>0</v>
      </c>
      <c r="S127" s="80">
        <f t="shared" si="18"/>
        <v>0</v>
      </c>
      <c r="T127" s="80">
        <f t="shared" si="18"/>
        <v>0</v>
      </c>
      <c r="U127" s="80">
        <f t="shared" si="18"/>
        <v>0</v>
      </c>
      <c r="V127" s="80">
        <f t="shared" si="18"/>
        <v>0</v>
      </c>
      <c r="W127" s="80">
        <f t="shared" si="18"/>
        <v>0</v>
      </c>
      <c r="X127" s="80">
        <f t="shared" si="18"/>
        <v>0</v>
      </c>
      <c r="Y127" s="80">
        <f t="shared" si="18"/>
        <v>0</v>
      </c>
      <c r="Z127" s="80">
        <f t="shared" si="18"/>
        <v>0</v>
      </c>
      <c r="AA127" s="80">
        <f t="shared" si="18"/>
        <v>0</v>
      </c>
      <c r="AB127" s="80">
        <f t="shared" si="18"/>
        <v>0</v>
      </c>
      <c r="AC127" s="80">
        <f t="shared" si="18"/>
        <v>0</v>
      </c>
      <c r="AD127" s="80">
        <f t="shared" si="18"/>
        <v>0</v>
      </c>
      <c r="AE127" s="80">
        <f t="shared" si="18"/>
        <v>0</v>
      </c>
      <c r="AF127" s="80">
        <f t="shared" si="18"/>
        <v>0</v>
      </c>
      <c r="AG127" s="80">
        <f t="shared" si="18"/>
        <v>0</v>
      </c>
      <c r="AH127" s="80">
        <f t="shared" si="18"/>
        <v>0</v>
      </c>
      <c r="AI127" s="80">
        <f t="shared" si="18"/>
        <v>0</v>
      </c>
      <c r="AJ127" s="80">
        <f t="shared" si="18"/>
        <v>0</v>
      </c>
    </row>
    <row r="128" spans="6:38" ht="15" hidden="1" customHeight="1" x14ac:dyDescent="0.2">
      <c r="F128" s="8"/>
      <c r="G128" s="17" t="s">
        <v>11</v>
      </c>
      <c r="H128" s="17"/>
      <c r="I128" s="13"/>
      <c r="J128" s="13"/>
      <c r="K128" s="35">
        <f>IF(K$70&lt;$Q$42,($K$44*K$87)-($K$45*K$87),($Q$44*K$87)-($Q$45*K$87))</f>
        <v>0</v>
      </c>
      <c r="L128" s="35">
        <f t="shared" ref="L128:AI128" si="19">IF(L$70&lt;$Q$42,($K$44*L$87)-($K$45*L$87),($Q$44*L$87)-($Q$45*L$87))</f>
        <v>0</v>
      </c>
      <c r="M128" s="35">
        <f t="shared" si="19"/>
        <v>0</v>
      </c>
      <c r="N128" s="35">
        <f t="shared" si="19"/>
        <v>0</v>
      </c>
      <c r="O128" s="35">
        <f t="shared" si="19"/>
        <v>0</v>
      </c>
      <c r="P128" s="35">
        <f t="shared" si="19"/>
        <v>0</v>
      </c>
      <c r="Q128" s="35">
        <f t="shared" si="19"/>
        <v>0</v>
      </c>
      <c r="R128" s="35">
        <f t="shared" si="19"/>
        <v>0</v>
      </c>
      <c r="S128" s="35">
        <f t="shared" si="19"/>
        <v>0</v>
      </c>
      <c r="T128" s="35">
        <f t="shared" si="19"/>
        <v>0</v>
      </c>
      <c r="U128" s="35">
        <f t="shared" si="19"/>
        <v>0</v>
      </c>
      <c r="V128" s="35">
        <f t="shared" si="19"/>
        <v>0</v>
      </c>
      <c r="W128" s="35">
        <f t="shared" si="19"/>
        <v>0</v>
      </c>
      <c r="X128" s="35">
        <f t="shared" si="19"/>
        <v>0</v>
      </c>
      <c r="Y128" s="35">
        <f t="shared" si="19"/>
        <v>0</v>
      </c>
      <c r="Z128" s="35">
        <f t="shared" si="19"/>
        <v>0</v>
      </c>
      <c r="AA128" s="35">
        <f t="shared" si="19"/>
        <v>0</v>
      </c>
      <c r="AB128" s="35">
        <f t="shared" si="19"/>
        <v>0</v>
      </c>
      <c r="AC128" s="35">
        <f t="shared" si="19"/>
        <v>0</v>
      </c>
      <c r="AD128" s="35">
        <f t="shared" si="19"/>
        <v>0</v>
      </c>
      <c r="AE128" s="35">
        <f t="shared" si="19"/>
        <v>0</v>
      </c>
      <c r="AF128" s="35">
        <f t="shared" si="19"/>
        <v>0</v>
      </c>
      <c r="AG128" s="35">
        <f t="shared" si="19"/>
        <v>0</v>
      </c>
      <c r="AH128" s="35">
        <f t="shared" si="19"/>
        <v>0</v>
      </c>
      <c r="AI128" s="35">
        <f t="shared" si="19"/>
        <v>0</v>
      </c>
      <c r="AJ128" s="35">
        <f>IF(AJ$70&lt;$Q$42,($K$44*AJ$87)-($K$45*AJ$87),($Q$44*AJ$87)-($Q$45*AJ$87))</f>
        <v>0</v>
      </c>
      <c r="AL128" s="121"/>
    </row>
    <row r="129" spans="6:36" ht="15" hidden="1" customHeight="1" x14ac:dyDescent="0.2">
      <c r="F129" s="8"/>
      <c r="G129" s="17" t="s">
        <v>12</v>
      </c>
      <c r="H129" s="17"/>
      <c r="I129" s="13"/>
      <c r="J129" s="13"/>
      <c r="K129" s="80">
        <f>K202+K275</f>
        <v>0</v>
      </c>
      <c r="L129" s="80">
        <f t="shared" ref="L129:AJ130" si="20">L202+L275</f>
        <v>0</v>
      </c>
      <c r="M129" s="80">
        <f t="shared" si="20"/>
        <v>0</v>
      </c>
      <c r="N129" s="80">
        <f t="shared" si="20"/>
        <v>0</v>
      </c>
      <c r="O129" s="80">
        <f t="shared" si="20"/>
        <v>0</v>
      </c>
      <c r="P129" s="80">
        <f t="shared" si="20"/>
        <v>0</v>
      </c>
      <c r="Q129" s="80">
        <f t="shared" si="20"/>
        <v>0</v>
      </c>
      <c r="R129" s="80">
        <f t="shared" si="20"/>
        <v>0</v>
      </c>
      <c r="S129" s="80">
        <f t="shared" si="20"/>
        <v>0</v>
      </c>
      <c r="T129" s="80">
        <f t="shared" si="20"/>
        <v>0</v>
      </c>
      <c r="U129" s="80">
        <f t="shared" si="20"/>
        <v>0</v>
      </c>
      <c r="V129" s="80">
        <f t="shared" si="20"/>
        <v>0</v>
      </c>
      <c r="W129" s="80">
        <f t="shared" si="20"/>
        <v>0</v>
      </c>
      <c r="X129" s="80">
        <f t="shared" si="20"/>
        <v>0</v>
      </c>
      <c r="Y129" s="80">
        <f t="shared" si="20"/>
        <v>0</v>
      </c>
      <c r="Z129" s="80">
        <f t="shared" si="20"/>
        <v>0</v>
      </c>
      <c r="AA129" s="80">
        <f t="shared" si="20"/>
        <v>0</v>
      </c>
      <c r="AB129" s="80">
        <f t="shared" si="20"/>
        <v>0</v>
      </c>
      <c r="AC129" s="80">
        <f t="shared" si="20"/>
        <v>0</v>
      </c>
      <c r="AD129" s="80">
        <f t="shared" si="20"/>
        <v>0</v>
      </c>
      <c r="AE129" s="80">
        <f t="shared" si="20"/>
        <v>0</v>
      </c>
      <c r="AF129" s="80">
        <f t="shared" si="20"/>
        <v>0</v>
      </c>
      <c r="AG129" s="80">
        <f t="shared" si="20"/>
        <v>0</v>
      </c>
      <c r="AH129" s="80">
        <f t="shared" si="20"/>
        <v>0</v>
      </c>
      <c r="AI129" s="80">
        <f t="shared" si="20"/>
        <v>0</v>
      </c>
      <c r="AJ129" s="80">
        <f>AJ202+AJ275</f>
        <v>0</v>
      </c>
    </row>
    <row r="130" spans="6:36" ht="15" hidden="1" customHeight="1" x14ac:dyDescent="0.2">
      <c r="F130" s="8"/>
      <c r="G130" s="17" t="s">
        <v>13</v>
      </c>
      <c r="H130" s="17"/>
      <c r="I130" s="13"/>
      <c r="J130" s="13"/>
      <c r="K130" s="80">
        <f>K203+K276</f>
        <v>0</v>
      </c>
      <c r="L130" s="80">
        <f t="shared" si="20"/>
        <v>0</v>
      </c>
      <c r="M130" s="80">
        <f t="shared" si="20"/>
        <v>0</v>
      </c>
      <c r="N130" s="80">
        <f t="shared" si="20"/>
        <v>0</v>
      </c>
      <c r="O130" s="80">
        <f t="shared" si="20"/>
        <v>0</v>
      </c>
      <c r="P130" s="80">
        <f t="shared" si="20"/>
        <v>0</v>
      </c>
      <c r="Q130" s="80">
        <f t="shared" si="20"/>
        <v>0</v>
      </c>
      <c r="R130" s="80">
        <f t="shared" si="20"/>
        <v>0</v>
      </c>
      <c r="S130" s="80">
        <f t="shared" si="20"/>
        <v>0</v>
      </c>
      <c r="T130" s="80">
        <f t="shared" si="20"/>
        <v>0</v>
      </c>
      <c r="U130" s="80">
        <f t="shared" si="20"/>
        <v>0</v>
      </c>
      <c r="V130" s="80">
        <f t="shared" si="20"/>
        <v>0</v>
      </c>
      <c r="W130" s="80">
        <f t="shared" si="20"/>
        <v>0</v>
      </c>
      <c r="X130" s="80">
        <f t="shared" si="20"/>
        <v>0</v>
      </c>
      <c r="Y130" s="80">
        <f t="shared" si="20"/>
        <v>0</v>
      </c>
      <c r="Z130" s="80">
        <f t="shared" si="20"/>
        <v>0</v>
      </c>
      <c r="AA130" s="80">
        <f t="shared" si="20"/>
        <v>0</v>
      </c>
      <c r="AB130" s="80">
        <f t="shared" si="20"/>
        <v>0</v>
      </c>
      <c r="AC130" s="80">
        <f t="shared" si="20"/>
        <v>0</v>
      </c>
      <c r="AD130" s="80">
        <f t="shared" si="20"/>
        <v>0</v>
      </c>
      <c r="AE130" s="80">
        <f t="shared" si="20"/>
        <v>0</v>
      </c>
      <c r="AF130" s="80">
        <f t="shared" si="20"/>
        <v>0</v>
      </c>
      <c r="AG130" s="80">
        <f t="shared" si="20"/>
        <v>0</v>
      </c>
      <c r="AH130" s="80">
        <f t="shared" si="20"/>
        <v>0</v>
      </c>
      <c r="AI130" s="80">
        <f t="shared" si="20"/>
        <v>0</v>
      </c>
      <c r="AJ130" s="80">
        <f t="shared" si="20"/>
        <v>0</v>
      </c>
    </row>
    <row r="131" spans="6:36" ht="15" hidden="1" customHeight="1" x14ac:dyDescent="0.2">
      <c r="F131" s="8"/>
      <c r="G131" s="17"/>
      <c r="H131" s="17"/>
      <c r="I131" s="13"/>
      <c r="J131" s="13"/>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row>
    <row r="132" spans="6:36" ht="15" hidden="1" customHeight="1" x14ac:dyDescent="0.2">
      <c r="F132" s="8"/>
      <c r="G132" s="17" t="s">
        <v>14</v>
      </c>
      <c r="H132" s="17"/>
      <c r="I132" s="13"/>
      <c r="J132" s="13"/>
      <c r="K132" s="35">
        <f>SUM(K127:K130)</f>
        <v>0</v>
      </c>
      <c r="L132" s="35">
        <f t="shared" ref="L132:AH132" si="21">SUM(L127:L130)</f>
        <v>0</v>
      </c>
      <c r="M132" s="35">
        <f t="shared" si="21"/>
        <v>0</v>
      </c>
      <c r="N132" s="35">
        <f t="shared" si="21"/>
        <v>0</v>
      </c>
      <c r="O132" s="35">
        <f t="shared" si="21"/>
        <v>0</v>
      </c>
      <c r="P132" s="35">
        <f t="shared" si="21"/>
        <v>0</v>
      </c>
      <c r="Q132" s="35">
        <f t="shared" si="21"/>
        <v>0</v>
      </c>
      <c r="R132" s="35">
        <f t="shared" si="21"/>
        <v>0</v>
      </c>
      <c r="S132" s="35">
        <f t="shared" si="21"/>
        <v>0</v>
      </c>
      <c r="T132" s="35">
        <f t="shared" si="21"/>
        <v>0</v>
      </c>
      <c r="U132" s="35">
        <f t="shared" si="21"/>
        <v>0</v>
      </c>
      <c r="V132" s="35">
        <f t="shared" si="21"/>
        <v>0</v>
      </c>
      <c r="W132" s="35">
        <f t="shared" si="21"/>
        <v>0</v>
      </c>
      <c r="X132" s="35">
        <f t="shared" si="21"/>
        <v>0</v>
      </c>
      <c r="Y132" s="35">
        <f t="shared" si="21"/>
        <v>0</v>
      </c>
      <c r="Z132" s="35">
        <f t="shared" si="21"/>
        <v>0</v>
      </c>
      <c r="AA132" s="35">
        <f t="shared" si="21"/>
        <v>0</v>
      </c>
      <c r="AB132" s="35">
        <f t="shared" si="21"/>
        <v>0</v>
      </c>
      <c r="AC132" s="35">
        <f t="shared" si="21"/>
        <v>0</v>
      </c>
      <c r="AD132" s="35">
        <f t="shared" si="21"/>
        <v>0</v>
      </c>
      <c r="AE132" s="35">
        <f t="shared" si="21"/>
        <v>0</v>
      </c>
      <c r="AF132" s="35">
        <f t="shared" si="21"/>
        <v>0</v>
      </c>
      <c r="AG132" s="35">
        <f t="shared" si="21"/>
        <v>0</v>
      </c>
      <c r="AH132" s="35">
        <f t="shared" si="21"/>
        <v>0</v>
      </c>
      <c r="AI132" s="35">
        <f>SUM(AI127:AI130)</f>
        <v>0</v>
      </c>
      <c r="AJ132" s="35">
        <f>SUM(AJ127:AJ130)</f>
        <v>0</v>
      </c>
    </row>
    <row r="133" spans="6:36" ht="15" hidden="1" customHeight="1" x14ac:dyDescent="0.2">
      <c r="F133" s="8"/>
      <c r="G133" s="17" t="s">
        <v>435</v>
      </c>
      <c r="H133" s="17"/>
      <c r="I133" s="13"/>
      <c r="J133" s="13"/>
      <c r="K133" s="35">
        <f>K132</f>
        <v>0</v>
      </c>
      <c r="L133" s="35">
        <f t="shared" ref="L133:AI133" si="22">K133+L132</f>
        <v>0</v>
      </c>
      <c r="M133" s="35">
        <f t="shared" si="22"/>
        <v>0</v>
      </c>
      <c r="N133" s="35">
        <f t="shared" si="22"/>
        <v>0</v>
      </c>
      <c r="O133" s="35">
        <f t="shared" si="22"/>
        <v>0</v>
      </c>
      <c r="P133" s="35">
        <f t="shared" si="22"/>
        <v>0</v>
      </c>
      <c r="Q133" s="35">
        <f t="shared" si="22"/>
        <v>0</v>
      </c>
      <c r="R133" s="35">
        <f t="shared" si="22"/>
        <v>0</v>
      </c>
      <c r="S133" s="35">
        <f t="shared" si="22"/>
        <v>0</v>
      </c>
      <c r="T133" s="35">
        <f t="shared" si="22"/>
        <v>0</v>
      </c>
      <c r="U133" s="35">
        <f t="shared" si="22"/>
        <v>0</v>
      </c>
      <c r="V133" s="35">
        <f t="shared" si="22"/>
        <v>0</v>
      </c>
      <c r="W133" s="35">
        <f t="shared" si="22"/>
        <v>0</v>
      </c>
      <c r="X133" s="35">
        <f t="shared" si="22"/>
        <v>0</v>
      </c>
      <c r="Y133" s="35">
        <f t="shared" si="22"/>
        <v>0</v>
      </c>
      <c r="Z133" s="35">
        <f t="shared" si="22"/>
        <v>0</v>
      </c>
      <c r="AA133" s="35">
        <f t="shared" si="22"/>
        <v>0</v>
      </c>
      <c r="AB133" s="35">
        <f t="shared" si="22"/>
        <v>0</v>
      </c>
      <c r="AC133" s="35">
        <f t="shared" si="22"/>
        <v>0</v>
      </c>
      <c r="AD133" s="35">
        <f t="shared" si="22"/>
        <v>0</v>
      </c>
      <c r="AE133" s="35">
        <f t="shared" si="22"/>
        <v>0</v>
      </c>
      <c r="AF133" s="35">
        <f t="shared" si="22"/>
        <v>0</v>
      </c>
      <c r="AG133" s="35">
        <f t="shared" si="22"/>
        <v>0</v>
      </c>
      <c r="AH133" s="35">
        <f t="shared" si="22"/>
        <v>0</v>
      </c>
      <c r="AI133" s="35">
        <f t="shared" si="22"/>
        <v>0</v>
      </c>
      <c r="AJ133" s="35">
        <f>AI133+AJ132</f>
        <v>0</v>
      </c>
    </row>
    <row r="134" spans="6:36" ht="15" hidden="1" customHeight="1" x14ac:dyDescent="0.2">
      <c r="F134" s="8"/>
      <c r="G134" s="17"/>
      <c r="H134" s="17"/>
      <c r="I134" s="13"/>
      <c r="J134" s="13"/>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row>
    <row r="135" spans="6:36" ht="15" hidden="1" customHeight="1" x14ac:dyDescent="0.2">
      <c r="F135" s="8"/>
      <c r="G135" s="17" t="s">
        <v>17</v>
      </c>
      <c r="H135" s="17"/>
      <c r="I135" s="13"/>
      <c r="J135" s="13"/>
      <c r="K135" s="35">
        <f>K132/(((Data!$P$186/100)+1)^K$70)</f>
        <v>0</v>
      </c>
      <c r="L135" s="35">
        <f>L132/(((Data!$P$186/100)+1)^L$70)</f>
        <v>0</v>
      </c>
      <c r="M135" s="35">
        <f>M132/(((Data!$P$186/100)+1)^M$70)</f>
        <v>0</v>
      </c>
      <c r="N135" s="35">
        <f>N132/(((Data!$P$186/100)+1)^N$70)</f>
        <v>0</v>
      </c>
      <c r="O135" s="35">
        <f>O132/(((Data!$P$186/100)+1)^O$70)</f>
        <v>0</v>
      </c>
      <c r="P135" s="35">
        <f>P132/(((Data!$P$186/100)+1)^P$70)</f>
        <v>0</v>
      </c>
      <c r="Q135" s="35">
        <f>Q132/(((Data!$P$186/100)+1)^Q$70)</f>
        <v>0</v>
      </c>
      <c r="R135" s="35">
        <f>R132/(((Data!$P$186/100)+1)^R$70)</f>
        <v>0</v>
      </c>
      <c r="S135" s="35">
        <f>S132/(((Data!$P$186/100)+1)^S$70)</f>
        <v>0</v>
      </c>
      <c r="T135" s="35">
        <f>T132/(((Data!$P$186/100)+1)^T$70)</f>
        <v>0</v>
      </c>
      <c r="U135" s="35">
        <f>U132/(((Data!$P$186/100)+1)^U$70)</f>
        <v>0</v>
      </c>
      <c r="V135" s="35">
        <f>V132/(((Data!$P$186/100)+1)^V$70)</f>
        <v>0</v>
      </c>
      <c r="W135" s="35">
        <f>W132/(((Data!$P$186/100)+1)^W$70)</f>
        <v>0</v>
      </c>
      <c r="X135" s="35">
        <f>X132/(((Data!$P$186/100)+1)^X$70)</f>
        <v>0</v>
      </c>
      <c r="Y135" s="35">
        <f>Y132/(((Data!$P$186/100)+1)^Y$70)</f>
        <v>0</v>
      </c>
      <c r="Z135" s="35">
        <f>Z132/(((Data!$P$186/100)+1)^Z$70)</f>
        <v>0</v>
      </c>
      <c r="AA135" s="35">
        <f>AA132/(((Data!$P$186/100)+1)^AA$70)</f>
        <v>0</v>
      </c>
      <c r="AB135" s="35">
        <f>AB132/(((Data!$P$186/100)+1)^AB$70)</f>
        <v>0</v>
      </c>
      <c r="AC135" s="35">
        <f>AC132/(((Data!$P$186/100)+1)^AC$70)</f>
        <v>0</v>
      </c>
      <c r="AD135" s="35">
        <f>AD132/(((Data!$P$186/100)+1)^AD$70)</f>
        <v>0</v>
      </c>
      <c r="AE135" s="35">
        <f>AE132/(((Data!$P$186/100)+1)^AE$70)</f>
        <v>0</v>
      </c>
      <c r="AF135" s="35">
        <f>AF132/(((Data!$P$186/100)+1)^AF$70)</f>
        <v>0</v>
      </c>
      <c r="AG135" s="35">
        <f>AG132/(((Data!$P$186/100)+1)^AG$70)</f>
        <v>0</v>
      </c>
      <c r="AH135" s="35">
        <f>AH132/(((Data!$P$186/100)+1)^AH$70)</f>
        <v>0</v>
      </c>
      <c r="AI135" s="35">
        <f>AI132/(((Data!$P$186/100)+1)^AI$70)</f>
        <v>0</v>
      </c>
      <c r="AJ135" s="35">
        <f>AJ132/(((Data!$P$186/100)+1)^AJ$70)</f>
        <v>0</v>
      </c>
    </row>
    <row r="136" spans="6:36" ht="15" hidden="1" customHeight="1" x14ac:dyDescent="0.2">
      <c r="F136" s="8"/>
      <c r="G136" s="15" t="s">
        <v>184</v>
      </c>
      <c r="H136" s="15"/>
      <c r="I136" s="13"/>
      <c r="J136" s="13"/>
      <c r="K136" s="36">
        <f>K135</f>
        <v>0</v>
      </c>
      <c r="L136" s="36">
        <f t="shared" ref="L136:AJ136" si="23">K136+L135</f>
        <v>0</v>
      </c>
      <c r="M136" s="36">
        <f t="shared" si="23"/>
        <v>0</v>
      </c>
      <c r="N136" s="36">
        <f t="shared" si="23"/>
        <v>0</v>
      </c>
      <c r="O136" s="36">
        <f t="shared" si="23"/>
        <v>0</v>
      </c>
      <c r="P136" s="36">
        <f t="shared" si="23"/>
        <v>0</v>
      </c>
      <c r="Q136" s="36">
        <f t="shared" si="23"/>
        <v>0</v>
      </c>
      <c r="R136" s="36">
        <f t="shared" si="23"/>
        <v>0</v>
      </c>
      <c r="S136" s="36">
        <f t="shared" si="23"/>
        <v>0</v>
      </c>
      <c r="T136" s="36">
        <f t="shared" si="23"/>
        <v>0</v>
      </c>
      <c r="U136" s="36">
        <f t="shared" si="23"/>
        <v>0</v>
      </c>
      <c r="V136" s="36">
        <f t="shared" si="23"/>
        <v>0</v>
      </c>
      <c r="W136" s="36">
        <f t="shared" si="23"/>
        <v>0</v>
      </c>
      <c r="X136" s="36">
        <f t="shared" si="23"/>
        <v>0</v>
      </c>
      <c r="Y136" s="36">
        <f t="shared" si="23"/>
        <v>0</v>
      </c>
      <c r="Z136" s="36">
        <f t="shared" si="23"/>
        <v>0</v>
      </c>
      <c r="AA136" s="36">
        <f t="shared" si="23"/>
        <v>0</v>
      </c>
      <c r="AB136" s="36">
        <f t="shared" si="23"/>
        <v>0</v>
      </c>
      <c r="AC136" s="36">
        <f t="shared" si="23"/>
        <v>0</v>
      </c>
      <c r="AD136" s="36">
        <f t="shared" si="23"/>
        <v>0</v>
      </c>
      <c r="AE136" s="36">
        <f t="shared" si="23"/>
        <v>0</v>
      </c>
      <c r="AF136" s="36">
        <f t="shared" si="23"/>
        <v>0</v>
      </c>
      <c r="AG136" s="36">
        <f t="shared" si="23"/>
        <v>0</v>
      </c>
      <c r="AH136" s="36">
        <f t="shared" si="23"/>
        <v>0</v>
      </c>
      <c r="AI136" s="36">
        <f>AH136+AI135</f>
        <v>0</v>
      </c>
      <c r="AJ136" s="36">
        <f t="shared" si="23"/>
        <v>0</v>
      </c>
    </row>
    <row r="137" spans="6:36" ht="15" hidden="1" customHeight="1" x14ac:dyDescent="0.2">
      <c r="F137" s="8"/>
      <c r="G137" s="8"/>
      <c r="H137" s="8"/>
      <c r="I137" s="8"/>
      <c r="J137" s="8"/>
      <c r="K137" s="8"/>
      <c r="L137" s="8"/>
      <c r="M137" s="8"/>
      <c r="N137" s="8"/>
      <c r="O137" s="8"/>
      <c r="P137" s="8"/>
      <c r="Q137" s="8"/>
      <c r="R137" s="8"/>
      <c r="S137" s="8"/>
      <c r="T137" s="9"/>
      <c r="U137" s="8"/>
      <c r="V137" s="8"/>
      <c r="W137" s="8"/>
      <c r="X137" s="8"/>
      <c r="Y137" s="8"/>
      <c r="Z137" s="8"/>
      <c r="AA137" s="8"/>
      <c r="AB137" s="8"/>
      <c r="AC137" s="8"/>
      <c r="AD137" s="8"/>
      <c r="AE137" s="8"/>
      <c r="AF137" s="8"/>
      <c r="AG137" s="8"/>
      <c r="AH137" s="8"/>
      <c r="AI137" s="8"/>
      <c r="AJ137" s="8"/>
    </row>
    <row r="138" spans="6:36" ht="15" hidden="1" customHeight="1" x14ac:dyDescent="0.2">
      <c r="F138" s="8"/>
      <c r="G138" s="906" t="s">
        <v>530</v>
      </c>
      <c r="H138" s="839"/>
      <c r="I138" s="839"/>
      <c r="J138" s="839"/>
      <c r="K138" s="917"/>
      <c r="L138" s="917"/>
      <c r="M138" s="917"/>
      <c r="N138" s="917"/>
      <c r="O138" s="917"/>
      <c r="P138" s="917"/>
      <c r="Q138" s="917"/>
      <c r="R138" s="917"/>
      <c r="S138" s="917"/>
      <c r="T138" s="917"/>
      <c r="U138" s="917"/>
      <c r="V138" s="917"/>
      <c r="W138" s="917"/>
      <c r="X138" s="917"/>
      <c r="Y138" s="917"/>
      <c r="Z138" s="917"/>
      <c r="AA138" s="917"/>
      <c r="AB138" s="917"/>
      <c r="AC138" s="917"/>
      <c r="AD138" s="917"/>
      <c r="AE138" s="917"/>
      <c r="AF138" s="917"/>
      <c r="AG138" s="917"/>
      <c r="AH138" s="917"/>
      <c r="AI138" s="917"/>
      <c r="AJ138" s="917"/>
    </row>
    <row r="139" spans="6:36" ht="15" hidden="1" customHeight="1" x14ac:dyDescent="0.2">
      <c r="F139" s="8"/>
      <c r="G139" s="839"/>
      <c r="H139" s="839"/>
      <c r="I139" s="839"/>
      <c r="J139" s="839"/>
      <c r="K139" s="917"/>
      <c r="L139" s="917"/>
      <c r="M139" s="917"/>
      <c r="N139" s="917"/>
      <c r="O139" s="917"/>
      <c r="P139" s="917"/>
      <c r="Q139" s="917"/>
      <c r="R139" s="917"/>
      <c r="S139" s="917"/>
      <c r="T139" s="917"/>
      <c r="U139" s="917"/>
      <c r="V139" s="917"/>
      <c r="W139" s="917"/>
      <c r="X139" s="917"/>
      <c r="Y139" s="917"/>
      <c r="Z139" s="917"/>
      <c r="AA139" s="917"/>
      <c r="AB139" s="917"/>
      <c r="AC139" s="917"/>
      <c r="AD139" s="917"/>
      <c r="AE139" s="917"/>
      <c r="AF139" s="917"/>
      <c r="AG139" s="917"/>
      <c r="AH139" s="917"/>
      <c r="AI139" s="917"/>
      <c r="AJ139" s="917"/>
    </row>
    <row r="140" spans="6:36" ht="15" hidden="1" customHeight="1" x14ac:dyDescent="0.2">
      <c r="F140" s="8"/>
      <c r="G140" s="839" t="s">
        <v>2</v>
      </c>
      <c r="H140" s="864"/>
      <c r="I140" s="864"/>
      <c r="J140" s="864"/>
      <c r="K140" s="925">
        <f>K$79</f>
        <v>0.19338</v>
      </c>
      <c r="L140" s="925">
        <f t="shared" ref="L140:AJ140" si="24">L$79</f>
        <v>0.18757859999999998</v>
      </c>
      <c r="M140" s="925">
        <f t="shared" si="24"/>
        <v>0.18195124199999999</v>
      </c>
      <c r="N140" s="925">
        <f t="shared" si="24"/>
        <v>0.17649270473999998</v>
      </c>
      <c r="O140" s="925">
        <f t="shared" si="24"/>
        <v>0.17119792359779998</v>
      </c>
      <c r="P140" s="925">
        <f t="shared" si="24"/>
        <v>0.16606198588986598</v>
      </c>
      <c r="Q140" s="925">
        <f t="shared" si="24"/>
        <v>0.16108012631317001</v>
      </c>
      <c r="R140" s="925">
        <f t="shared" si="24"/>
        <v>0.15624772252377489</v>
      </c>
      <c r="S140" s="925">
        <f t="shared" si="24"/>
        <v>0.15156029084806164</v>
      </c>
      <c r="T140" s="925">
        <f t="shared" si="24"/>
        <v>0.14701348212261978</v>
      </c>
      <c r="U140" s="925">
        <f t="shared" si="24"/>
        <v>0.14260307765894117</v>
      </c>
      <c r="V140" s="925">
        <f t="shared" si="24"/>
        <v>0.13832498532917292</v>
      </c>
      <c r="W140" s="925">
        <f t="shared" si="24"/>
        <v>0.13417523576929774</v>
      </c>
      <c r="X140" s="925">
        <f t="shared" si="24"/>
        <v>0.1301499786962188</v>
      </c>
      <c r="Y140" s="925">
        <f t="shared" si="24"/>
        <v>0.12624547933533223</v>
      </c>
      <c r="Z140" s="925">
        <f t="shared" si="24"/>
        <v>0.12245811495527226</v>
      </c>
      <c r="AA140" s="925">
        <f t="shared" si="24"/>
        <v>0.11878437150661408</v>
      </c>
      <c r="AB140" s="925">
        <f t="shared" si="24"/>
        <v>0.11522084036141565</v>
      </c>
      <c r="AC140" s="925">
        <f t="shared" si="24"/>
        <v>0.11176421515057318</v>
      </c>
      <c r="AD140" s="925">
        <f t="shared" si="24"/>
        <v>0.10841128869605599</v>
      </c>
      <c r="AE140" s="925">
        <f t="shared" si="24"/>
        <v>0.10515895003517431</v>
      </c>
      <c r="AF140" s="925">
        <f t="shared" si="24"/>
        <v>0.10200418153411908</v>
      </c>
      <c r="AG140" s="925">
        <f t="shared" si="24"/>
        <v>9.8944056088095506E-2</v>
      </c>
      <c r="AH140" s="925">
        <f t="shared" si="24"/>
        <v>9.5975734405452637E-2</v>
      </c>
      <c r="AI140" s="925">
        <f t="shared" si="24"/>
        <v>9.3096462373289057E-2</v>
      </c>
      <c r="AJ140" s="925">
        <f t="shared" si="24"/>
        <v>9.0303568502090384E-2</v>
      </c>
    </row>
    <row r="141" spans="6:36" ht="15" hidden="1" customHeight="1" x14ac:dyDescent="0.2">
      <c r="F141" s="8"/>
      <c r="G141" s="839" t="s">
        <v>1</v>
      </c>
      <c r="H141" s="864"/>
      <c r="I141" s="864"/>
      <c r="J141" s="864"/>
      <c r="K141" s="925">
        <f>K$85</f>
        <v>0.31</v>
      </c>
      <c r="L141" s="925">
        <f t="shared" ref="L141:AJ141" si="25">L$85</f>
        <v>0.34100000000000003</v>
      </c>
      <c r="M141" s="925">
        <f t="shared" si="25"/>
        <v>0.37510000000000004</v>
      </c>
      <c r="N141" s="925">
        <f t="shared" si="25"/>
        <v>0.41261000000000009</v>
      </c>
      <c r="O141" s="925">
        <f t="shared" si="25"/>
        <v>0.45387100000000014</v>
      </c>
      <c r="P141" s="925">
        <f t="shared" si="25"/>
        <v>0.4992581000000002</v>
      </c>
      <c r="Q141" s="925">
        <f t="shared" si="25"/>
        <v>0.54918391000000022</v>
      </c>
      <c r="R141" s="925">
        <f t="shared" si="25"/>
        <v>0.60410230100000029</v>
      </c>
      <c r="S141" s="925">
        <f t="shared" si="25"/>
        <v>0.66451253110000041</v>
      </c>
      <c r="T141" s="925">
        <f t="shared" si="25"/>
        <v>0.73096378421000052</v>
      </c>
      <c r="U141" s="925">
        <f t="shared" si="25"/>
        <v>0.80406016263100066</v>
      </c>
      <c r="V141" s="925">
        <f t="shared" si="25"/>
        <v>0.88446617889410084</v>
      </c>
      <c r="W141" s="925">
        <f t="shared" si="25"/>
        <v>0.97291279678351106</v>
      </c>
      <c r="X141" s="925">
        <f t="shared" si="25"/>
        <v>1.0702040764618623</v>
      </c>
      <c r="Y141" s="925">
        <f t="shared" si="25"/>
        <v>1.1772244841080486</v>
      </c>
      <c r="Z141" s="925">
        <f t="shared" si="25"/>
        <v>1.2949469325188536</v>
      </c>
      <c r="AA141" s="925">
        <f t="shared" si="25"/>
        <v>1.4244416257707391</v>
      </c>
      <c r="AB141" s="925">
        <f t="shared" si="25"/>
        <v>1.5668857883478131</v>
      </c>
      <c r="AC141" s="925">
        <f t="shared" si="25"/>
        <v>1.7235743671825945</v>
      </c>
      <c r="AD141" s="925">
        <f t="shared" si="25"/>
        <v>1.8959318039008541</v>
      </c>
      <c r="AE141" s="925">
        <f t="shared" si="25"/>
        <v>2.0855249842909398</v>
      </c>
      <c r="AF141" s="925">
        <f t="shared" si="25"/>
        <v>2.2940774827200339</v>
      </c>
      <c r="AG141" s="925">
        <f t="shared" si="25"/>
        <v>2.5234852309920375</v>
      </c>
      <c r="AH141" s="925">
        <f t="shared" si="25"/>
        <v>2.7758337540912414</v>
      </c>
      <c r="AI141" s="925">
        <f t="shared" si="25"/>
        <v>3.053417129500366</v>
      </c>
      <c r="AJ141" s="925">
        <f t="shared" si="25"/>
        <v>3.3587588424504031</v>
      </c>
    </row>
    <row r="142" spans="6:36" ht="15" hidden="1" customHeight="1" x14ac:dyDescent="0.2">
      <c r="F142" s="8"/>
      <c r="G142" s="864"/>
      <c r="H142" s="864"/>
      <c r="I142" s="864"/>
      <c r="J142" s="864"/>
      <c r="K142" s="864"/>
      <c r="L142" s="864"/>
      <c r="M142" s="864"/>
      <c r="N142" s="864"/>
      <c r="O142" s="864"/>
      <c r="P142" s="864"/>
      <c r="Q142" s="864"/>
      <c r="R142" s="864"/>
      <c r="S142" s="864"/>
      <c r="T142" s="864"/>
      <c r="U142" s="864"/>
      <c r="V142" s="864"/>
      <c r="W142" s="864"/>
      <c r="X142" s="864"/>
      <c r="Y142" s="864"/>
      <c r="Z142" s="864"/>
      <c r="AA142" s="864"/>
      <c r="AB142" s="864"/>
      <c r="AC142" s="864"/>
      <c r="AD142" s="864"/>
      <c r="AE142" s="864"/>
      <c r="AF142" s="864"/>
      <c r="AG142" s="864"/>
      <c r="AH142" s="864"/>
      <c r="AI142" s="864"/>
      <c r="AJ142" s="864"/>
    </row>
    <row r="143" spans="6:36" ht="15" hidden="1" customHeight="1" x14ac:dyDescent="0.2">
      <c r="F143" s="8"/>
      <c r="G143" s="839" t="s">
        <v>4</v>
      </c>
      <c r="H143" s="839"/>
      <c r="I143" s="839"/>
      <c r="J143" s="839"/>
      <c r="K143" s="920"/>
      <c r="L143" s="920"/>
      <c r="M143" s="920"/>
      <c r="N143" s="920"/>
      <c r="O143" s="920"/>
      <c r="P143" s="920"/>
      <c r="Q143" s="920"/>
      <c r="R143" s="920"/>
      <c r="S143" s="920"/>
      <c r="T143" s="920"/>
      <c r="U143" s="920"/>
      <c r="V143" s="920"/>
      <c r="W143" s="920"/>
      <c r="X143" s="920"/>
      <c r="Y143" s="920"/>
      <c r="Z143" s="920"/>
      <c r="AA143" s="920"/>
      <c r="AB143" s="920"/>
      <c r="AC143" s="920"/>
      <c r="AD143" s="920"/>
      <c r="AE143" s="920"/>
      <c r="AF143" s="920"/>
      <c r="AG143" s="920"/>
      <c r="AH143" s="920"/>
      <c r="AI143" s="920"/>
      <c r="AJ143" s="920"/>
    </row>
    <row r="144" spans="6:36" ht="15" hidden="1" customHeight="1" x14ac:dyDescent="0.2">
      <c r="F144" s="8"/>
      <c r="G144" s="839" t="s">
        <v>5</v>
      </c>
      <c r="H144" s="839"/>
      <c r="I144" s="839"/>
      <c r="J144" s="839"/>
      <c r="K144" s="920"/>
      <c r="L144" s="920"/>
      <c r="M144" s="920"/>
      <c r="N144" s="920"/>
      <c r="O144" s="920"/>
      <c r="P144" s="920"/>
      <c r="Q144" s="920"/>
      <c r="R144" s="920"/>
      <c r="S144" s="920"/>
      <c r="T144" s="920"/>
      <c r="U144" s="920"/>
      <c r="V144" s="920"/>
      <c r="W144" s="920"/>
      <c r="X144" s="920"/>
      <c r="Y144" s="920"/>
      <c r="Z144" s="920"/>
      <c r="AA144" s="920"/>
      <c r="AB144" s="920"/>
      <c r="AC144" s="920"/>
      <c r="AD144" s="920"/>
      <c r="AE144" s="920"/>
      <c r="AF144" s="920"/>
      <c r="AG144" s="920"/>
      <c r="AH144" s="920"/>
      <c r="AI144" s="920"/>
      <c r="AJ144" s="920"/>
    </row>
    <row r="145" spans="6:38" ht="15" hidden="1" customHeight="1" x14ac:dyDescent="0.2">
      <c r="F145" s="8"/>
      <c r="G145" s="839" t="s">
        <v>6</v>
      </c>
      <c r="H145" s="839"/>
      <c r="I145" s="839"/>
      <c r="J145" s="839"/>
      <c r="K145" s="918">
        <f>K218+K291</f>
        <v>0</v>
      </c>
      <c r="L145" s="918">
        <f t="shared" ref="L145:AJ145" si="26">L218+L291</f>
        <v>0</v>
      </c>
      <c r="M145" s="918">
        <f t="shared" si="26"/>
        <v>0</v>
      </c>
      <c r="N145" s="918">
        <f t="shared" si="26"/>
        <v>0</v>
      </c>
      <c r="O145" s="918">
        <f t="shared" si="26"/>
        <v>0</v>
      </c>
      <c r="P145" s="918">
        <f t="shared" si="26"/>
        <v>0</v>
      </c>
      <c r="Q145" s="918">
        <f t="shared" si="26"/>
        <v>0</v>
      </c>
      <c r="R145" s="918">
        <f t="shared" si="26"/>
        <v>0</v>
      </c>
      <c r="S145" s="918">
        <f t="shared" si="26"/>
        <v>0</v>
      </c>
      <c r="T145" s="918">
        <f t="shared" si="26"/>
        <v>0</v>
      </c>
      <c r="U145" s="918">
        <f t="shared" si="26"/>
        <v>0</v>
      </c>
      <c r="V145" s="918">
        <f t="shared" si="26"/>
        <v>0</v>
      </c>
      <c r="W145" s="918">
        <f t="shared" si="26"/>
        <v>0</v>
      </c>
      <c r="X145" s="918">
        <f t="shared" si="26"/>
        <v>0</v>
      </c>
      <c r="Y145" s="918">
        <f t="shared" si="26"/>
        <v>0</v>
      </c>
      <c r="Z145" s="918">
        <f t="shared" si="26"/>
        <v>0</v>
      </c>
      <c r="AA145" s="918">
        <f t="shared" si="26"/>
        <v>0</v>
      </c>
      <c r="AB145" s="918">
        <f t="shared" si="26"/>
        <v>0</v>
      </c>
      <c r="AC145" s="918">
        <f t="shared" si="26"/>
        <v>0</v>
      </c>
      <c r="AD145" s="918">
        <f t="shared" si="26"/>
        <v>0</v>
      </c>
      <c r="AE145" s="918">
        <f t="shared" si="26"/>
        <v>0</v>
      </c>
      <c r="AF145" s="918">
        <f t="shared" si="26"/>
        <v>0</v>
      </c>
      <c r="AG145" s="918">
        <f t="shared" si="26"/>
        <v>0</v>
      </c>
      <c r="AH145" s="918">
        <f t="shared" si="26"/>
        <v>0</v>
      </c>
      <c r="AI145" s="918">
        <f t="shared" si="26"/>
        <v>0</v>
      </c>
      <c r="AJ145" s="918">
        <f t="shared" si="26"/>
        <v>0</v>
      </c>
    </row>
    <row r="146" spans="6:38" ht="15" hidden="1" customHeight="1" x14ac:dyDescent="0.2">
      <c r="F146" s="8"/>
      <c r="G146" s="839"/>
      <c r="H146" s="839"/>
      <c r="I146" s="839"/>
      <c r="J146" s="839"/>
      <c r="K146" s="917"/>
      <c r="L146" s="917"/>
      <c r="M146" s="917"/>
      <c r="N146" s="917"/>
      <c r="O146" s="917"/>
      <c r="P146" s="917"/>
      <c r="Q146" s="917"/>
      <c r="R146" s="917"/>
      <c r="S146" s="917"/>
      <c r="T146" s="917"/>
      <c r="U146" s="917"/>
      <c r="V146" s="917"/>
      <c r="W146" s="917"/>
      <c r="X146" s="917"/>
      <c r="Y146" s="917"/>
      <c r="Z146" s="917"/>
      <c r="AA146" s="917"/>
      <c r="AB146" s="917"/>
      <c r="AC146" s="917"/>
      <c r="AD146" s="917"/>
      <c r="AE146" s="917"/>
      <c r="AF146" s="917"/>
      <c r="AG146" s="917"/>
      <c r="AH146" s="917"/>
      <c r="AI146" s="917"/>
      <c r="AJ146" s="917"/>
    </row>
    <row r="147" spans="6:38" ht="15" hidden="1" customHeight="1" x14ac:dyDescent="0.2">
      <c r="F147" s="8"/>
      <c r="G147" s="839" t="s">
        <v>7</v>
      </c>
      <c r="H147" s="839"/>
      <c r="I147" s="839"/>
      <c r="J147" s="839"/>
      <c r="K147" s="920"/>
      <c r="L147" s="920"/>
      <c r="M147" s="920"/>
      <c r="N147" s="920"/>
      <c r="O147" s="920"/>
      <c r="P147" s="920"/>
      <c r="Q147" s="920"/>
      <c r="R147" s="920"/>
      <c r="S147" s="920"/>
      <c r="T147" s="920"/>
      <c r="U147" s="920"/>
      <c r="V147" s="920"/>
      <c r="W147" s="920"/>
      <c r="X147" s="920"/>
      <c r="Y147" s="920"/>
      <c r="Z147" s="920"/>
      <c r="AA147" s="920"/>
      <c r="AB147" s="920"/>
      <c r="AC147" s="920"/>
      <c r="AD147" s="920"/>
      <c r="AE147" s="920"/>
      <c r="AF147" s="920"/>
      <c r="AG147" s="920"/>
      <c r="AH147" s="920"/>
      <c r="AI147" s="920"/>
      <c r="AJ147" s="920"/>
    </row>
    <row r="148" spans="6:38" ht="15" hidden="1" customHeight="1" x14ac:dyDescent="0.2">
      <c r="F148" s="8"/>
      <c r="G148" s="839" t="s">
        <v>8</v>
      </c>
      <c r="H148" s="839"/>
      <c r="I148" s="839"/>
      <c r="J148" s="839"/>
      <c r="K148" s="920"/>
      <c r="L148" s="920"/>
      <c r="M148" s="920"/>
      <c r="N148" s="920"/>
      <c r="O148" s="920"/>
      <c r="P148" s="920"/>
      <c r="Q148" s="920"/>
      <c r="R148" s="920"/>
      <c r="S148" s="920"/>
      <c r="T148" s="920"/>
      <c r="U148" s="920"/>
      <c r="V148" s="920"/>
      <c r="W148" s="920"/>
      <c r="X148" s="920"/>
      <c r="Y148" s="920"/>
      <c r="Z148" s="920"/>
      <c r="AA148" s="920"/>
      <c r="AB148" s="920"/>
      <c r="AC148" s="920"/>
      <c r="AD148" s="920"/>
      <c r="AE148" s="920"/>
      <c r="AF148" s="920"/>
      <c r="AG148" s="920"/>
      <c r="AH148" s="920"/>
      <c r="AI148" s="920"/>
      <c r="AJ148" s="920"/>
    </row>
    <row r="149" spans="6:38" ht="15" hidden="1" customHeight="1" x14ac:dyDescent="0.2">
      <c r="F149" s="8"/>
      <c r="G149" s="839" t="s">
        <v>9</v>
      </c>
      <c r="H149" s="839"/>
      <c r="I149" s="839"/>
      <c r="J149" s="839"/>
      <c r="K149" s="918">
        <f>K222+K295</f>
        <v>0</v>
      </c>
      <c r="L149" s="918">
        <f t="shared" ref="L149:AI149" si="27">L222+L295</f>
        <v>0</v>
      </c>
      <c r="M149" s="918">
        <f t="shared" si="27"/>
        <v>0</v>
      </c>
      <c r="N149" s="918">
        <f t="shared" si="27"/>
        <v>0</v>
      </c>
      <c r="O149" s="918">
        <f t="shared" si="27"/>
        <v>0</v>
      </c>
      <c r="P149" s="918">
        <f t="shared" si="27"/>
        <v>0</v>
      </c>
      <c r="Q149" s="918">
        <f t="shared" si="27"/>
        <v>0</v>
      </c>
      <c r="R149" s="918">
        <f t="shared" si="27"/>
        <v>0</v>
      </c>
      <c r="S149" s="918">
        <f t="shared" si="27"/>
        <v>0</v>
      </c>
      <c r="T149" s="918">
        <f t="shared" si="27"/>
        <v>0</v>
      </c>
      <c r="U149" s="918">
        <f t="shared" si="27"/>
        <v>0</v>
      </c>
      <c r="V149" s="918">
        <f t="shared" si="27"/>
        <v>0</v>
      </c>
      <c r="W149" s="918">
        <f t="shared" si="27"/>
        <v>0</v>
      </c>
      <c r="X149" s="918">
        <f t="shared" si="27"/>
        <v>0</v>
      </c>
      <c r="Y149" s="918">
        <f t="shared" si="27"/>
        <v>0</v>
      </c>
      <c r="Z149" s="918">
        <f t="shared" si="27"/>
        <v>0</v>
      </c>
      <c r="AA149" s="918">
        <f t="shared" si="27"/>
        <v>0</v>
      </c>
      <c r="AB149" s="918">
        <f t="shared" si="27"/>
        <v>0</v>
      </c>
      <c r="AC149" s="918">
        <f t="shared" si="27"/>
        <v>0</v>
      </c>
      <c r="AD149" s="918">
        <f t="shared" si="27"/>
        <v>0</v>
      </c>
      <c r="AE149" s="918">
        <f t="shared" si="27"/>
        <v>0</v>
      </c>
      <c r="AF149" s="918">
        <f t="shared" si="27"/>
        <v>0</v>
      </c>
      <c r="AG149" s="918">
        <f t="shared" si="27"/>
        <v>0</v>
      </c>
      <c r="AH149" s="918">
        <f t="shared" si="27"/>
        <v>0</v>
      </c>
      <c r="AI149" s="918">
        <f t="shared" si="27"/>
        <v>0</v>
      </c>
      <c r="AJ149" s="918">
        <f>AJ222+AJ295</f>
        <v>0</v>
      </c>
    </row>
    <row r="150" spans="6:38" ht="15" hidden="1" customHeight="1" x14ac:dyDescent="0.2">
      <c r="F150" s="8"/>
      <c r="G150" s="839"/>
      <c r="H150" s="839"/>
      <c r="I150" s="839"/>
      <c r="J150" s="839"/>
      <c r="K150" s="917"/>
      <c r="L150" s="917"/>
      <c r="M150" s="917"/>
      <c r="N150" s="917"/>
      <c r="O150" s="917"/>
      <c r="P150" s="917"/>
      <c r="Q150" s="917"/>
      <c r="R150" s="917"/>
      <c r="S150" s="917"/>
      <c r="T150" s="917"/>
      <c r="U150" s="917"/>
      <c r="V150" s="917"/>
      <c r="W150" s="917"/>
      <c r="X150" s="917"/>
      <c r="Y150" s="917"/>
      <c r="Z150" s="917"/>
      <c r="AA150" s="917"/>
      <c r="AB150" s="917"/>
      <c r="AC150" s="917"/>
      <c r="AD150" s="917"/>
      <c r="AE150" s="917"/>
      <c r="AF150" s="917"/>
      <c r="AG150" s="917"/>
      <c r="AH150" s="917"/>
      <c r="AI150" s="917"/>
      <c r="AJ150" s="917"/>
    </row>
    <row r="151" spans="6:38" ht="15" hidden="1" customHeight="1" x14ac:dyDescent="0.2">
      <c r="F151" s="8"/>
      <c r="G151" s="839" t="s">
        <v>10</v>
      </c>
      <c r="H151" s="839"/>
      <c r="I151" s="839"/>
      <c r="J151" s="839"/>
      <c r="K151" s="918">
        <f>IF($AC$47=0,IF(K70=$AC$42,$AC$41,0),IF(K$70=$AC$42,$AC$41*K$87,IF(OR(AND($AC$42=0,K$70=$AC$42),AND(K$70&gt;=$AC$42+$AC$47,INT((K$70-$AC$42)/($AC$47))=(K$70-$AC$42)/($AC$47))),$AC$46*K$87,0)))</f>
        <v>0</v>
      </c>
      <c r="L151" s="918">
        <f t="shared" ref="L151:AJ151" si="28">IF($AC$47=0,IF(L70=$AC$42,$AC$41,0),IF(L$70=$AC$42,$AC$41*L$87,IF(OR(AND($AC$42=0,L$70=$AC$42),AND(L$70&gt;=$AC$42+$AC$47,INT((L$70-$AC$42)/($AC$47))=(L$70-$AC$42)/($AC$47))),$AC$46*L$87,0)))</f>
        <v>0</v>
      </c>
      <c r="M151" s="918">
        <f t="shared" si="28"/>
        <v>0</v>
      </c>
      <c r="N151" s="918">
        <f t="shared" si="28"/>
        <v>0</v>
      </c>
      <c r="O151" s="918">
        <f t="shared" si="28"/>
        <v>0</v>
      </c>
      <c r="P151" s="918">
        <f t="shared" si="28"/>
        <v>0</v>
      </c>
      <c r="Q151" s="918">
        <f t="shared" si="28"/>
        <v>0</v>
      </c>
      <c r="R151" s="918">
        <f t="shared" si="28"/>
        <v>0</v>
      </c>
      <c r="S151" s="918">
        <f t="shared" si="28"/>
        <v>0</v>
      </c>
      <c r="T151" s="918">
        <f t="shared" si="28"/>
        <v>0</v>
      </c>
      <c r="U151" s="918">
        <f t="shared" si="28"/>
        <v>0</v>
      </c>
      <c r="V151" s="918">
        <f t="shared" si="28"/>
        <v>0</v>
      </c>
      <c r="W151" s="918">
        <f t="shared" si="28"/>
        <v>0</v>
      </c>
      <c r="X151" s="918">
        <f t="shared" si="28"/>
        <v>0</v>
      </c>
      <c r="Y151" s="918">
        <f t="shared" si="28"/>
        <v>0</v>
      </c>
      <c r="Z151" s="918">
        <f t="shared" si="28"/>
        <v>0</v>
      </c>
      <c r="AA151" s="918">
        <f t="shared" si="28"/>
        <v>0</v>
      </c>
      <c r="AB151" s="918">
        <f t="shared" si="28"/>
        <v>0</v>
      </c>
      <c r="AC151" s="918">
        <f t="shared" si="28"/>
        <v>0</v>
      </c>
      <c r="AD151" s="918">
        <f t="shared" si="28"/>
        <v>0</v>
      </c>
      <c r="AE151" s="918">
        <f t="shared" si="28"/>
        <v>0</v>
      </c>
      <c r="AF151" s="918">
        <f t="shared" si="28"/>
        <v>0</v>
      </c>
      <c r="AG151" s="918">
        <f t="shared" si="28"/>
        <v>0</v>
      </c>
      <c r="AH151" s="918">
        <f t="shared" si="28"/>
        <v>0</v>
      </c>
      <c r="AI151" s="918">
        <f t="shared" si="28"/>
        <v>0</v>
      </c>
      <c r="AJ151" s="918">
        <f t="shared" si="28"/>
        <v>0</v>
      </c>
    </row>
    <row r="152" spans="6:38" ht="15" hidden="1" customHeight="1" x14ac:dyDescent="0.2">
      <c r="G152" s="839" t="s">
        <v>11</v>
      </c>
      <c r="H152" s="839"/>
      <c r="I152" s="839"/>
      <c r="J152" s="839"/>
      <c r="K152" s="917">
        <f>IF(K$70&lt;$AC$42,($K$44*K$87)-($K$45*K$87),($AC$44*K$87)-($AC$45*K$87))</f>
        <v>0</v>
      </c>
      <c r="L152" s="917">
        <f t="shared" ref="L152:AI152" si="29">IF(L$70&lt;$AC$42,($K$44*L$87)-($K$45*L$87),($AC$44*L$87)-($AC$45*L$87))</f>
        <v>0</v>
      </c>
      <c r="M152" s="917">
        <f t="shared" si="29"/>
        <v>0</v>
      </c>
      <c r="N152" s="917">
        <f t="shared" si="29"/>
        <v>0</v>
      </c>
      <c r="O152" s="917">
        <f t="shared" si="29"/>
        <v>0</v>
      </c>
      <c r="P152" s="917">
        <f t="shared" si="29"/>
        <v>0</v>
      </c>
      <c r="Q152" s="917">
        <f t="shared" si="29"/>
        <v>0</v>
      </c>
      <c r="R152" s="917">
        <f t="shared" si="29"/>
        <v>0</v>
      </c>
      <c r="S152" s="917">
        <f t="shared" si="29"/>
        <v>0</v>
      </c>
      <c r="T152" s="917">
        <f t="shared" si="29"/>
        <v>0</v>
      </c>
      <c r="U152" s="917">
        <f t="shared" si="29"/>
        <v>0</v>
      </c>
      <c r="V152" s="917">
        <f t="shared" si="29"/>
        <v>0</v>
      </c>
      <c r="W152" s="917">
        <f t="shared" si="29"/>
        <v>0</v>
      </c>
      <c r="X152" s="917">
        <f t="shared" si="29"/>
        <v>0</v>
      </c>
      <c r="Y152" s="917">
        <f t="shared" si="29"/>
        <v>0</v>
      </c>
      <c r="Z152" s="917">
        <f t="shared" si="29"/>
        <v>0</v>
      </c>
      <c r="AA152" s="917">
        <f t="shared" si="29"/>
        <v>0</v>
      </c>
      <c r="AB152" s="917">
        <f t="shared" si="29"/>
        <v>0</v>
      </c>
      <c r="AC152" s="917">
        <f t="shared" si="29"/>
        <v>0</v>
      </c>
      <c r="AD152" s="917">
        <f t="shared" si="29"/>
        <v>0</v>
      </c>
      <c r="AE152" s="917">
        <f t="shared" si="29"/>
        <v>0</v>
      </c>
      <c r="AF152" s="917">
        <f t="shared" si="29"/>
        <v>0</v>
      </c>
      <c r="AG152" s="917">
        <f t="shared" si="29"/>
        <v>0</v>
      </c>
      <c r="AH152" s="917">
        <f t="shared" si="29"/>
        <v>0</v>
      </c>
      <c r="AI152" s="917">
        <f t="shared" si="29"/>
        <v>0</v>
      </c>
      <c r="AJ152" s="917">
        <f>IF(AJ$70&lt;$AC$42,($K$44*AJ$87)-($K$45*AJ$87),($AC$44*AJ$87)-($AC$45*AJ$87))</f>
        <v>0</v>
      </c>
      <c r="AL152" s="121"/>
    </row>
    <row r="153" spans="6:38" ht="15" hidden="1" customHeight="1" x14ac:dyDescent="0.2">
      <c r="G153" s="839" t="s">
        <v>12</v>
      </c>
      <c r="H153" s="839"/>
      <c r="I153" s="839"/>
      <c r="J153" s="839"/>
      <c r="K153" s="918">
        <f>K226+K299</f>
        <v>0</v>
      </c>
      <c r="L153" s="918">
        <f t="shared" ref="L153:AJ154" si="30">L226+L299</f>
        <v>0</v>
      </c>
      <c r="M153" s="918">
        <f t="shared" si="30"/>
        <v>0</v>
      </c>
      <c r="N153" s="918">
        <f t="shared" si="30"/>
        <v>0</v>
      </c>
      <c r="O153" s="918">
        <f t="shared" si="30"/>
        <v>0</v>
      </c>
      <c r="P153" s="918">
        <f t="shared" si="30"/>
        <v>0</v>
      </c>
      <c r="Q153" s="918">
        <f t="shared" si="30"/>
        <v>0</v>
      </c>
      <c r="R153" s="918">
        <f t="shared" si="30"/>
        <v>0</v>
      </c>
      <c r="S153" s="918">
        <f t="shared" si="30"/>
        <v>0</v>
      </c>
      <c r="T153" s="918">
        <f t="shared" si="30"/>
        <v>0</v>
      </c>
      <c r="U153" s="918">
        <f t="shared" si="30"/>
        <v>0</v>
      </c>
      <c r="V153" s="918">
        <f t="shared" si="30"/>
        <v>0</v>
      </c>
      <c r="W153" s="918">
        <f t="shared" si="30"/>
        <v>0</v>
      </c>
      <c r="X153" s="918">
        <f t="shared" si="30"/>
        <v>0</v>
      </c>
      <c r="Y153" s="918">
        <f t="shared" si="30"/>
        <v>0</v>
      </c>
      <c r="Z153" s="918">
        <f t="shared" si="30"/>
        <v>0</v>
      </c>
      <c r="AA153" s="918">
        <f t="shared" si="30"/>
        <v>0</v>
      </c>
      <c r="AB153" s="918">
        <f t="shared" si="30"/>
        <v>0</v>
      </c>
      <c r="AC153" s="918">
        <f t="shared" si="30"/>
        <v>0</v>
      </c>
      <c r="AD153" s="918">
        <f t="shared" si="30"/>
        <v>0</v>
      </c>
      <c r="AE153" s="918">
        <f t="shared" si="30"/>
        <v>0</v>
      </c>
      <c r="AF153" s="918">
        <f t="shared" si="30"/>
        <v>0</v>
      </c>
      <c r="AG153" s="918">
        <f t="shared" si="30"/>
        <v>0</v>
      </c>
      <c r="AH153" s="918">
        <f t="shared" si="30"/>
        <v>0</v>
      </c>
      <c r="AI153" s="918">
        <f t="shared" si="30"/>
        <v>0</v>
      </c>
      <c r="AJ153" s="918">
        <f>AJ226+AJ299</f>
        <v>0</v>
      </c>
    </row>
    <row r="154" spans="6:38" ht="15" hidden="1" customHeight="1" x14ac:dyDescent="0.2">
      <c r="G154" s="839" t="s">
        <v>13</v>
      </c>
      <c r="H154" s="839"/>
      <c r="I154" s="839"/>
      <c r="J154" s="839"/>
      <c r="K154" s="918">
        <f>K227+K300</f>
        <v>0</v>
      </c>
      <c r="L154" s="918">
        <f t="shared" si="30"/>
        <v>0</v>
      </c>
      <c r="M154" s="918">
        <f t="shared" si="30"/>
        <v>0</v>
      </c>
      <c r="N154" s="918">
        <f t="shared" si="30"/>
        <v>0</v>
      </c>
      <c r="O154" s="918">
        <f t="shared" si="30"/>
        <v>0</v>
      </c>
      <c r="P154" s="918">
        <f t="shared" si="30"/>
        <v>0</v>
      </c>
      <c r="Q154" s="918">
        <f t="shared" si="30"/>
        <v>0</v>
      </c>
      <c r="R154" s="918">
        <f t="shared" si="30"/>
        <v>0</v>
      </c>
      <c r="S154" s="918">
        <f t="shared" si="30"/>
        <v>0</v>
      </c>
      <c r="T154" s="918">
        <f t="shared" si="30"/>
        <v>0</v>
      </c>
      <c r="U154" s="918">
        <f t="shared" si="30"/>
        <v>0</v>
      </c>
      <c r="V154" s="918">
        <f t="shared" si="30"/>
        <v>0</v>
      </c>
      <c r="W154" s="918">
        <f t="shared" si="30"/>
        <v>0</v>
      </c>
      <c r="X154" s="918">
        <f t="shared" si="30"/>
        <v>0</v>
      </c>
      <c r="Y154" s="918">
        <f t="shared" si="30"/>
        <v>0</v>
      </c>
      <c r="Z154" s="918">
        <f t="shared" si="30"/>
        <v>0</v>
      </c>
      <c r="AA154" s="918">
        <f t="shared" si="30"/>
        <v>0</v>
      </c>
      <c r="AB154" s="918">
        <f t="shared" si="30"/>
        <v>0</v>
      </c>
      <c r="AC154" s="918">
        <f t="shared" si="30"/>
        <v>0</v>
      </c>
      <c r="AD154" s="918">
        <f t="shared" si="30"/>
        <v>0</v>
      </c>
      <c r="AE154" s="918">
        <f t="shared" si="30"/>
        <v>0</v>
      </c>
      <c r="AF154" s="918">
        <f t="shared" si="30"/>
        <v>0</v>
      </c>
      <c r="AG154" s="918">
        <f t="shared" si="30"/>
        <v>0</v>
      </c>
      <c r="AH154" s="918">
        <f t="shared" si="30"/>
        <v>0</v>
      </c>
      <c r="AI154" s="918">
        <f t="shared" si="30"/>
        <v>0</v>
      </c>
      <c r="AJ154" s="918">
        <f t="shared" si="30"/>
        <v>0</v>
      </c>
    </row>
    <row r="155" spans="6:38" ht="15" hidden="1" customHeight="1" x14ac:dyDescent="0.2">
      <c r="G155" s="839"/>
      <c r="H155" s="839"/>
      <c r="I155" s="839"/>
      <c r="J155" s="839"/>
      <c r="K155" s="917"/>
      <c r="L155" s="917"/>
      <c r="M155" s="917"/>
      <c r="N155" s="917"/>
      <c r="O155" s="917"/>
      <c r="P155" s="917"/>
      <c r="Q155" s="917"/>
      <c r="R155" s="917"/>
      <c r="S155" s="917"/>
      <c r="T155" s="917"/>
      <c r="U155" s="917"/>
      <c r="V155" s="917"/>
      <c r="W155" s="917"/>
      <c r="X155" s="917"/>
      <c r="Y155" s="917"/>
      <c r="Z155" s="917"/>
      <c r="AA155" s="917"/>
      <c r="AB155" s="917"/>
      <c r="AC155" s="917"/>
      <c r="AD155" s="917"/>
      <c r="AE155" s="917"/>
      <c r="AF155" s="917"/>
      <c r="AG155" s="917"/>
      <c r="AH155" s="917"/>
      <c r="AI155" s="917"/>
      <c r="AJ155" s="917"/>
    </row>
    <row r="156" spans="6:38" ht="15" hidden="1" customHeight="1" x14ac:dyDescent="0.2">
      <c r="G156" s="839" t="s">
        <v>14</v>
      </c>
      <c r="H156" s="839"/>
      <c r="I156" s="839"/>
      <c r="J156" s="839"/>
      <c r="K156" s="917">
        <f>SUM(K151:K154)</f>
        <v>0</v>
      </c>
      <c r="L156" s="917">
        <f t="shared" ref="L156:AH156" si="31">SUM(L151:L154)</f>
        <v>0</v>
      </c>
      <c r="M156" s="917">
        <f t="shared" si="31"/>
        <v>0</v>
      </c>
      <c r="N156" s="917">
        <f t="shared" si="31"/>
        <v>0</v>
      </c>
      <c r="O156" s="917">
        <f t="shared" si="31"/>
        <v>0</v>
      </c>
      <c r="P156" s="917">
        <f t="shared" si="31"/>
        <v>0</v>
      </c>
      <c r="Q156" s="917">
        <f t="shared" si="31"/>
        <v>0</v>
      </c>
      <c r="R156" s="917">
        <f t="shared" si="31"/>
        <v>0</v>
      </c>
      <c r="S156" s="917">
        <f t="shared" si="31"/>
        <v>0</v>
      </c>
      <c r="T156" s="917">
        <f t="shared" si="31"/>
        <v>0</v>
      </c>
      <c r="U156" s="917">
        <f t="shared" si="31"/>
        <v>0</v>
      </c>
      <c r="V156" s="917">
        <f t="shared" si="31"/>
        <v>0</v>
      </c>
      <c r="W156" s="917">
        <f t="shared" si="31"/>
        <v>0</v>
      </c>
      <c r="X156" s="917">
        <f t="shared" si="31"/>
        <v>0</v>
      </c>
      <c r="Y156" s="917">
        <f t="shared" si="31"/>
        <v>0</v>
      </c>
      <c r="Z156" s="917">
        <f t="shared" si="31"/>
        <v>0</v>
      </c>
      <c r="AA156" s="917">
        <f t="shared" si="31"/>
        <v>0</v>
      </c>
      <c r="AB156" s="917">
        <f t="shared" si="31"/>
        <v>0</v>
      </c>
      <c r="AC156" s="917">
        <f t="shared" si="31"/>
        <v>0</v>
      </c>
      <c r="AD156" s="917">
        <f t="shared" si="31"/>
        <v>0</v>
      </c>
      <c r="AE156" s="917">
        <f t="shared" si="31"/>
        <v>0</v>
      </c>
      <c r="AF156" s="917">
        <f t="shared" si="31"/>
        <v>0</v>
      </c>
      <c r="AG156" s="917">
        <f t="shared" si="31"/>
        <v>0</v>
      </c>
      <c r="AH156" s="917">
        <f t="shared" si="31"/>
        <v>0</v>
      </c>
      <c r="AI156" s="917">
        <f>SUM(AI151:AI154)</f>
        <v>0</v>
      </c>
      <c r="AJ156" s="917">
        <f>SUM(AJ151:AJ154)</f>
        <v>0</v>
      </c>
    </row>
    <row r="157" spans="6:38" ht="15" hidden="1" customHeight="1" x14ac:dyDescent="0.2">
      <c r="G157" s="839" t="s">
        <v>435</v>
      </c>
      <c r="H157" s="839"/>
      <c r="I157" s="839"/>
      <c r="J157" s="839"/>
      <c r="K157" s="917">
        <f>K156</f>
        <v>0</v>
      </c>
      <c r="L157" s="917">
        <f t="shared" ref="L157:AI157" si="32">K157+L156</f>
        <v>0</v>
      </c>
      <c r="M157" s="917">
        <f t="shared" si="32"/>
        <v>0</v>
      </c>
      <c r="N157" s="917">
        <f t="shared" si="32"/>
        <v>0</v>
      </c>
      <c r="O157" s="917">
        <f t="shared" si="32"/>
        <v>0</v>
      </c>
      <c r="P157" s="917">
        <f t="shared" si="32"/>
        <v>0</v>
      </c>
      <c r="Q157" s="917">
        <f t="shared" si="32"/>
        <v>0</v>
      </c>
      <c r="R157" s="917">
        <f t="shared" si="32"/>
        <v>0</v>
      </c>
      <c r="S157" s="917">
        <f t="shared" si="32"/>
        <v>0</v>
      </c>
      <c r="T157" s="917">
        <f t="shared" si="32"/>
        <v>0</v>
      </c>
      <c r="U157" s="917">
        <f t="shared" si="32"/>
        <v>0</v>
      </c>
      <c r="V157" s="917">
        <f t="shared" si="32"/>
        <v>0</v>
      </c>
      <c r="W157" s="917">
        <f t="shared" si="32"/>
        <v>0</v>
      </c>
      <c r="X157" s="917">
        <f t="shared" si="32"/>
        <v>0</v>
      </c>
      <c r="Y157" s="917">
        <f t="shared" si="32"/>
        <v>0</v>
      </c>
      <c r="Z157" s="917">
        <f t="shared" si="32"/>
        <v>0</v>
      </c>
      <c r="AA157" s="917">
        <f t="shared" si="32"/>
        <v>0</v>
      </c>
      <c r="AB157" s="917">
        <f t="shared" si="32"/>
        <v>0</v>
      </c>
      <c r="AC157" s="917">
        <f t="shared" si="32"/>
        <v>0</v>
      </c>
      <c r="AD157" s="917">
        <f t="shared" si="32"/>
        <v>0</v>
      </c>
      <c r="AE157" s="917">
        <f t="shared" si="32"/>
        <v>0</v>
      </c>
      <c r="AF157" s="917">
        <f t="shared" si="32"/>
        <v>0</v>
      </c>
      <c r="AG157" s="917">
        <f t="shared" si="32"/>
        <v>0</v>
      </c>
      <c r="AH157" s="917">
        <f t="shared" si="32"/>
        <v>0</v>
      </c>
      <c r="AI157" s="917">
        <f t="shared" si="32"/>
        <v>0</v>
      </c>
      <c r="AJ157" s="917">
        <f>AI157+AJ156</f>
        <v>0</v>
      </c>
    </row>
    <row r="158" spans="6:38" ht="15" hidden="1" customHeight="1" x14ac:dyDescent="0.2">
      <c r="G158" s="839"/>
      <c r="H158" s="839"/>
      <c r="I158" s="839"/>
      <c r="J158" s="839"/>
      <c r="K158" s="839"/>
      <c r="L158" s="839"/>
      <c r="M158" s="839"/>
      <c r="N158" s="839"/>
      <c r="O158" s="839"/>
      <c r="P158" s="839"/>
      <c r="Q158" s="839"/>
      <c r="R158" s="839"/>
      <c r="S158" s="839"/>
      <c r="T158" s="839"/>
      <c r="U158" s="839"/>
      <c r="V158" s="839"/>
      <c r="W158" s="839"/>
      <c r="X158" s="839"/>
      <c r="Y158" s="839"/>
      <c r="Z158" s="839"/>
      <c r="AA158" s="839"/>
      <c r="AB158" s="839"/>
      <c r="AC158" s="839"/>
      <c r="AD158" s="839"/>
      <c r="AE158" s="839"/>
      <c r="AF158" s="839"/>
      <c r="AG158" s="839"/>
      <c r="AH158" s="839"/>
      <c r="AI158" s="839"/>
      <c r="AJ158" s="839"/>
    </row>
    <row r="159" spans="6:38" ht="15" hidden="1" customHeight="1" x14ac:dyDescent="0.2">
      <c r="G159" s="839" t="s">
        <v>17</v>
      </c>
      <c r="H159" s="839"/>
      <c r="I159" s="839"/>
      <c r="J159" s="839"/>
      <c r="K159" s="917">
        <f>K156/(((Data!$P$186/100)+1)^K$70)</f>
        <v>0</v>
      </c>
      <c r="L159" s="917">
        <f>L156/(((Data!$P$186/100)+1)^L$70)</f>
        <v>0</v>
      </c>
      <c r="M159" s="917">
        <f>M156/(((Data!$P$186/100)+1)^M$70)</f>
        <v>0</v>
      </c>
      <c r="N159" s="917">
        <f>N156/(((Data!$P$186/100)+1)^N$70)</f>
        <v>0</v>
      </c>
      <c r="O159" s="917">
        <f>O156/(((Data!$P$186/100)+1)^O$70)</f>
        <v>0</v>
      </c>
      <c r="P159" s="917">
        <f>P156/(((Data!$P$186/100)+1)^P$70)</f>
        <v>0</v>
      </c>
      <c r="Q159" s="917">
        <f>Q156/(((Data!$P$186/100)+1)^Q$70)</f>
        <v>0</v>
      </c>
      <c r="R159" s="917">
        <f>R156/(((Data!$P$186/100)+1)^R$70)</f>
        <v>0</v>
      </c>
      <c r="S159" s="917">
        <f>S156/(((Data!$P$186/100)+1)^S$70)</f>
        <v>0</v>
      </c>
      <c r="T159" s="917">
        <f>T156/(((Data!$P$186/100)+1)^T$70)</f>
        <v>0</v>
      </c>
      <c r="U159" s="917">
        <f>U156/(((Data!$P$186/100)+1)^U$70)</f>
        <v>0</v>
      </c>
      <c r="V159" s="917">
        <f>V156/(((Data!$P$186/100)+1)^V$70)</f>
        <v>0</v>
      </c>
      <c r="W159" s="917">
        <f>W156/(((Data!$P$186/100)+1)^W$70)</f>
        <v>0</v>
      </c>
      <c r="X159" s="917">
        <f>X156/(((Data!$P$186/100)+1)^X$70)</f>
        <v>0</v>
      </c>
      <c r="Y159" s="917">
        <f>Y156/(((Data!$P$186/100)+1)^Y$70)</f>
        <v>0</v>
      </c>
      <c r="Z159" s="917">
        <f>Z156/(((Data!$P$186/100)+1)^Z$70)</f>
        <v>0</v>
      </c>
      <c r="AA159" s="917">
        <f>AA156/(((Data!$P$186/100)+1)^AA$70)</f>
        <v>0</v>
      </c>
      <c r="AB159" s="917">
        <f>AB156/(((Data!$P$186/100)+1)^AB$70)</f>
        <v>0</v>
      </c>
      <c r="AC159" s="917">
        <f>AC156/(((Data!$P$186/100)+1)^AC$70)</f>
        <v>0</v>
      </c>
      <c r="AD159" s="917">
        <f>AD156/(((Data!$P$186/100)+1)^AD$70)</f>
        <v>0</v>
      </c>
      <c r="AE159" s="917">
        <f>AE156/(((Data!$P$186/100)+1)^AE$70)</f>
        <v>0</v>
      </c>
      <c r="AF159" s="917">
        <f>AF156/(((Data!$P$186/100)+1)^AF$70)</f>
        <v>0</v>
      </c>
      <c r="AG159" s="917">
        <f>AG156/(((Data!$P$186/100)+1)^AG$70)</f>
        <v>0</v>
      </c>
      <c r="AH159" s="917">
        <f>AH156/(((Data!$P$186/100)+1)^AH$70)</f>
        <v>0</v>
      </c>
      <c r="AI159" s="917">
        <f>AI156/(((Data!$P$186/100)+1)^AI$70)</f>
        <v>0</v>
      </c>
      <c r="AJ159" s="917">
        <f>AJ156/(((Data!$P$186/100)+1)^AJ$70)</f>
        <v>0</v>
      </c>
    </row>
    <row r="160" spans="6:38" ht="15" hidden="1" customHeight="1" x14ac:dyDescent="0.2">
      <c r="G160" s="859" t="s">
        <v>185</v>
      </c>
      <c r="H160" s="859"/>
      <c r="I160" s="839"/>
      <c r="J160" s="839"/>
      <c r="K160" s="923">
        <f>K159</f>
        <v>0</v>
      </c>
      <c r="L160" s="923">
        <f t="shared" ref="L160:AJ160" si="33">K160+L159</f>
        <v>0</v>
      </c>
      <c r="M160" s="923">
        <f t="shared" si="33"/>
        <v>0</v>
      </c>
      <c r="N160" s="923">
        <f t="shared" si="33"/>
        <v>0</v>
      </c>
      <c r="O160" s="923">
        <f t="shared" si="33"/>
        <v>0</v>
      </c>
      <c r="P160" s="923">
        <f t="shared" si="33"/>
        <v>0</v>
      </c>
      <c r="Q160" s="923">
        <f t="shared" si="33"/>
        <v>0</v>
      </c>
      <c r="R160" s="923">
        <f t="shared" si="33"/>
        <v>0</v>
      </c>
      <c r="S160" s="923">
        <f t="shared" si="33"/>
        <v>0</v>
      </c>
      <c r="T160" s="923">
        <f t="shared" si="33"/>
        <v>0</v>
      </c>
      <c r="U160" s="923">
        <f t="shared" si="33"/>
        <v>0</v>
      </c>
      <c r="V160" s="923">
        <f t="shared" si="33"/>
        <v>0</v>
      </c>
      <c r="W160" s="923">
        <f t="shared" si="33"/>
        <v>0</v>
      </c>
      <c r="X160" s="923">
        <f t="shared" si="33"/>
        <v>0</v>
      </c>
      <c r="Y160" s="923">
        <f t="shared" si="33"/>
        <v>0</v>
      </c>
      <c r="Z160" s="923">
        <f t="shared" si="33"/>
        <v>0</v>
      </c>
      <c r="AA160" s="923">
        <f t="shared" si="33"/>
        <v>0</v>
      </c>
      <c r="AB160" s="923">
        <f t="shared" si="33"/>
        <v>0</v>
      </c>
      <c r="AC160" s="923">
        <f t="shared" si="33"/>
        <v>0</v>
      </c>
      <c r="AD160" s="923">
        <f t="shared" si="33"/>
        <v>0</v>
      </c>
      <c r="AE160" s="923">
        <f t="shared" si="33"/>
        <v>0</v>
      </c>
      <c r="AF160" s="923">
        <f t="shared" si="33"/>
        <v>0</v>
      </c>
      <c r="AG160" s="923">
        <f t="shared" si="33"/>
        <v>0</v>
      </c>
      <c r="AH160" s="923">
        <f t="shared" si="33"/>
        <v>0</v>
      </c>
      <c r="AI160" s="923">
        <f t="shared" si="33"/>
        <v>0</v>
      </c>
      <c r="AJ160" s="923">
        <f t="shared" si="33"/>
        <v>0</v>
      </c>
    </row>
    <row r="161" spans="7:36" ht="15" hidden="1" customHeight="1" x14ac:dyDescent="0.2">
      <c r="Q161" s="5"/>
      <c r="R161" s="1"/>
    </row>
    <row r="162" spans="7:36" ht="15" hidden="1" customHeight="1" x14ac:dyDescent="0.2"/>
    <row r="163" spans="7:36" ht="15" hidden="1" customHeight="1" x14ac:dyDescent="0.2">
      <c r="G163" s="906" t="s">
        <v>306</v>
      </c>
      <c r="H163" s="839"/>
      <c r="I163" s="839"/>
      <c r="J163" s="839"/>
      <c r="K163" s="839"/>
      <c r="L163" s="839"/>
      <c r="M163" s="839"/>
      <c r="N163" s="839"/>
      <c r="O163" s="839"/>
      <c r="P163" s="839"/>
      <c r="Q163" s="839"/>
      <c r="R163" s="839"/>
      <c r="S163" s="839"/>
      <c r="T163" s="839"/>
      <c r="U163" s="839"/>
      <c r="V163" s="839"/>
      <c r="W163" s="839"/>
      <c r="X163" s="839"/>
      <c r="Y163" s="839"/>
      <c r="Z163" s="839"/>
      <c r="AA163" s="839"/>
      <c r="AB163" s="839"/>
      <c r="AC163" s="839"/>
      <c r="AD163" s="839"/>
      <c r="AE163" s="839"/>
      <c r="AF163" s="839"/>
      <c r="AG163" s="839"/>
      <c r="AH163" s="839"/>
      <c r="AI163" s="839"/>
      <c r="AJ163" s="839"/>
    </row>
    <row r="164" spans="7:36" ht="15" hidden="1" customHeight="1" x14ac:dyDescent="0.2">
      <c r="G164" s="839"/>
      <c r="H164" s="839"/>
      <c r="I164" s="839"/>
      <c r="J164" s="839"/>
      <c r="K164" s="917"/>
      <c r="L164" s="917"/>
      <c r="M164" s="917"/>
      <c r="N164" s="917"/>
      <c r="O164" s="917"/>
      <c r="P164" s="917"/>
      <c r="Q164" s="917"/>
      <c r="R164" s="917"/>
      <c r="S164" s="917"/>
      <c r="T164" s="917"/>
      <c r="U164" s="917"/>
      <c r="V164" s="917"/>
      <c r="W164" s="917"/>
      <c r="X164" s="917"/>
      <c r="Y164" s="917"/>
      <c r="Z164" s="917"/>
      <c r="AA164" s="917"/>
      <c r="AB164" s="917"/>
      <c r="AC164" s="917"/>
      <c r="AD164" s="917"/>
      <c r="AE164" s="917"/>
      <c r="AF164" s="917"/>
      <c r="AG164" s="917"/>
      <c r="AH164" s="917"/>
      <c r="AI164" s="917"/>
      <c r="AJ164" s="917"/>
    </row>
    <row r="165" spans="7:36" ht="15" hidden="1" customHeight="1" x14ac:dyDescent="0.2">
      <c r="G165" s="839" t="s">
        <v>2</v>
      </c>
      <c r="H165" s="864"/>
      <c r="I165" s="864"/>
      <c r="J165" s="864"/>
      <c r="K165" s="925">
        <f>VLOOKUP($I$14,$G$75:$AJ$79,K$70+5,FALSE)</f>
        <v>0.17072999999999999</v>
      </c>
      <c r="L165" s="925">
        <f t="shared" ref="L165:AJ165" si="34">VLOOKUP($I$14,$G$75:$AJ$79,L$70+5,FALSE)</f>
        <v>0.17072999999999999</v>
      </c>
      <c r="M165" s="925">
        <f t="shared" si="34"/>
        <v>0.17072999999999999</v>
      </c>
      <c r="N165" s="925">
        <f t="shared" si="34"/>
        <v>0.17072999999999999</v>
      </c>
      <c r="O165" s="925">
        <f t="shared" si="34"/>
        <v>0.17072999999999999</v>
      </c>
      <c r="P165" s="925">
        <f t="shared" si="34"/>
        <v>0.17072999999999999</v>
      </c>
      <c r="Q165" s="925">
        <f t="shared" si="34"/>
        <v>0.17072999999999999</v>
      </c>
      <c r="R165" s="925">
        <f t="shared" si="34"/>
        <v>0.17072999999999999</v>
      </c>
      <c r="S165" s="925">
        <f t="shared" si="34"/>
        <v>0.17072999999999999</v>
      </c>
      <c r="T165" s="925">
        <f t="shared" si="34"/>
        <v>0.17072999999999999</v>
      </c>
      <c r="U165" s="925">
        <f t="shared" si="34"/>
        <v>0.17072999999999999</v>
      </c>
      <c r="V165" s="925">
        <f t="shared" si="34"/>
        <v>0.17072999999999999</v>
      </c>
      <c r="W165" s="925">
        <f t="shared" si="34"/>
        <v>0.17072999999999999</v>
      </c>
      <c r="X165" s="925">
        <f t="shared" si="34"/>
        <v>0.17072999999999999</v>
      </c>
      <c r="Y165" s="925">
        <f t="shared" si="34"/>
        <v>0.17072999999999999</v>
      </c>
      <c r="Z165" s="925">
        <f t="shared" si="34"/>
        <v>0.17072999999999999</v>
      </c>
      <c r="AA165" s="925">
        <f t="shared" si="34"/>
        <v>0.17072999999999999</v>
      </c>
      <c r="AB165" s="925">
        <f t="shared" si="34"/>
        <v>0.17072999999999999</v>
      </c>
      <c r="AC165" s="925">
        <f t="shared" si="34"/>
        <v>0.17072999999999999</v>
      </c>
      <c r="AD165" s="925">
        <f t="shared" si="34"/>
        <v>0.17072999999999999</v>
      </c>
      <c r="AE165" s="925">
        <f t="shared" si="34"/>
        <v>0.17072999999999999</v>
      </c>
      <c r="AF165" s="925">
        <f t="shared" si="34"/>
        <v>0.17072999999999999</v>
      </c>
      <c r="AG165" s="925">
        <f t="shared" si="34"/>
        <v>0.17072999999999999</v>
      </c>
      <c r="AH165" s="925">
        <f t="shared" si="34"/>
        <v>0.17072999999999999</v>
      </c>
      <c r="AI165" s="925">
        <f t="shared" si="34"/>
        <v>0.17072999999999999</v>
      </c>
      <c r="AJ165" s="925">
        <f t="shared" si="34"/>
        <v>0.17072999999999999</v>
      </c>
    </row>
    <row r="166" spans="7:36" ht="15" hidden="1" customHeight="1" x14ac:dyDescent="0.2">
      <c r="G166" s="839" t="s">
        <v>1</v>
      </c>
      <c r="H166" s="864"/>
      <c r="I166" s="864"/>
      <c r="J166" s="864"/>
      <c r="K166" s="925">
        <f>VLOOKUP($I$14,$G$81:$AJ$85,K$70+5,FALSE)</f>
        <v>0.09</v>
      </c>
      <c r="L166" s="925">
        <f t="shared" ref="L166:AJ166" si="35">VLOOKUP($I$14,$G$81:$AJ$85,L$70+5,FALSE)</f>
        <v>9.5399999999999999E-2</v>
      </c>
      <c r="M166" s="925">
        <f t="shared" si="35"/>
        <v>0.10112400000000001</v>
      </c>
      <c r="N166" s="925">
        <f t="shared" si="35"/>
        <v>0.10719144000000001</v>
      </c>
      <c r="O166" s="925">
        <f t="shared" si="35"/>
        <v>0.11362292640000002</v>
      </c>
      <c r="P166" s="925">
        <f t="shared" si="35"/>
        <v>0.12044030198400002</v>
      </c>
      <c r="Q166" s="925">
        <f t="shared" si="35"/>
        <v>0.12766672010304003</v>
      </c>
      <c r="R166" s="925">
        <f t="shared" si="35"/>
        <v>0.13532672330922244</v>
      </c>
      <c r="S166" s="925">
        <f t="shared" si="35"/>
        <v>0.1434463267077758</v>
      </c>
      <c r="T166" s="925">
        <f t="shared" si="35"/>
        <v>0.15205310631024235</v>
      </c>
      <c r="U166" s="925">
        <f t="shared" si="35"/>
        <v>0.16117629268885691</v>
      </c>
      <c r="V166" s="925">
        <f t="shared" si="35"/>
        <v>0.17084687025018833</v>
      </c>
      <c r="W166" s="925">
        <f t="shared" si="35"/>
        <v>0.18109768246519964</v>
      </c>
      <c r="X166" s="925">
        <f t="shared" si="35"/>
        <v>0.19196354341311161</v>
      </c>
      <c r="Y166" s="925">
        <f t="shared" si="35"/>
        <v>0.20348135601789832</v>
      </c>
      <c r="Z166" s="925">
        <f t="shared" si="35"/>
        <v>0.21569023737897222</v>
      </c>
      <c r="AA166" s="925">
        <f t="shared" si="35"/>
        <v>0.22863165162171056</v>
      </c>
      <c r="AB166" s="925">
        <f t="shared" si="35"/>
        <v>0.24234955071901321</v>
      </c>
      <c r="AC166" s="925">
        <f t="shared" si="35"/>
        <v>0.25689052376215399</v>
      </c>
      <c r="AD166" s="925">
        <f t="shared" si="35"/>
        <v>0.27230395518788325</v>
      </c>
      <c r="AE166" s="925">
        <f t="shared" si="35"/>
        <v>0.28864219249915624</v>
      </c>
      <c r="AF166" s="925">
        <f t="shared" si="35"/>
        <v>0.30596072404910563</v>
      </c>
      <c r="AG166" s="925">
        <f t="shared" si="35"/>
        <v>0.32431836749205201</v>
      </c>
      <c r="AH166" s="925">
        <f t="shared" si="35"/>
        <v>0.34377746954157512</v>
      </c>
      <c r="AI166" s="925">
        <f t="shared" si="35"/>
        <v>0.36440411771406966</v>
      </c>
      <c r="AJ166" s="925">
        <f t="shared" si="35"/>
        <v>0.38626836477691384</v>
      </c>
    </row>
    <row r="167" spans="7:36" ht="15" hidden="1" customHeight="1" x14ac:dyDescent="0.2">
      <c r="G167" s="864"/>
      <c r="H167" s="864"/>
      <c r="I167" s="864"/>
      <c r="J167" s="864"/>
      <c r="K167" s="864"/>
      <c r="L167" s="864"/>
      <c r="M167" s="864"/>
      <c r="N167" s="864"/>
      <c r="O167" s="864"/>
      <c r="P167" s="864"/>
      <c r="Q167" s="864"/>
      <c r="R167" s="864"/>
      <c r="S167" s="864"/>
      <c r="T167" s="864"/>
      <c r="U167" s="864"/>
      <c r="V167" s="864"/>
      <c r="W167" s="864"/>
      <c r="X167" s="864"/>
      <c r="Y167" s="864"/>
      <c r="Z167" s="864"/>
      <c r="AA167" s="864"/>
      <c r="AB167" s="864"/>
      <c r="AC167" s="864"/>
      <c r="AD167" s="864"/>
      <c r="AE167" s="864"/>
      <c r="AF167" s="864"/>
      <c r="AG167" s="864"/>
      <c r="AH167" s="864"/>
      <c r="AI167" s="864"/>
      <c r="AJ167" s="864"/>
    </row>
    <row r="168" spans="7:36" ht="15" hidden="1" customHeight="1" x14ac:dyDescent="0.2">
      <c r="G168" s="839" t="s">
        <v>4</v>
      </c>
      <c r="H168" s="839"/>
      <c r="I168" s="839"/>
      <c r="J168" s="839"/>
      <c r="K168" s="920"/>
      <c r="L168" s="920"/>
      <c r="M168" s="920"/>
      <c r="N168" s="920"/>
      <c r="O168" s="920"/>
      <c r="P168" s="920"/>
      <c r="Q168" s="920"/>
      <c r="R168" s="920"/>
      <c r="S168" s="920"/>
      <c r="T168" s="920"/>
      <c r="U168" s="920"/>
      <c r="V168" s="920"/>
      <c r="W168" s="920"/>
      <c r="X168" s="920"/>
      <c r="Y168" s="920"/>
      <c r="Z168" s="920"/>
      <c r="AA168" s="920"/>
      <c r="AB168" s="920"/>
      <c r="AC168" s="920"/>
      <c r="AD168" s="920"/>
      <c r="AE168" s="920"/>
      <c r="AF168" s="920"/>
      <c r="AG168" s="920"/>
      <c r="AH168" s="920"/>
      <c r="AI168" s="920"/>
      <c r="AJ168" s="920"/>
    </row>
    <row r="169" spans="7:36" ht="15" hidden="1" customHeight="1" x14ac:dyDescent="0.2">
      <c r="G169" s="839" t="s">
        <v>5</v>
      </c>
      <c r="H169" s="839"/>
      <c r="I169" s="839"/>
      <c r="J169" s="839"/>
      <c r="K169" s="920"/>
      <c r="L169" s="920"/>
      <c r="M169" s="920"/>
      <c r="N169" s="920"/>
      <c r="O169" s="920"/>
      <c r="P169" s="920"/>
      <c r="Q169" s="920"/>
      <c r="R169" s="920"/>
      <c r="S169" s="920"/>
      <c r="T169" s="920"/>
      <c r="U169" s="920"/>
      <c r="V169" s="920"/>
      <c r="W169" s="920"/>
      <c r="X169" s="920"/>
      <c r="Y169" s="920"/>
      <c r="Z169" s="920"/>
      <c r="AA169" s="920"/>
      <c r="AB169" s="920"/>
      <c r="AC169" s="920"/>
      <c r="AD169" s="920"/>
      <c r="AE169" s="920"/>
      <c r="AF169" s="920"/>
      <c r="AG169" s="920"/>
      <c r="AH169" s="920"/>
      <c r="AI169" s="920"/>
      <c r="AJ169" s="920"/>
    </row>
    <row r="170" spans="7:36" ht="15" hidden="1" customHeight="1" x14ac:dyDescent="0.2">
      <c r="G170" s="839" t="s">
        <v>6</v>
      </c>
      <c r="H170" s="839"/>
      <c r="I170" s="839"/>
      <c r="J170" s="839"/>
      <c r="K170" s="918">
        <f>$J$11</f>
        <v>0</v>
      </c>
      <c r="L170" s="918">
        <f t="shared" ref="L170:AI170" si="36">$J$11</f>
        <v>0</v>
      </c>
      <c r="M170" s="918">
        <f t="shared" si="36"/>
        <v>0</v>
      </c>
      <c r="N170" s="918">
        <f t="shared" si="36"/>
        <v>0</v>
      </c>
      <c r="O170" s="918">
        <f t="shared" si="36"/>
        <v>0</v>
      </c>
      <c r="P170" s="918">
        <f t="shared" si="36"/>
        <v>0</v>
      </c>
      <c r="Q170" s="918">
        <f t="shared" si="36"/>
        <v>0</v>
      </c>
      <c r="R170" s="918">
        <f t="shared" si="36"/>
        <v>0</v>
      </c>
      <c r="S170" s="918">
        <f t="shared" si="36"/>
        <v>0</v>
      </c>
      <c r="T170" s="918">
        <f t="shared" si="36"/>
        <v>0</v>
      </c>
      <c r="U170" s="918">
        <f t="shared" si="36"/>
        <v>0</v>
      </c>
      <c r="V170" s="918">
        <f t="shared" si="36"/>
        <v>0</v>
      </c>
      <c r="W170" s="918">
        <f t="shared" si="36"/>
        <v>0</v>
      </c>
      <c r="X170" s="918">
        <f t="shared" si="36"/>
        <v>0</v>
      </c>
      <c r="Y170" s="918">
        <f t="shared" si="36"/>
        <v>0</v>
      </c>
      <c r="Z170" s="918">
        <f t="shared" si="36"/>
        <v>0</v>
      </c>
      <c r="AA170" s="918">
        <f t="shared" si="36"/>
        <v>0</v>
      </c>
      <c r="AB170" s="918">
        <f t="shared" si="36"/>
        <v>0</v>
      </c>
      <c r="AC170" s="918">
        <f t="shared" si="36"/>
        <v>0</v>
      </c>
      <c r="AD170" s="918">
        <f t="shared" si="36"/>
        <v>0</v>
      </c>
      <c r="AE170" s="918">
        <f t="shared" si="36"/>
        <v>0</v>
      </c>
      <c r="AF170" s="918">
        <f t="shared" si="36"/>
        <v>0</v>
      </c>
      <c r="AG170" s="918">
        <f t="shared" si="36"/>
        <v>0</v>
      </c>
      <c r="AH170" s="918">
        <f t="shared" si="36"/>
        <v>0</v>
      </c>
      <c r="AI170" s="918">
        <f t="shared" si="36"/>
        <v>0</v>
      </c>
      <c r="AJ170" s="918">
        <f>$J$11</f>
        <v>0</v>
      </c>
    </row>
    <row r="171" spans="7:36" ht="15" hidden="1" customHeight="1" x14ac:dyDescent="0.2">
      <c r="G171" s="839"/>
      <c r="H171" s="839"/>
      <c r="I171" s="839"/>
      <c r="J171" s="839"/>
      <c r="K171" s="917"/>
      <c r="L171" s="917"/>
      <c r="M171" s="917"/>
      <c r="N171" s="917"/>
      <c r="O171" s="917"/>
      <c r="P171" s="917"/>
      <c r="Q171" s="917"/>
      <c r="R171" s="917"/>
      <c r="S171" s="917"/>
      <c r="T171" s="917"/>
      <c r="U171" s="917"/>
      <c r="V171" s="917"/>
      <c r="W171" s="917"/>
      <c r="X171" s="917"/>
      <c r="Y171" s="917"/>
      <c r="Z171" s="917"/>
      <c r="AA171" s="917"/>
      <c r="AB171" s="917"/>
      <c r="AC171" s="917"/>
      <c r="AD171" s="917"/>
      <c r="AE171" s="917"/>
      <c r="AF171" s="917"/>
      <c r="AG171" s="917"/>
      <c r="AH171" s="917"/>
      <c r="AI171" s="917"/>
      <c r="AJ171" s="917"/>
    </row>
    <row r="172" spans="7:36" ht="15" hidden="1" customHeight="1" x14ac:dyDescent="0.2">
      <c r="G172" s="839" t="s">
        <v>7</v>
      </c>
      <c r="H172" s="839"/>
      <c r="I172" s="839"/>
      <c r="J172" s="839"/>
      <c r="K172" s="920"/>
      <c r="L172" s="920"/>
      <c r="M172" s="920"/>
      <c r="N172" s="920"/>
      <c r="O172" s="920"/>
      <c r="P172" s="920"/>
      <c r="Q172" s="920"/>
      <c r="R172" s="920"/>
      <c r="S172" s="920"/>
      <c r="T172" s="920"/>
      <c r="U172" s="920"/>
      <c r="V172" s="920"/>
      <c r="W172" s="920"/>
      <c r="X172" s="920"/>
      <c r="Y172" s="920"/>
      <c r="Z172" s="920"/>
      <c r="AA172" s="920"/>
      <c r="AB172" s="920"/>
      <c r="AC172" s="920"/>
      <c r="AD172" s="920"/>
      <c r="AE172" s="920"/>
      <c r="AF172" s="920"/>
      <c r="AG172" s="920"/>
      <c r="AH172" s="920"/>
      <c r="AI172" s="920"/>
      <c r="AJ172" s="920"/>
    </row>
    <row r="173" spans="7:36" ht="15" hidden="1" customHeight="1" x14ac:dyDescent="0.2">
      <c r="G173" s="839" t="s">
        <v>8</v>
      </c>
      <c r="H173" s="839"/>
      <c r="I173" s="839"/>
      <c r="J173" s="839"/>
      <c r="K173" s="920"/>
      <c r="L173" s="920"/>
      <c r="M173" s="920"/>
      <c r="N173" s="920"/>
      <c r="O173" s="920"/>
      <c r="P173" s="920"/>
      <c r="Q173" s="920"/>
      <c r="R173" s="920"/>
      <c r="S173" s="920"/>
      <c r="T173" s="920"/>
      <c r="U173" s="920"/>
      <c r="V173" s="920"/>
      <c r="W173" s="920"/>
      <c r="X173" s="920"/>
      <c r="Y173" s="920"/>
      <c r="Z173" s="920"/>
      <c r="AA173" s="920"/>
      <c r="AB173" s="920"/>
      <c r="AC173" s="920"/>
      <c r="AD173" s="920"/>
      <c r="AE173" s="920"/>
      <c r="AF173" s="920"/>
      <c r="AG173" s="920"/>
      <c r="AH173" s="920"/>
      <c r="AI173" s="920"/>
      <c r="AJ173" s="920"/>
    </row>
    <row r="174" spans="7:36" ht="15" hidden="1" customHeight="1" x14ac:dyDescent="0.2">
      <c r="G174" s="839" t="s">
        <v>9</v>
      </c>
      <c r="H174" s="839"/>
      <c r="I174" s="839"/>
      <c r="J174" s="839"/>
      <c r="K174" s="917">
        <f>K165*K170</f>
        <v>0</v>
      </c>
      <c r="L174" s="917">
        <f t="shared" ref="L174:AI174" si="37">L165*L170</f>
        <v>0</v>
      </c>
      <c r="M174" s="917">
        <f t="shared" si="37"/>
        <v>0</v>
      </c>
      <c r="N174" s="917">
        <f t="shared" si="37"/>
        <v>0</v>
      </c>
      <c r="O174" s="917">
        <f t="shared" si="37"/>
        <v>0</v>
      </c>
      <c r="P174" s="917">
        <f t="shared" si="37"/>
        <v>0</v>
      </c>
      <c r="Q174" s="917">
        <f t="shared" si="37"/>
        <v>0</v>
      </c>
      <c r="R174" s="917">
        <f t="shared" si="37"/>
        <v>0</v>
      </c>
      <c r="S174" s="917">
        <f t="shared" si="37"/>
        <v>0</v>
      </c>
      <c r="T174" s="917">
        <f t="shared" si="37"/>
        <v>0</v>
      </c>
      <c r="U174" s="917">
        <f t="shared" si="37"/>
        <v>0</v>
      </c>
      <c r="V174" s="917">
        <f t="shared" si="37"/>
        <v>0</v>
      </c>
      <c r="W174" s="917">
        <f t="shared" si="37"/>
        <v>0</v>
      </c>
      <c r="X174" s="917">
        <f t="shared" si="37"/>
        <v>0</v>
      </c>
      <c r="Y174" s="917">
        <f t="shared" si="37"/>
        <v>0</v>
      </c>
      <c r="Z174" s="917">
        <f t="shared" si="37"/>
        <v>0</v>
      </c>
      <c r="AA174" s="917">
        <f t="shared" si="37"/>
        <v>0</v>
      </c>
      <c r="AB174" s="917">
        <f t="shared" si="37"/>
        <v>0</v>
      </c>
      <c r="AC174" s="917">
        <f t="shared" si="37"/>
        <v>0</v>
      </c>
      <c r="AD174" s="917">
        <f t="shared" si="37"/>
        <v>0</v>
      </c>
      <c r="AE174" s="917">
        <f t="shared" si="37"/>
        <v>0</v>
      </c>
      <c r="AF174" s="917">
        <f t="shared" si="37"/>
        <v>0</v>
      </c>
      <c r="AG174" s="917">
        <f t="shared" si="37"/>
        <v>0</v>
      </c>
      <c r="AH174" s="917">
        <f t="shared" si="37"/>
        <v>0</v>
      </c>
      <c r="AI174" s="917">
        <f t="shared" si="37"/>
        <v>0</v>
      </c>
      <c r="AJ174" s="917">
        <f>AJ165*AJ170</f>
        <v>0</v>
      </c>
    </row>
    <row r="175" spans="7:36" ht="15" hidden="1" customHeight="1" x14ac:dyDescent="0.2">
      <c r="G175" s="839"/>
      <c r="H175" s="839"/>
      <c r="I175" s="839"/>
      <c r="J175" s="839"/>
      <c r="K175" s="917"/>
      <c r="L175" s="917"/>
      <c r="M175" s="917"/>
      <c r="N175" s="917"/>
      <c r="O175" s="917"/>
      <c r="P175" s="917"/>
      <c r="Q175" s="917"/>
      <c r="R175" s="917"/>
      <c r="S175" s="917"/>
      <c r="T175" s="917"/>
      <c r="U175" s="917"/>
      <c r="V175" s="917"/>
      <c r="W175" s="917"/>
      <c r="X175" s="917"/>
      <c r="Y175" s="917"/>
      <c r="Z175" s="917"/>
      <c r="AA175" s="917"/>
      <c r="AB175" s="917"/>
      <c r="AC175" s="917"/>
      <c r="AD175" s="917"/>
      <c r="AE175" s="917"/>
      <c r="AF175" s="917"/>
      <c r="AG175" s="917"/>
      <c r="AH175" s="917"/>
      <c r="AI175" s="917"/>
      <c r="AJ175" s="917"/>
    </row>
    <row r="176" spans="7:36" ht="15" hidden="1" customHeight="1" x14ac:dyDescent="0.2">
      <c r="G176" s="839" t="s">
        <v>10</v>
      </c>
      <c r="H176" s="839"/>
      <c r="I176" s="839"/>
      <c r="J176" s="839"/>
      <c r="K176" s="920"/>
      <c r="L176" s="920"/>
      <c r="M176" s="920"/>
      <c r="N176" s="920"/>
      <c r="O176" s="920"/>
      <c r="P176" s="920"/>
      <c r="Q176" s="920"/>
      <c r="R176" s="920"/>
      <c r="S176" s="920"/>
      <c r="T176" s="920"/>
      <c r="U176" s="920"/>
      <c r="V176" s="920"/>
      <c r="W176" s="920"/>
      <c r="X176" s="920"/>
      <c r="Y176" s="920"/>
      <c r="Z176" s="920"/>
      <c r="AA176" s="920"/>
      <c r="AB176" s="920"/>
      <c r="AC176" s="920"/>
      <c r="AD176" s="920"/>
      <c r="AE176" s="920"/>
      <c r="AF176" s="920"/>
      <c r="AG176" s="920"/>
      <c r="AH176" s="920"/>
      <c r="AI176" s="920"/>
      <c r="AJ176" s="920"/>
    </row>
    <row r="177" spans="7:36" ht="15" hidden="1" customHeight="1" x14ac:dyDescent="0.2">
      <c r="G177" s="839" t="s">
        <v>11</v>
      </c>
      <c r="H177" s="839"/>
      <c r="I177" s="839"/>
      <c r="J177" s="839"/>
      <c r="K177" s="920"/>
      <c r="L177" s="920"/>
      <c r="M177" s="920"/>
      <c r="N177" s="920"/>
      <c r="O177" s="920"/>
      <c r="P177" s="920"/>
      <c r="Q177" s="920"/>
      <c r="R177" s="920"/>
      <c r="S177" s="920"/>
      <c r="T177" s="920"/>
      <c r="U177" s="920"/>
      <c r="V177" s="920"/>
      <c r="W177" s="920"/>
      <c r="X177" s="920"/>
      <c r="Y177" s="920"/>
      <c r="Z177" s="920"/>
      <c r="AA177" s="920"/>
      <c r="AB177" s="920"/>
      <c r="AC177" s="920"/>
      <c r="AD177" s="920"/>
      <c r="AE177" s="920"/>
      <c r="AF177" s="920"/>
      <c r="AG177" s="920"/>
      <c r="AH177" s="920"/>
      <c r="AI177" s="920"/>
      <c r="AJ177" s="920"/>
    </row>
    <row r="178" spans="7:36" ht="15" hidden="1" customHeight="1" x14ac:dyDescent="0.2">
      <c r="G178" s="839" t="s">
        <v>12</v>
      </c>
      <c r="H178" s="839"/>
      <c r="I178" s="839"/>
      <c r="J178" s="839"/>
      <c r="K178" s="917">
        <f>K$166*K170</f>
        <v>0</v>
      </c>
      <c r="L178" s="917">
        <f t="shared" ref="L178:AI178" si="38">L$166*L170</f>
        <v>0</v>
      </c>
      <c r="M178" s="917">
        <f t="shared" si="38"/>
        <v>0</v>
      </c>
      <c r="N178" s="917">
        <f t="shared" si="38"/>
        <v>0</v>
      </c>
      <c r="O178" s="917">
        <f t="shared" si="38"/>
        <v>0</v>
      </c>
      <c r="P178" s="917">
        <f t="shared" si="38"/>
        <v>0</v>
      </c>
      <c r="Q178" s="917">
        <f t="shared" si="38"/>
        <v>0</v>
      </c>
      <c r="R178" s="917">
        <f t="shared" si="38"/>
        <v>0</v>
      </c>
      <c r="S178" s="917">
        <f t="shared" si="38"/>
        <v>0</v>
      </c>
      <c r="T178" s="917">
        <f t="shared" si="38"/>
        <v>0</v>
      </c>
      <c r="U178" s="917">
        <f t="shared" si="38"/>
        <v>0</v>
      </c>
      <c r="V178" s="917">
        <f t="shared" si="38"/>
        <v>0</v>
      </c>
      <c r="W178" s="917">
        <f t="shared" si="38"/>
        <v>0</v>
      </c>
      <c r="X178" s="917">
        <f t="shared" si="38"/>
        <v>0</v>
      </c>
      <c r="Y178" s="917">
        <f t="shared" si="38"/>
        <v>0</v>
      </c>
      <c r="Z178" s="917">
        <f t="shared" si="38"/>
        <v>0</v>
      </c>
      <c r="AA178" s="917">
        <f t="shared" si="38"/>
        <v>0</v>
      </c>
      <c r="AB178" s="917">
        <f t="shared" si="38"/>
        <v>0</v>
      </c>
      <c r="AC178" s="917">
        <f t="shared" si="38"/>
        <v>0</v>
      </c>
      <c r="AD178" s="917">
        <f t="shared" si="38"/>
        <v>0</v>
      </c>
      <c r="AE178" s="917">
        <f t="shared" si="38"/>
        <v>0</v>
      </c>
      <c r="AF178" s="917">
        <f t="shared" si="38"/>
        <v>0</v>
      </c>
      <c r="AG178" s="917">
        <f t="shared" si="38"/>
        <v>0</v>
      </c>
      <c r="AH178" s="917">
        <f t="shared" si="38"/>
        <v>0</v>
      </c>
      <c r="AI178" s="917">
        <f t="shared" si="38"/>
        <v>0</v>
      </c>
      <c r="AJ178" s="917">
        <f>AJ$166*AJ170</f>
        <v>0</v>
      </c>
    </row>
    <row r="179" spans="7:36" ht="15" hidden="1" customHeight="1" x14ac:dyDescent="0.2">
      <c r="G179" s="839" t="s">
        <v>13</v>
      </c>
      <c r="H179" s="839"/>
      <c r="I179" s="839"/>
      <c r="J179" s="839"/>
      <c r="K179" s="917">
        <f t="shared" ref="K179:AJ179" si="39">K$88*K174</f>
        <v>0</v>
      </c>
      <c r="L179" s="917">
        <f t="shared" si="39"/>
        <v>0</v>
      </c>
      <c r="M179" s="917">
        <f t="shared" si="39"/>
        <v>0</v>
      </c>
      <c r="N179" s="917">
        <f t="shared" si="39"/>
        <v>0</v>
      </c>
      <c r="O179" s="917">
        <f t="shared" si="39"/>
        <v>0</v>
      </c>
      <c r="P179" s="917">
        <f t="shared" si="39"/>
        <v>0</v>
      </c>
      <c r="Q179" s="917">
        <f t="shared" si="39"/>
        <v>0</v>
      </c>
      <c r="R179" s="917">
        <f t="shared" si="39"/>
        <v>0</v>
      </c>
      <c r="S179" s="917">
        <f t="shared" si="39"/>
        <v>0</v>
      </c>
      <c r="T179" s="917">
        <f t="shared" si="39"/>
        <v>0</v>
      </c>
      <c r="U179" s="917">
        <f t="shared" si="39"/>
        <v>0</v>
      </c>
      <c r="V179" s="917">
        <f t="shared" si="39"/>
        <v>0</v>
      </c>
      <c r="W179" s="917">
        <f t="shared" si="39"/>
        <v>0</v>
      </c>
      <c r="X179" s="917">
        <f t="shared" si="39"/>
        <v>0</v>
      </c>
      <c r="Y179" s="917">
        <f t="shared" si="39"/>
        <v>0</v>
      </c>
      <c r="Z179" s="917">
        <f t="shared" si="39"/>
        <v>0</v>
      </c>
      <c r="AA179" s="917">
        <f t="shared" si="39"/>
        <v>0</v>
      </c>
      <c r="AB179" s="917">
        <f t="shared" si="39"/>
        <v>0</v>
      </c>
      <c r="AC179" s="917">
        <f t="shared" si="39"/>
        <v>0</v>
      </c>
      <c r="AD179" s="917">
        <f t="shared" si="39"/>
        <v>0</v>
      </c>
      <c r="AE179" s="917">
        <f t="shared" si="39"/>
        <v>0</v>
      </c>
      <c r="AF179" s="917">
        <f t="shared" si="39"/>
        <v>0</v>
      </c>
      <c r="AG179" s="917">
        <f t="shared" si="39"/>
        <v>0</v>
      </c>
      <c r="AH179" s="917">
        <f t="shared" si="39"/>
        <v>0</v>
      </c>
      <c r="AI179" s="917">
        <f t="shared" si="39"/>
        <v>0</v>
      </c>
      <c r="AJ179" s="917">
        <f t="shared" si="39"/>
        <v>0</v>
      </c>
    </row>
    <row r="180" spans="7:36" ht="15" hidden="1" customHeight="1" x14ac:dyDescent="0.2">
      <c r="G180" s="839"/>
      <c r="H180" s="839"/>
      <c r="I180" s="839"/>
      <c r="J180" s="839"/>
      <c r="K180" s="917"/>
      <c r="L180" s="917"/>
      <c r="M180" s="917"/>
      <c r="N180" s="917"/>
      <c r="O180" s="917"/>
      <c r="P180" s="917"/>
      <c r="Q180" s="917"/>
      <c r="R180" s="917"/>
      <c r="S180" s="917"/>
      <c r="T180" s="917"/>
      <c r="U180" s="917"/>
      <c r="V180" s="917"/>
      <c r="W180" s="917"/>
      <c r="X180" s="917"/>
      <c r="Y180" s="917"/>
      <c r="Z180" s="917"/>
      <c r="AA180" s="917"/>
      <c r="AB180" s="917"/>
      <c r="AC180" s="917"/>
      <c r="AD180" s="917"/>
      <c r="AE180" s="917"/>
      <c r="AF180" s="917"/>
      <c r="AG180" s="917"/>
      <c r="AH180" s="917"/>
      <c r="AI180" s="917"/>
      <c r="AJ180" s="917"/>
    </row>
    <row r="181" spans="7:36" ht="15" hidden="1" customHeight="1" x14ac:dyDescent="0.2">
      <c r="G181" s="839" t="s">
        <v>14</v>
      </c>
      <c r="H181" s="839"/>
      <c r="I181" s="839"/>
      <c r="J181" s="839"/>
      <c r="K181" s="917">
        <f t="shared" ref="K181:AJ181" si="40">SUM(K176:K179)</f>
        <v>0</v>
      </c>
      <c r="L181" s="917">
        <f t="shared" si="40"/>
        <v>0</v>
      </c>
      <c r="M181" s="917">
        <f t="shared" si="40"/>
        <v>0</v>
      </c>
      <c r="N181" s="917">
        <f t="shared" si="40"/>
        <v>0</v>
      </c>
      <c r="O181" s="917">
        <f t="shared" si="40"/>
        <v>0</v>
      </c>
      <c r="P181" s="917">
        <f t="shared" si="40"/>
        <v>0</v>
      </c>
      <c r="Q181" s="917">
        <f t="shared" si="40"/>
        <v>0</v>
      </c>
      <c r="R181" s="917">
        <f t="shared" si="40"/>
        <v>0</v>
      </c>
      <c r="S181" s="917">
        <f t="shared" si="40"/>
        <v>0</v>
      </c>
      <c r="T181" s="917">
        <f t="shared" si="40"/>
        <v>0</v>
      </c>
      <c r="U181" s="917">
        <f t="shared" si="40"/>
        <v>0</v>
      </c>
      <c r="V181" s="917">
        <f t="shared" si="40"/>
        <v>0</v>
      </c>
      <c r="W181" s="917">
        <f t="shared" si="40"/>
        <v>0</v>
      </c>
      <c r="X181" s="917">
        <f t="shared" si="40"/>
        <v>0</v>
      </c>
      <c r="Y181" s="917">
        <f t="shared" si="40"/>
        <v>0</v>
      </c>
      <c r="Z181" s="917">
        <f t="shared" si="40"/>
        <v>0</v>
      </c>
      <c r="AA181" s="917">
        <f t="shared" si="40"/>
        <v>0</v>
      </c>
      <c r="AB181" s="917">
        <f t="shared" si="40"/>
        <v>0</v>
      </c>
      <c r="AC181" s="917">
        <f t="shared" si="40"/>
        <v>0</v>
      </c>
      <c r="AD181" s="917">
        <f t="shared" si="40"/>
        <v>0</v>
      </c>
      <c r="AE181" s="917">
        <f t="shared" si="40"/>
        <v>0</v>
      </c>
      <c r="AF181" s="917">
        <f t="shared" si="40"/>
        <v>0</v>
      </c>
      <c r="AG181" s="917">
        <f t="shared" si="40"/>
        <v>0</v>
      </c>
      <c r="AH181" s="917">
        <f t="shared" si="40"/>
        <v>0</v>
      </c>
      <c r="AI181" s="917">
        <f t="shared" si="40"/>
        <v>0</v>
      </c>
      <c r="AJ181" s="917">
        <f t="shared" si="40"/>
        <v>0</v>
      </c>
    </row>
    <row r="182" spans="7:36" ht="15" hidden="1" customHeight="1" x14ac:dyDescent="0.2">
      <c r="G182" s="839" t="s">
        <v>15</v>
      </c>
      <c r="H182" s="839"/>
      <c r="I182" s="839"/>
      <c r="J182" s="839"/>
      <c r="K182" s="917">
        <f>K181</f>
        <v>0</v>
      </c>
      <c r="L182" s="917">
        <f t="shared" ref="L182:AJ182" si="41">K182+L181</f>
        <v>0</v>
      </c>
      <c r="M182" s="917">
        <f t="shared" si="41"/>
        <v>0</v>
      </c>
      <c r="N182" s="917">
        <f t="shared" si="41"/>
        <v>0</v>
      </c>
      <c r="O182" s="917">
        <f t="shared" si="41"/>
        <v>0</v>
      </c>
      <c r="P182" s="917">
        <f t="shared" si="41"/>
        <v>0</v>
      </c>
      <c r="Q182" s="917">
        <f t="shared" si="41"/>
        <v>0</v>
      </c>
      <c r="R182" s="917">
        <f t="shared" si="41"/>
        <v>0</v>
      </c>
      <c r="S182" s="917">
        <f t="shared" si="41"/>
        <v>0</v>
      </c>
      <c r="T182" s="917">
        <f t="shared" si="41"/>
        <v>0</v>
      </c>
      <c r="U182" s="917">
        <f t="shared" si="41"/>
        <v>0</v>
      </c>
      <c r="V182" s="917">
        <f t="shared" si="41"/>
        <v>0</v>
      </c>
      <c r="W182" s="917">
        <f t="shared" si="41"/>
        <v>0</v>
      </c>
      <c r="X182" s="917">
        <f t="shared" si="41"/>
        <v>0</v>
      </c>
      <c r="Y182" s="917">
        <f t="shared" si="41"/>
        <v>0</v>
      </c>
      <c r="Z182" s="917">
        <f t="shared" si="41"/>
        <v>0</v>
      </c>
      <c r="AA182" s="917">
        <f t="shared" si="41"/>
        <v>0</v>
      </c>
      <c r="AB182" s="917">
        <f t="shared" si="41"/>
        <v>0</v>
      </c>
      <c r="AC182" s="917">
        <f t="shared" si="41"/>
        <v>0</v>
      </c>
      <c r="AD182" s="917">
        <f t="shared" si="41"/>
        <v>0</v>
      </c>
      <c r="AE182" s="917">
        <f t="shared" si="41"/>
        <v>0</v>
      </c>
      <c r="AF182" s="917">
        <f t="shared" si="41"/>
        <v>0</v>
      </c>
      <c r="AG182" s="917">
        <f t="shared" si="41"/>
        <v>0</v>
      </c>
      <c r="AH182" s="917">
        <f t="shared" si="41"/>
        <v>0</v>
      </c>
      <c r="AI182" s="917">
        <f t="shared" si="41"/>
        <v>0</v>
      </c>
      <c r="AJ182" s="917">
        <f t="shared" si="41"/>
        <v>0</v>
      </c>
    </row>
    <row r="183" spans="7:36" ht="15" hidden="1" customHeight="1" x14ac:dyDescent="0.2">
      <c r="G183" s="839"/>
      <c r="H183" s="839"/>
      <c r="I183" s="839"/>
      <c r="J183" s="839"/>
      <c r="K183" s="917"/>
      <c r="L183" s="917"/>
      <c r="M183" s="917"/>
      <c r="N183" s="917"/>
      <c r="O183" s="917"/>
      <c r="P183" s="917"/>
      <c r="Q183" s="917"/>
      <c r="R183" s="917"/>
      <c r="S183" s="917"/>
      <c r="T183" s="917"/>
      <c r="U183" s="917"/>
      <c r="V183" s="917"/>
      <c r="W183" s="917"/>
      <c r="X183" s="917"/>
      <c r="Y183" s="917"/>
      <c r="Z183" s="917"/>
      <c r="AA183" s="917"/>
      <c r="AB183" s="917"/>
      <c r="AC183" s="917"/>
      <c r="AD183" s="917"/>
      <c r="AE183" s="917"/>
      <c r="AF183" s="917"/>
      <c r="AG183" s="917"/>
      <c r="AH183" s="917"/>
      <c r="AI183" s="917"/>
      <c r="AJ183" s="917"/>
    </row>
    <row r="184" spans="7:36" ht="15" hidden="1" customHeight="1" x14ac:dyDescent="0.2">
      <c r="G184" s="839" t="s">
        <v>17</v>
      </c>
      <c r="H184" s="839"/>
      <c r="I184" s="839"/>
      <c r="J184" s="839"/>
      <c r="K184" s="917">
        <f>K181/(((Data!$P$186/100)+1)^K$70)</f>
        <v>0</v>
      </c>
      <c r="L184" s="917">
        <f>L181/(((Data!$P$186/100)+1)^L$70)</f>
        <v>0</v>
      </c>
      <c r="M184" s="917">
        <f>M181/(((Data!$P$186/100)+1)^M$70)</f>
        <v>0</v>
      </c>
      <c r="N184" s="917">
        <f>N181/(((Data!$P$186/100)+1)^N$70)</f>
        <v>0</v>
      </c>
      <c r="O184" s="917">
        <f>O181/(((Data!$P$186/100)+1)^O$70)</f>
        <v>0</v>
      </c>
      <c r="P184" s="917">
        <f>P181/(((Data!$P$186/100)+1)^P$70)</f>
        <v>0</v>
      </c>
      <c r="Q184" s="917">
        <f>Q181/(((Data!$P$186/100)+1)^Q$70)</f>
        <v>0</v>
      </c>
      <c r="R184" s="917">
        <f>R181/(((Data!$P$186/100)+1)^R$70)</f>
        <v>0</v>
      </c>
      <c r="S184" s="917">
        <f>S181/(((Data!$P$186/100)+1)^S$70)</f>
        <v>0</v>
      </c>
      <c r="T184" s="917">
        <f>T181/(((Data!$P$186/100)+1)^T$70)</f>
        <v>0</v>
      </c>
      <c r="U184" s="917">
        <f>U181/(((Data!$P$186/100)+1)^U$70)</f>
        <v>0</v>
      </c>
      <c r="V184" s="917">
        <f>V181/(((Data!$P$186/100)+1)^V$70)</f>
        <v>0</v>
      </c>
      <c r="W184" s="917">
        <f>W181/(((Data!$P$186/100)+1)^W$70)</f>
        <v>0</v>
      </c>
      <c r="X184" s="917">
        <f>X181/(((Data!$P$186/100)+1)^X$70)</f>
        <v>0</v>
      </c>
      <c r="Y184" s="917">
        <f>Y181/(((Data!$P$186/100)+1)^Y$70)</f>
        <v>0</v>
      </c>
      <c r="Z184" s="917">
        <f>Z181/(((Data!$P$186/100)+1)^Z$70)</f>
        <v>0</v>
      </c>
      <c r="AA184" s="917">
        <f>AA181/(((Data!$P$186/100)+1)^AA$70)</f>
        <v>0</v>
      </c>
      <c r="AB184" s="917">
        <f>AB181/(((Data!$P$186/100)+1)^AB$70)</f>
        <v>0</v>
      </c>
      <c r="AC184" s="917">
        <f>AC181/(((Data!$P$186/100)+1)^AC$70)</f>
        <v>0</v>
      </c>
      <c r="AD184" s="917">
        <f>AD181/(((Data!$P$186/100)+1)^AD$70)</f>
        <v>0</v>
      </c>
      <c r="AE184" s="917">
        <f>AE181/(((Data!$P$186/100)+1)^AE$70)</f>
        <v>0</v>
      </c>
      <c r="AF184" s="917">
        <f>AF181/(((Data!$P$186/100)+1)^AF$70)</f>
        <v>0</v>
      </c>
      <c r="AG184" s="917">
        <f>AG181/(((Data!$P$186/100)+1)^AG$70)</f>
        <v>0</v>
      </c>
      <c r="AH184" s="917">
        <f>AH181/(((Data!$P$186/100)+1)^AH$70)</f>
        <v>0</v>
      </c>
      <c r="AI184" s="917">
        <f>AI181/(((Data!$P$186/100)+1)^AI$70)</f>
        <v>0</v>
      </c>
      <c r="AJ184" s="917">
        <f>AJ181/(((Data!$P$186/100)+1)^AJ$70)</f>
        <v>0</v>
      </c>
    </row>
    <row r="185" spans="7:36" ht="15" hidden="1" customHeight="1" x14ac:dyDescent="0.2">
      <c r="G185" s="859" t="s">
        <v>186</v>
      </c>
      <c r="H185" s="859"/>
      <c r="I185" s="839"/>
      <c r="J185" s="839"/>
      <c r="K185" s="923">
        <f>K184</f>
        <v>0</v>
      </c>
      <c r="L185" s="923">
        <f t="shared" ref="L185:AJ185" si="42">K185+L184</f>
        <v>0</v>
      </c>
      <c r="M185" s="923">
        <f t="shared" si="42"/>
        <v>0</v>
      </c>
      <c r="N185" s="923">
        <f t="shared" si="42"/>
        <v>0</v>
      </c>
      <c r="O185" s="923">
        <f t="shared" si="42"/>
        <v>0</v>
      </c>
      <c r="P185" s="923">
        <f t="shared" si="42"/>
        <v>0</v>
      </c>
      <c r="Q185" s="923">
        <f t="shared" si="42"/>
        <v>0</v>
      </c>
      <c r="R185" s="923">
        <f t="shared" si="42"/>
        <v>0</v>
      </c>
      <c r="S185" s="923">
        <f t="shared" si="42"/>
        <v>0</v>
      </c>
      <c r="T185" s="923">
        <f t="shared" si="42"/>
        <v>0</v>
      </c>
      <c r="U185" s="923">
        <f t="shared" si="42"/>
        <v>0</v>
      </c>
      <c r="V185" s="923">
        <f t="shared" si="42"/>
        <v>0</v>
      </c>
      <c r="W185" s="923">
        <f t="shared" si="42"/>
        <v>0</v>
      </c>
      <c r="X185" s="923">
        <f t="shared" si="42"/>
        <v>0</v>
      </c>
      <c r="Y185" s="923">
        <f t="shared" si="42"/>
        <v>0</v>
      </c>
      <c r="Z185" s="923">
        <f t="shared" si="42"/>
        <v>0</v>
      </c>
      <c r="AA185" s="923">
        <f t="shared" si="42"/>
        <v>0</v>
      </c>
      <c r="AB185" s="923">
        <f t="shared" si="42"/>
        <v>0</v>
      </c>
      <c r="AC185" s="923">
        <f t="shared" si="42"/>
        <v>0</v>
      </c>
      <c r="AD185" s="923">
        <f t="shared" si="42"/>
        <v>0</v>
      </c>
      <c r="AE185" s="923">
        <f t="shared" si="42"/>
        <v>0</v>
      </c>
      <c r="AF185" s="923">
        <f t="shared" si="42"/>
        <v>0</v>
      </c>
      <c r="AG185" s="923">
        <f t="shared" si="42"/>
        <v>0</v>
      </c>
      <c r="AH185" s="923">
        <f t="shared" si="42"/>
        <v>0</v>
      </c>
      <c r="AI185" s="923">
        <f t="shared" si="42"/>
        <v>0</v>
      </c>
      <c r="AJ185" s="923">
        <f t="shared" si="42"/>
        <v>0</v>
      </c>
    </row>
    <row r="186" spans="7:36" ht="15" hidden="1" customHeight="1" x14ac:dyDescent="0.2">
      <c r="G186" s="8"/>
      <c r="H186" s="8"/>
      <c r="I186" s="8"/>
      <c r="J186" s="8"/>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row>
    <row r="187" spans="7:36" ht="15" hidden="1" customHeight="1" x14ac:dyDescent="0.2">
      <c r="G187" s="532" t="s">
        <v>512</v>
      </c>
      <c r="H187" s="17"/>
      <c r="I187" s="13"/>
      <c r="J187" s="13"/>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row>
    <row r="188" spans="7:36" ht="15" hidden="1" customHeight="1" x14ac:dyDescent="0.2">
      <c r="G188" s="17"/>
      <c r="H188" s="17"/>
      <c r="I188" s="13"/>
      <c r="J188" s="13"/>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row>
    <row r="189" spans="7:36" ht="15" hidden="1" customHeight="1" x14ac:dyDescent="0.2">
      <c r="G189" s="17" t="s">
        <v>2</v>
      </c>
      <c r="H189" s="60"/>
      <c r="I189" s="60"/>
      <c r="J189" s="60"/>
      <c r="K189" s="101">
        <f>IF(K$70&lt;$Q$42,VLOOKUP($I$14,$G$75:$AJ$79,K$70+5,FALSE),VLOOKUP($O$14,$G$75:$AJ$79,K$70+5,FALSE))</f>
        <v>0.17072999999999999</v>
      </c>
      <c r="L189" s="101">
        <f t="shared" ref="L189:AJ189" si="43">IF(L$70&lt;$Q$42,VLOOKUP($I$14,$G$75:$AJ$79,L$70+5,FALSE),VLOOKUP($O$14,$G$75:$AJ$79,L$70+5,FALSE))</f>
        <v>0.17072999999999999</v>
      </c>
      <c r="M189" s="101">
        <f t="shared" si="43"/>
        <v>0.17072999999999999</v>
      </c>
      <c r="N189" s="101">
        <f t="shared" si="43"/>
        <v>0.17072999999999999</v>
      </c>
      <c r="O189" s="101">
        <f t="shared" si="43"/>
        <v>0.17072999999999999</v>
      </c>
      <c r="P189" s="101">
        <f t="shared" si="43"/>
        <v>0.17072999999999999</v>
      </c>
      <c r="Q189" s="101">
        <f t="shared" si="43"/>
        <v>0.17072999999999999</v>
      </c>
      <c r="R189" s="101">
        <f t="shared" si="43"/>
        <v>0.17072999999999999</v>
      </c>
      <c r="S189" s="101">
        <f t="shared" si="43"/>
        <v>0.17072999999999999</v>
      </c>
      <c r="T189" s="101">
        <f t="shared" si="43"/>
        <v>0.17072999999999999</v>
      </c>
      <c r="U189" s="101">
        <f t="shared" si="43"/>
        <v>0.17072999999999999</v>
      </c>
      <c r="V189" s="101">
        <f t="shared" si="43"/>
        <v>0.17072999999999999</v>
      </c>
      <c r="W189" s="101">
        <f t="shared" si="43"/>
        <v>0.17072999999999999</v>
      </c>
      <c r="X189" s="101">
        <f t="shared" si="43"/>
        <v>0.17072999999999999</v>
      </c>
      <c r="Y189" s="101">
        <f t="shared" si="43"/>
        <v>0.17072999999999999</v>
      </c>
      <c r="Z189" s="101">
        <f t="shared" si="43"/>
        <v>0.17072999999999999</v>
      </c>
      <c r="AA189" s="101">
        <f t="shared" si="43"/>
        <v>0.17072999999999999</v>
      </c>
      <c r="AB189" s="101">
        <f t="shared" si="43"/>
        <v>0.17072999999999999</v>
      </c>
      <c r="AC189" s="101">
        <f t="shared" si="43"/>
        <v>0.17072999999999999</v>
      </c>
      <c r="AD189" s="101">
        <f t="shared" si="43"/>
        <v>0.17072999999999999</v>
      </c>
      <c r="AE189" s="101">
        <f t="shared" si="43"/>
        <v>0.17072999999999999</v>
      </c>
      <c r="AF189" s="101">
        <f t="shared" si="43"/>
        <v>0.17072999999999999</v>
      </c>
      <c r="AG189" s="101">
        <f t="shared" si="43"/>
        <v>0.17072999999999999</v>
      </c>
      <c r="AH189" s="101">
        <f t="shared" si="43"/>
        <v>0.17072999999999999</v>
      </c>
      <c r="AI189" s="101">
        <f t="shared" si="43"/>
        <v>0.17072999999999999</v>
      </c>
      <c r="AJ189" s="101">
        <f t="shared" si="43"/>
        <v>0.17072999999999999</v>
      </c>
    </row>
    <row r="190" spans="7:36" ht="15" hidden="1" customHeight="1" x14ac:dyDescent="0.2">
      <c r="G190" s="17" t="s">
        <v>1</v>
      </c>
      <c r="H190" s="60"/>
      <c r="I190" s="60"/>
      <c r="J190" s="60"/>
      <c r="K190" s="101">
        <f>IF(K$70&lt;$Q$42,VLOOKUP($I$14,$G$81:$AJ$85,K$70+5,FALSE),VLOOKUP($O$14,$G$81:$AJ$85,K$70+5,FALSE))</f>
        <v>0.09</v>
      </c>
      <c r="L190" s="101">
        <f t="shared" ref="L190:AI190" si="44">IF(L$70&lt;$Q$42,VLOOKUP($I$14,$G$81:$AJ$85,L$70+5,FALSE),VLOOKUP($O$14,$G$81:$AJ$85,L$70+5,FALSE))</f>
        <v>9.5399999999999999E-2</v>
      </c>
      <c r="M190" s="101">
        <f t="shared" si="44"/>
        <v>0.10112400000000001</v>
      </c>
      <c r="N190" s="101">
        <f t="shared" si="44"/>
        <v>0.10719144000000001</v>
      </c>
      <c r="O190" s="101">
        <f t="shared" si="44"/>
        <v>0.11362292640000002</v>
      </c>
      <c r="P190" s="101">
        <f t="shared" si="44"/>
        <v>0.12044030198400002</v>
      </c>
      <c r="Q190" s="101">
        <f t="shared" si="44"/>
        <v>0.12766672010304003</v>
      </c>
      <c r="R190" s="101">
        <f t="shared" si="44"/>
        <v>0.13532672330922244</v>
      </c>
      <c r="S190" s="101">
        <f t="shared" si="44"/>
        <v>0.1434463267077758</v>
      </c>
      <c r="T190" s="101">
        <f t="shared" si="44"/>
        <v>0.15205310631024235</v>
      </c>
      <c r="U190" s="101">
        <f t="shared" si="44"/>
        <v>0.16117629268885691</v>
      </c>
      <c r="V190" s="101">
        <f t="shared" si="44"/>
        <v>0.17084687025018833</v>
      </c>
      <c r="W190" s="101">
        <f t="shared" si="44"/>
        <v>0.18109768246519964</v>
      </c>
      <c r="X190" s="101">
        <f t="shared" si="44"/>
        <v>0.19196354341311161</v>
      </c>
      <c r="Y190" s="101">
        <f t="shared" si="44"/>
        <v>0.20348135601789832</v>
      </c>
      <c r="Z190" s="101">
        <f t="shared" si="44"/>
        <v>0.21569023737897222</v>
      </c>
      <c r="AA190" s="101">
        <f t="shared" si="44"/>
        <v>0.22863165162171056</v>
      </c>
      <c r="AB190" s="101">
        <f t="shared" si="44"/>
        <v>0.24234955071901321</v>
      </c>
      <c r="AC190" s="101">
        <f t="shared" si="44"/>
        <v>0.25689052376215399</v>
      </c>
      <c r="AD190" s="101">
        <f t="shared" si="44"/>
        <v>0.27230395518788325</v>
      </c>
      <c r="AE190" s="101">
        <f t="shared" si="44"/>
        <v>0.28864219249915624</v>
      </c>
      <c r="AF190" s="101">
        <f t="shared" si="44"/>
        <v>0.30596072404910563</v>
      </c>
      <c r="AG190" s="101">
        <f t="shared" si="44"/>
        <v>0.32431836749205201</v>
      </c>
      <c r="AH190" s="101">
        <f t="shared" si="44"/>
        <v>0.34377746954157512</v>
      </c>
      <c r="AI190" s="101">
        <f t="shared" si="44"/>
        <v>0.36440411771406966</v>
      </c>
      <c r="AJ190" s="101">
        <f>IF(AJ$70&lt;$Q$42,VLOOKUP($I$14,$G$81:$AJ$85,AJ$70+5,FALSE),VLOOKUP($O$14,$G$81:$AJ$85,AJ$70+5,FALSE))</f>
        <v>0.38626836477691384</v>
      </c>
    </row>
    <row r="191" spans="7:36" ht="15" hidden="1" customHeight="1" x14ac:dyDescent="0.2">
      <c r="G191" s="60"/>
      <c r="H191" s="60"/>
      <c r="I191" s="60"/>
      <c r="J191" s="60"/>
      <c r="K191" s="60"/>
      <c r="L191" s="60"/>
      <c r="M191" s="60"/>
      <c r="N191" s="60"/>
      <c r="O191" s="60"/>
      <c r="P191" s="60"/>
      <c r="Q191" s="60"/>
      <c r="R191" s="61"/>
      <c r="S191" s="60"/>
      <c r="T191" s="60"/>
      <c r="U191" s="60"/>
      <c r="V191" s="60"/>
      <c r="W191" s="60"/>
      <c r="X191" s="60"/>
      <c r="Y191" s="60"/>
      <c r="Z191" s="60"/>
      <c r="AA191" s="60"/>
      <c r="AB191" s="60"/>
      <c r="AC191" s="60"/>
      <c r="AD191" s="60"/>
      <c r="AE191" s="60"/>
      <c r="AF191" s="60"/>
      <c r="AG191" s="60"/>
      <c r="AH191" s="60"/>
      <c r="AI191" s="60"/>
      <c r="AJ191" s="60"/>
    </row>
    <row r="192" spans="7:36" ht="15" hidden="1" customHeight="1" x14ac:dyDescent="0.2">
      <c r="G192" s="17" t="s">
        <v>4</v>
      </c>
      <c r="H192" s="17"/>
      <c r="I192" s="13"/>
      <c r="J192" s="1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row>
    <row r="193" spans="7:36" ht="15" hidden="1" customHeight="1" x14ac:dyDescent="0.2">
      <c r="G193" s="17" t="s">
        <v>5</v>
      </c>
      <c r="H193" s="17"/>
      <c r="I193" s="13"/>
      <c r="J193" s="1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row>
    <row r="194" spans="7:36" ht="15" hidden="1" customHeight="1" x14ac:dyDescent="0.2">
      <c r="G194" s="17" t="s">
        <v>6</v>
      </c>
      <c r="H194" s="17"/>
      <c r="I194" s="13"/>
      <c r="J194" s="13"/>
      <c r="K194" s="35">
        <f>IF(K$70&lt;$Q$42,$J$11,$P$11)</f>
        <v>0</v>
      </c>
      <c r="L194" s="35">
        <f t="shared" ref="L194:AJ194" si="45">IF(L$70&lt;$Q$42,$J$11,$P$11)</f>
        <v>0</v>
      </c>
      <c r="M194" s="35">
        <f t="shared" si="45"/>
        <v>0</v>
      </c>
      <c r="N194" s="35">
        <f t="shared" si="45"/>
        <v>0</v>
      </c>
      <c r="O194" s="35">
        <f t="shared" si="45"/>
        <v>0</v>
      </c>
      <c r="P194" s="35">
        <f t="shared" si="45"/>
        <v>0</v>
      </c>
      <c r="Q194" s="35">
        <f t="shared" si="45"/>
        <v>0</v>
      </c>
      <c r="R194" s="35">
        <f t="shared" si="45"/>
        <v>0</v>
      </c>
      <c r="S194" s="35">
        <f t="shared" si="45"/>
        <v>0</v>
      </c>
      <c r="T194" s="35">
        <f t="shared" si="45"/>
        <v>0</v>
      </c>
      <c r="U194" s="35">
        <f t="shared" si="45"/>
        <v>0</v>
      </c>
      <c r="V194" s="35">
        <f t="shared" si="45"/>
        <v>0</v>
      </c>
      <c r="W194" s="35">
        <f t="shared" si="45"/>
        <v>0</v>
      </c>
      <c r="X194" s="35">
        <f t="shared" si="45"/>
        <v>0</v>
      </c>
      <c r="Y194" s="35">
        <f t="shared" si="45"/>
        <v>0</v>
      </c>
      <c r="Z194" s="35">
        <f t="shared" si="45"/>
        <v>0</v>
      </c>
      <c r="AA194" s="35">
        <f t="shared" si="45"/>
        <v>0</v>
      </c>
      <c r="AB194" s="35">
        <f t="shared" si="45"/>
        <v>0</v>
      </c>
      <c r="AC194" s="35">
        <f t="shared" si="45"/>
        <v>0</v>
      </c>
      <c r="AD194" s="35">
        <f t="shared" si="45"/>
        <v>0</v>
      </c>
      <c r="AE194" s="35">
        <f t="shared" si="45"/>
        <v>0</v>
      </c>
      <c r="AF194" s="35">
        <f t="shared" si="45"/>
        <v>0</v>
      </c>
      <c r="AG194" s="35">
        <f t="shared" si="45"/>
        <v>0</v>
      </c>
      <c r="AH194" s="35">
        <f t="shared" si="45"/>
        <v>0</v>
      </c>
      <c r="AI194" s="35">
        <f t="shared" si="45"/>
        <v>0</v>
      </c>
      <c r="AJ194" s="35">
        <f t="shared" si="45"/>
        <v>0</v>
      </c>
    </row>
    <row r="195" spans="7:36" ht="15" hidden="1" customHeight="1" x14ac:dyDescent="0.2">
      <c r="G195" s="17"/>
      <c r="H195" s="17"/>
      <c r="I195" s="13"/>
      <c r="J195" s="13"/>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row>
    <row r="196" spans="7:36" ht="15" hidden="1" customHeight="1" x14ac:dyDescent="0.2">
      <c r="G196" s="17" t="s">
        <v>7</v>
      </c>
      <c r="H196" s="17"/>
      <c r="I196" s="13"/>
      <c r="J196" s="1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row>
    <row r="197" spans="7:36" ht="15" hidden="1" customHeight="1" x14ac:dyDescent="0.2">
      <c r="G197" s="17" t="s">
        <v>8</v>
      </c>
      <c r="H197" s="17"/>
      <c r="I197" s="13"/>
      <c r="J197" s="1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row>
    <row r="198" spans="7:36" ht="15" hidden="1" customHeight="1" x14ac:dyDescent="0.2">
      <c r="G198" s="17" t="s">
        <v>9</v>
      </c>
      <c r="H198" s="17"/>
      <c r="I198" s="13"/>
      <c r="J198" s="13"/>
      <c r="K198" s="35">
        <f>K189*K194</f>
        <v>0</v>
      </c>
      <c r="L198" s="35">
        <f t="shared" ref="L198:AI198" si="46">L189*L194</f>
        <v>0</v>
      </c>
      <c r="M198" s="35">
        <f t="shared" si="46"/>
        <v>0</v>
      </c>
      <c r="N198" s="35">
        <f t="shared" si="46"/>
        <v>0</v>
      </c>
      <c r="O198" s="35">
        <f t="shared" si="46"/>
        <v>0</v>
      </c>
      <c r="P198" s="35">
        <f t="shared" si="46"/>
        <v>0</v>
      </c>
      <c r="Q198" s="35">
        <f t="shared" si="46"/>
        <v>0</v>
      </c>
      <c r="R198" s="35">
        <f t="shared" si="46"/>
        <v>0</v>
      </c>
      <c r="S198" s="35">
        <f t="shared" si="46"/>
        <v>0</v>
      </c>
      <c r="T198" s="35">
        <f t="shared" si="46"/>
        <v>0</v>
      </c>
      <c r="U198" s="35">
        <f t="shared" si="46"/>
        <v>0</v>
      </c>
      <c r="V198" s="35">
        <f t="shared" si="46"/>
        <v>0</v>
      </c>
      <c r="W198" s="35">
        <f t="shared" si="46"/>
        <v>0</v>
      </c>
      <c r="X198" s="35">
        <f t="shared" si="46"/>
        <v>0</v>
      </c>
      <c r="Y198" s="35">
        <f t="shared" si="46"/>
        <v>0</v>
      </c>
      <c r="Z198" s="35">
        <f t="shared" si="46"/>
        <v>0</v>
      </c>
      <c r="AA198" s="35">
        <f t="shared" si="46"/>
        <v>0</v>
      </c>
      <c r="AB198" s="35">
        <f t="shared" si="46"/>
        <v>0</v>
      </c>
      <c r="AC198" s="35">
        <f t="shared" si="46"/>
        <v>0</v>
      </c>
      <c r="AD198" s="35">
        <f t="shared" si="46"/>
        <v>0</v>
      </c>
      <c r="AE198" s="35">
        <f t="shared" si="46"/>
        <v>0</v>
      </c>
      <c r="AF198" s="35">
        <f t="shared" si="46"/>
        <v>0</v>
      </c>
      <c r="AG198" s="35">
        <f t="shared" si="46"/>
        <v>0</v>
      </c>
      <c r="AH198" s="35">
        <f t="shared" si="46"/>
        <v>0</v>
      </c>
      <c r="AI198" s="35">
        <f t="shared" si="46"/>
        <v>0</v>
      </c>
      <c r="AJ198" s="35">
        <f>AJ189*AJ194</f>
        <v>0</v>
      </c>
    </row>
    <row r="199" spans="7:36" ht="15" hidden="1" customHeight="1" x14ac:dyDescent="0.2">
      <c r="G199" s="17"/>
      <c r="H199" s="17"/>
      <c r="I199" s="13"/>
      <c r="J199" s="13"/>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row>
    <row r="200" spans="7:36" ht="15" hidden="1" customHeight="1" x14ac:dyDescent="0.2">
      <c r="G200" s="17" t="s">
        <v>10</v>
      </c>
      <c r="H200" s="17"/>
      <c r="I200" s="13"/>
      <c r="J200" s="1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row>
    <row r="201" spans="7:36" ht="15" hidden="1" customHeight="1" x14ac:dyDescent="0.2">
      <c r="G201" s="17" t="s">
        <v>11</v>
      </c>
      <c r="H201" s="17"/>
      <c r="I201" s="13"/>
      <c r="J201" s="1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row>
    <row r="202" spans="7:36" ht="15" hidden="1" customHeight="1" x14ac:dyDescent="0.2">
      <c r="G202" s="17" t="s">
        <v>12</v>
      </c>
      <c r="H202" s="17"/>
      <c r="I202" s="13"/>
      <c r="J202" s="13"/>
      <c r="K202" s="35">
        <f>K190*K194</f>
        <v>0</v>
      </c>
      <c r="L202" s="35">
        <f t="shared" ref="L202:AI202" si="47">L190*L194</f>
        <v>0</v>
      </c>
      <c r="M202" s="35">
        <f t="shared" si="47"/>
        <v>0</v>
      </c>
      <c r="N202" s="35">
        <f t="shared" si="47"/>
        <v>0</v>
      </c>
      <c r="O202" s="35">
        <f t="shared" si="47"/>
        <v>0</v>
      </c>
      <c r="P202" s="35">
        <f t="shared" si="47"/>
        <v>0</v>
      </c>
      <c r="Q202" s="35">
        <f t="shared" si="47"/>
        <v>0</v>
      </c>
      <c r="R202" s="35">
        <f t="shared" si="47"/>
        <v>0</v>
      </c>
      <c r="S202" s="35">
        <f t="shared" si="47"/>
        <v>0</v>
      </c>
      <c r="T202" s="35">
        <f t="shared" si="47"/>
        <v>0</v>
      </c>
      <c r="U202" s="35">
        <f t="shared" si="47"/>
        <v>0</v>
      </c>
      <c r="V202" s="35">
        <f t="shared" si="47"/>
        <v>0</v>
      </c>
      <c r="W202" s="35">
        <f t="shared" si="47"/>
        <v>0</v>
      </c>
      <c r="X202" s="35">
        <f t="shared" si="47"/>
        <v>0</v>
      </c>
      <c r="Y202" s="35">
        <f t="shared" si="47"/>
        <v>0</v>
      </c>
      <c r="Z202" s="35">
        <f t="shared" si="47"/>
        <v>0</v>
      </c>
      <c r="AA202" s="35">
        <f t="shared" si="47"/>
        <v>0</v>
      </c>
      <c r="AB202" s="35">
        <f t="shared" si="47"/>
        <v>0</v>
      </c>
      <c r="AC202" s="35">
        <f t="shared" si="47"/>
        <v>0</v>
      </c>
      <c r="AD202" s="35">
        <f t="shared" si="47"/>
        <v>0</v>
      </c>
      <c r="AE202" s="35">
        <f t="shared" si="47"/>
        <v>0</v>
      </c>
      <c r="AF202" s="35">
        <f t="shared" si="47"/>
        <v>0</v>
      </c>
      <c r="AG202" s="35">
        <f t="shared" si="47"/>
        <v>0</v>
      </c>
      <c r="AH202" s="35">
        <f t="shared" si="47"/>
        <v>0</v>
      </c>
      <c r="AI202" s="35">
        <f t="shared" si="47"/>
        <v>0</v>
      </c>
      <c r="AJ202" s="35">
        <f>AJ190*AJ194</f>
        <v>0</v>
      </c>
    </row>
    <row r="203" spans="7:36" ht="15" hidden="1" customHeight="1" x14ac:dyDescent="0.2">
      <c r="G203" s="17" t="s">
        <v>13</v>
      </c>
      <c r="H203" s="17"/>
      <c r="I203" s="13"/>
      <c r="J203" s="13"/>
      <c r="K203" s="35">
        <f t="shared" ref="K203:AI203" si="48">K$88*K198</f>
        <v>0</v>
      </c>
      <c r="L203" s="35">
        <f t="shared" si="48"/>
        <v>0</v>
      </c>
      <c r="M203" s="35">
        <f t="shared" si="48"/>
        <v>0</v>
      </c>
      <c r="N203" s="35">
        <f t="shared" si="48"/>
        <v>0</v>
      </c>
      <c r="O203" s="35">
        <f t="shared" si="48"/>
        <v>0</v>
      </c>
      <c r="P203" s="35">
        <f t="shared" si="48"/>
        <v>0</v>
      </c>
      <c r="Q203" s="35">
        <f t="shared" si="48"/>
        <v>0</v>
      </c>
      <c r="R203" s="35">
        <f t="shared" si="48"/>
        <v>0</v>
      </c>
      <c r="S203" s="35">
        <f t="shared" si="48"/>
        <v>0</v>
      </c>
      <c r="T203" s="35">
        <f t="shared" si="48"/>
        <v>0</v>
      </c>
      <c r="U203" s="35">
        <f t="shared" si="48"/>
        <v>0</v>
      </c>
      <c r="V203" s="35">
        <f t="shared" si="48"/>
        <v>0</v>
      </c>
      <c r="W203" s="35">
        <f t="shared" si="48"/>
        <v>0</v>
      </c>
      <c r="X203" s="35">
        <f t="shared" si="48"/>
        <v>0</v>
      </c>
      <c r="Y203" s="35">
        <f t="shared" si="48"/>
        <v>0</v>
      </c>
      <c r="Z203" s="35">
        <f t="shared" si="48"/>
        <v>0</v>
      </c>
      <c r="AA203" s="35">
        <f t="shared" si="48"/>
        <v>0</v>
      </c>
      <c r="AB203" s="35">
        <f t="shared" si="48"/>
        <v>0</v>
      </c>
      <c r="AC203" s="35">
        <f t="shared" si="48"/>
        <v>0</v>
      </c>
      <c r="AD203" s="35">
        <f t="shared" si="48"/>
        <v>0</v>
      </c>
      <c r="AE203" s="35">
        <f t="shared" si="48"/>
        <v>0</v>
      </c>
      <c r="AF203" s="35">
        <f t="shared" si="48"/>
        <v>0</v>
      </c>
      <c r="AG203" s="35">
        <f t="shared" si="48"/>
        <v>0</v>
      </c>
      <c r="AH203" s="35">
        <f t="shared" si="48"/>
        <v>0</v>
      </c>
      <c r="AI203" s="35">
        <f t="shared" si="48"/>
        <v>0</v>
      </c>
      <c r="AJ203" s="35">
        <f>AJ$88*AJ198</f>
        <v>0</v>
      </c>
    </row>
    <row r="204" spans="7:36" ht="15" hidden="1" customHeight="1" x14ac:dyDescent="0.2">
      <c r="G204" s="17"/>
      <c r="H204" s="17"/>
      <c r="I204" s="13"/>
      <c r="J204" s="13"/>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row>
    <row r="205" spans="7:36" ht="15" hidden="1" customHeight="1" x14ac:dyDescent="0.2">
      <c r="G205" s="17" t="s">
        <v>14</v>
      </c>
      <c r="H205" s="17"/>
      <c r="I205" s="13"/>
      <c r="J205" s="13"/>
      <c r="K205" s="35">
        <f>SUM(K200:K203)</f>
        <v>0</v>
      </c>
      <c r="L205" s="35">
        <f t="shared" ref="L205:AH205" si="49">SUM(L200:L203)</f>
        <v>0</v>
      </c>
      <c r="M205" s="35">
        <f t="shared" si="49"/>
        <v>0</v>
      </c>
      <c r="N205" s="35">
        <f t="shared" si="49"/>
        <v>0</v>
      </c>
      <c r="O205" s="35">
        <f t="shared" si="49"/>
        <v>0</v>
      </c>
      <c r="P205" s="35">
        <f t="shared" si="49"/>
        <v>0</v>
      </c>
      <c r="Q205" s="35">
        <f t="shared" si="49"/>
        <v>0</v>
      </c>
      <c r="R205" s="35">
        <f t="shared" si="49"/>
        <v>0</v>
      </c>
      <c r="S205" s="35">
        <f t="shared" si="49"/>
        <v>0</v>
      </c>
      <c r="T205" s="35">
        <f t="shared" si="49"/>
        <v>0</v>
      </c>
      <c r="U205" s="35">
        <f t="shared" si="49"/>
        <v>0</v>
      </c>
      <c r="V205" s="35">
        <f t="shared" si="49"/>
        <v>0</v>
      </c>
      <c r="W205" s="35">
        <f t="shared" si="49"/>
        <v>0</v>
      </c>
      <c r="X205" s="35">
        <f t="shared" si="49"/>
        <v>0</v>
      </c>
      <c r="Y205" s="35">
        <f t="shared" si="49"/>
        <v>0</v>
      </c>
      <c r="Z205" s="35">
        <f t="shared" si="49"/>
        <v>0</v>
      </c>
      <c r="AA205" s="35">
        <f t="shared" si="49"/>
        <v>0</v>
      </c>
      <c r="AB205" s="35">
        <f t="shared" si="49"/>
        <v>0</v>
      </c>
      <c r="AC205" s="35">
        <f t="shared" si="49"/>
        <v>0</v>
      </c>
      <c r="AD205" s="35">
        <f t="shared" si="49"/>
        <v>0</v>
      </c>
      <c r="AE205" s="35">
        <f t="shared" si="49"/>
        <v>0</v>
      </c>
      <c r="AF205" s="35">
        <f t="shared" si="49"/>
        <v>0</v>
      </c>
      <c r="AG205" s="35">
        <f t="shared" si="49"/>
        <v>0</v>
      </c>
      <c r="AH205" s="35">
        <f t="shared" si="49"/>
        <v>0</v>
      </c>
      <c r="AI205" s="35">
        <f>SUM(AI200:AI203)</f>
        <v>0</v>
      </c>
      <c r="AJ205" s="35">
        <f>SUM(AJ200:AJ203)</f>
        <v>0</v>
      </c>
    </row>
    <row r="206" spans="7:36" ht="15" hidden="1" customHeight="1" x14ac:dyDescent="0.2">
      <c r="G206" s="17" t="s">
        <v>435</v>
      </c>
      <c r="H206" s="17"/>
      <c r="I206" s="13"/>
      <c r="J206" s="13"/>
      <c r="K206" s="35">
        <f>K205</f>
        <v>0</v>
      </c>
      <c r="L206" s="35">
        <f t="shared" ref="L206:AI206" si="50">K206+L205</f>
        <v>0</v>
      </c>
      <c r="M206" s="35">
        <f t="shared" si="50"/>
        <v>0</v>
      </c>
      <c r="N206" s="35">
        <f t="shared" si="50"/>
        <v>0</v>
      </c>
      <c r="O206" s="35">
        <f t="shared" si="50"/>
        <v>0</v>
      </c>
      <c r="P206" s="35">
        <f t="shared" si="50"/>
        <v>0</v>
      </c>
      <c r="Q206" s="35">
        <f t="shared" si="50"/>
        <v>0</v>
      </c>
      <c r="R206" s="35">
        <f t="shared" si="50"/>
        <v>0</v>
      </c>
      <c r="S206" s="35">
        <f t="shared" si="50"/>
        <v>0</v>
      </c>
      <c r="T206" s="35">
        <f t="shared" si="50"/>
        <v>0</v>
      </c>
      <c r="U206" s="35">
        <f t="shared" si="50"/>
        <v>0</v>
      </c>
      <c r="V206" s="35">
        <f t="shared" si="50"/>
        <v>0</v>
      </c>
      <c r="W206" s="35">
        <f t="shared" si="50"/>
        <v>0</v>
      </c>
      <c r="X206" s="35">
        <f t="shared" si="50"/>
        <v>0</v>
      </c>
      <c r="Y206" s="35">
        <f t="shared" si="50"/>
        <v>0</v>
      </c>
      <c r="Z206" s="35">
        <f t="shared" si="50"/>
        <v>0</v>
      </c>
      <c r="AA206" s="35">
        <f t="shared" si="50"/>
        <v>0</v>
      </c>
      <c r="AB206" s="35">
        <f t="shared" si="50"/>
        <v>0</v>
      </c>
      <c r="AC206" s="35">
        <f t="shared" si="50"/>
        <v>0</v>
      </c>
      <c r="AD206" s="35">
        <f t="shared" si="50"/>
        <v>0</v>
      </c>
      <c r="AE206" s="35">
        <f t="shared" si="50"/>
        <v>0</v>
      </c>
      <c r="AF206" s="35">
        <f t="shared" si="50"/>
        <v>0</v>
      </c>
      <c r="AG206" s="35">
        <f t="shared" si="50"/>
        <v>0</v>
      </c>
      <c r="AH206" s="35">
        <f t="shared" si="50"/>
        <v>0</v>
      </c>
      <c r="AI206" s="35">
        <f t="shared" si="50"/>
        <v>0</v>
      </c>
      <c r="AJ206" s="35">
        <f>AI206+AJ205</f>
        <v>0</v>
      </c>
    </row>
    <row r="207" spans="7:36" ht="15" hidden="1" customHeight="1" x14ac:dyDescent="0.2">
      <c r="G207" s="17"/>
      <c r="H207" s="17"/>
      <c r="I207" s="13"/>
      <c r="J207" s="13"/>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row>
    <row r="208" spans="7:36" ht="15" hidden="1" customHeight="1" x14ac:dyDescent="0.2">
      <c r="G208" s="17" t="s">
        <v>17</v>
      </c>
      <c r="H208" s="17"/>
      <c r="I208" s="13"/>
      <c r="J208" s="13"/>
      <c r="K208" s="35">
        <f>K205/(((Data!$P$186/100)+1)^K$70)</f>
        <v>0</v>
      </c>
      <c r="L208" s="35">
        <f>L205/(((Data!$P$186/100)+1)^L$70)</f>
        <v>0</v>
      </c>
      <c r="M208" s="35">
        <f>M205/(((Data!$P$186/100)+1)^M$70)</f>
        <v>0</v>
      </c>
      <c r="N208" s="35">
        <f>N205/(((Data!$P$186/100)+1)^N$70)</f>
        <v>0</v>
      </c>
      <c r="O208" s="35">
        <f>O205/(((Data!$P$186/100)+1)^O$70)</f>
        <v>0</v>
      </c>
      <c r="P208" s="35">
        <f>P205/(((Data!$P$186/100)+1)^P$70)</f>
        <v>0</v>
      </c>
      <c r="Q208" s="35">
        <f>Q205/(((Data!$P$186/100)+1)^Q$70)</f>
        <v>0</v>
      </c>
      <c r="R208" s="35">
        <f>R205/(((Data!$P$186/100)+1)^R$70)</f>
        <v>0</v>
      </c>
      <c r="S208" s="35">
        <f>S205/(((Data!$P$186/100)+1)^S$70)</f>
        <v>0</v>
      </c>
      <c r="T208" s="35">
        <f>T205/(((Data!$P$186/100)+1)^T$70)</f>
        <v>0</v>
      </c>
      <c r="U208" s="35">
        <f>U205/(((Data!$P$186/100)+1)^U$70)</f>
        <v>0</v>
      </c>
      <c r="V208" s="35">
        <f>V205/(((Data!$P$186/100)+1)^V$70)</f>
        <v>0</v>
      </c>
      <c r="W208" s="35">
        <f>W205/(((Data!$P$186/100)+1)^W$70)</f>
        <v>0</v>
      </c>
      <c r="X208" s="35">
        <f>X205/(((Data!$P$186/100)+1)^X$70)</f>
        <v>0</v>
      </c>
      <c r="Y208" s="35">
        <f>Y205/(((Data!$P$186/100)+1)^Y$70)</f>
        <v>0</v>
      </c>
      <c r="Z208" s="35">
        <f>Z205/(((Data!$P$186/100)+1)^Z$70)</f>
        <v>0</v>
      </c>
      <c r="AA208" s="35">
        <f>AA205/(((Data!$P$186/100)+1)^AA$70)</f>
        <v>0</v>
      </c>
      <c r="AB208" s="35">
        <f>AB205/(((Data!$P$186/100)+1)^AB$70)</f>
        <v>0</v>
      </c>
      <c r="AC208" s="35">
        <f>AC205/(((Data!$P$186/100)+1)^AC$70)</f>
        <v>0</v>
      </c>
      <c r="AD208" s="35">
        <f>AD205/(((Data!$P$186/100)+1)^AD$70)</f>
        <v>0</v>
      </c>
      <c r="AE208" s="35">
        <f>AE205/(((Data!$P$186/100)+1)^AE$70)</f>
        <v>0</v>
      </c>
      <c r="AF208" s="35">
        <f>AF205/(((Data!$P$186/100)+1)^AF$70)</f>
        <v>0</v>
      </c>
      <c r="AG208" s="35">
        <f>AG205/(((Data!$P$186/100)+1)^AG$70)</f>
        <v>0</v>
      </c>
      <c r="AH208" s="35">
        <f>AH205/(((Data!$P$186/100)+1)^AH$70)</f>
        <v>0</v>
      </c>
      <c r="AI208" s="35">
        <f>AI205/(((Data!$P$186/100)+1)^AI$70)</f>
        <v>0</v>
      </c>
      <c r="AJ208" s="35">
        <f>AJ205/(((Data!$P$186/100)+1)^AJ$70)</f>
        <v>0</v>
      </c>
    </row>
    <row r="209" spans="7:36" ht="15" hidden="1" customHeight="1" x14ac:dyDescent="0.2">
      <c r="G209" s="15" t="s">
        <v>184</v>
      </c>
      <c r="H209" s="15"/>
      <c r="I209" s="13"/>
      <c r="J209" s="13"/>
      <c r="K209" s="36">
        <f>K208</f>
        <v>0</v>
      </c>
      <c r="L209" s="36">
        <f t="shared" ref="L209:AJ209" si="51">K209+L208</f>
        <v>0</v>
      </c>
      <c r="M209" s="36">
        <f t="shared" si="51"/>
        <v>0</v>
      </c>
      <c r="N209" s="36">
        <f t="shared" si="51"/>
        <v>0</v>
      </c>
      <c r="O209" s="36">
        <f t="shared" si="51"/>
        <v>0</v>
      </c>
      <c r="P209" s="36">
        <f t="shared" si="51"/>
        <v>0</v>
      </c>
      <c r="Q209" s="36">
        <f t="shared" si="51"/>
        <v>0</v>
      </c>
      <c r="R209" s="36">
        <f t="shared" si="51"/>
        <v>0</v>
      </c>
      <c r="S209" s="36">
        <f t="shared" si="51"/>
        <v>0</v>
      </c>
      <c r="T209" s="36">
        <f t="shared" si="51"/>
        <v>0</v>
      </c>
      <c r="U209" s="36">
        <f t="shared" si="51"/>
        <v>0</v>
      </c>
      <c r="V209" s="36">
        <f t="shared" si="51"/>
        <v>0</v>
      </c>
      <c r="W209" s="36">
        <f t="shared" si="51"/>
        <v>0</v>
      </c>
      <c r="X209" s="36">
        <f t="shared" si="51"/>
        <v>0</v>
      </c>
      <c r="Y209" s="36">
        <f t="shared" si="51"/>
        <v>0</v>
      </c>
      <c r="Z209" s="36">
        <f t="shared" si="51"/>
        <v>0</v>
      </c>
      <c r="AA209" s="36">
        <f t="shared" si="51"/>
        <v>0</v>
      </c>
      <c r="AB209" s="36">
        <f t="shared" si="51"/>
        <v>0</v>
      </c>
      <c r="AC209" s="36">
        <f t="shared" si="51"/>
        <v>0</v>
      </c>
      <c r="AD209" s="36">
        <f t="shared" si="51"/>
        <v>0</v>
      </c>
      <c r="AE209" s="36">
        <f t="shared" si="51"/>
        <v>0</v>
      </c>
      <c r="AF209" s="36">
        <f t="shared" si="51"/>
        <v>0</v>
      </c>
      <c r="AG209" s="36">
        <f t="shared" si="51"/>
        <v>0</v>
      </c>
      <c r="AH209" s="36">
        <f t="shared" si="51"/>
        <v>0</v>
      </c>
      <c r="AI209" s="36">
        <f>AH209+AI208</f>
        <v>0</v>
      </c>
      <c r="AJ209" s="36">
        <f t="shared" si="51"/>
        <v>0</v>
      </c>
    </row>
    <row r="210" spans="7:36" ht="15" hidden="1" customHeight="1" x14ac:dyDescent="0.2">
      <c r="G210" s="8"/>
      <c r="H210" s="8"/>
      <c r="I210" s="8"/>
      <c r="J210" s="8"/>
      <c r="K210" s="8"/>
      <c r="L210" s="8"/>
      <c r="M210" s="8"/>
      <c r="N210" s="8"/>
      <c r="O210" s="8"/>
      <c r="P210" s="8"/>
      <c r="Q210" s="8"/>
      <c r="R210" s="8"/>
      <c r="S210" s="8"/>
      <c r="T210" s="9"/>
      <c r="U210" s="8"/>
      <c r="V210" s="8"/>
      <c r="W210" s="8"/>
      <c r="X210" s="8"/>
      <c r="Y210" s="8"/>
      <c r="Z210" s="8"/>
      <c r="AA210" s="8"/>
      <c r="AB210" s="8"/>
      <c r="AC210" s="8"/>
      <c r="AD210" s="8"/>
      <c r="AE210" s="8"/>
      <c r="AF210" s="8"/>
      <c r="AG210" s="8"/>
      <c r="AH210" s="8"/>
      <c r="AI210" s="8"/>
      <c r="AJ210" s="8"/>
    </row>
    <row r="211" spans="7:36" ht="15" hidden="1" customHeight="1" x14ac:dyDescent="0.2">
      <c r="G211" s="906" t="s">
        <v>513</v>
      </c>
      <c r="H211" s="839"/>
      <c r="I211" s="839"/>
      <c r="J211" s="839"/>
      <c r="K211" s="917"/>
      <c r="L211" s="917"/>
      <c r="M211" s="917"/>
      <c r="N211" s="917"/>
      <c r="O211" s="917"/>
      <c r="P211" s="917"/>
      <c r="Q211" s="917"/>
      <c r="R211" s="917"/>
      <c r="S211" s="917"/>
      <c r="T211" s="917"/>
      <c r="U211" s="917"/>
      <c r="V211" s="917"/>
      <c r="W211" s="917"/>
      <c r="X211" s="917"/>
      <c r="Y211" s="917"/>
      <c r="Z211" s="917"/>
      <c r="AA211" s="917"/>
      <c r="AB211" s="917"/>
      <c r="AC211" s="917"/>
      <c r="AD211" s="917"/>
      <c r="AE211" s="917"/>
      <c r="AF211" s="917"/>
      <c r="AG211" s="917"/>
      <c r="AH211" s="917"/>
      <c r="AI211" s="917"/>
      <c r="AJ211" s="917"/>
    </row>
    <row r="212" spans="7:36" ht="15" hidden="1" customHeight="1" x14ac:dyDescent="0.2">
      <c r="G212" s="839"/>
      <c r="H212" s="839"/>
      <c r="I212" s="839"/>
      <c r="J212" s="839"/>
      <c r="K212" s="917"/>
      <c r="L212" s="917"/>
      <c r="M212" s="917"/>
      <c r="N212" s="917"/>
      <c r="O212" s="917"/>
      <c r="P212" s="917"/>
      <c r="Q212" s="917"/>
      <c r="R212" s="917"/>
      <c r="S212" s="917"/>
      <c r="T212" s="917"/>
      <c r="U212" s="917"/>
      <c r="V212" s="917"/>
      <c r="W212" s="917"/>
      <c r="X212" s="917"/>
      <c r="Y212" s="917"/>
      <c r="Z212" s="917"/>
      <c r="AA212" s="917"/>
      <c r="AB212" s="917"/>
      <c r="AC212" s="917"/>
      <c r="AD212" s="917"/>
      <c r="AE212" s="917"/>
      <c r="AF212" s="917"/>
      <c r="AG212" s="917"/>
      <c r="AH212" s="917"/>
      <c r="AI212" s="917"/>
      <c r="AJ212" s="917"/>
    </row>
    <row r="213" spans="7:36" ht="15" hidden="1" customHeight="1" x14ac:dyDescent="0.2">
      <c r="G213" s="839" t="s">
        <v>2</v>
      </c>
      <c r="H213" s="864"/>
      <c r="I213" s="864"/>
      <c r="J213" s="864"/>
      <c r="K213" s="925">
        <f>IF(K$70&lt;$AC$42,VLOOKUP($I$14,$G$75:$AJ$79,K$70+5,FALSE),VLOOKUP($AA$14,$G$75:$AJ$79,K$70+5,FALSE))</f>
        <v>0.17072999999999999</v>
      </c>
      <c r="L213" s="925">
        <f t="shared" ref="L213:AJ213" si="52">IF(L$70&lt;$AC$42,VLOOKUP($I$14,$G$75:$AJ$79,L$70+5,FALSE),VLOOKUP($AA$14,$G$75:$AJ$79,L$70+5,FALSE))</f>
        <v>0.17072999999999999</v>
      </c>
      <c r="M213" s="925">
        <f t="shared" si="52"/>
        <v>0.17072999999999999</v>
      </c>
      <c r="N213" s="925">
        <f t="shared" si="52"/>
        <v>0.17072999999999999</v>
      </c>
      <c r="O213" s="925">
        <f t="shared" si="52"/>
        <v>0.17072999999999999</v>
      </c>
      <c r="P213" s="925">
        <f t="shared" si="52"/>
        <v>0.17072999999999999</v>
      </c>
      <c r="Q213" s="925">
        <f t="shared" si="52"/>
        <v>0.17072999999999999</v>
      </c>
      <c r="R213" s="925">
        <f t="shared" si="52"/>
        <v>0.17072999999999999</v>
      </c>
      <c r="S213" s="925">
        <f t="shared" si="52"/>
        <v>0.17072999999999999</v>
      </c>
      <c r="T213" s="925">
        <f t="shared" si="52"/>
        <v>0.17072999999999999</v>
      </c>
      <c r="U213" s="925">
        <f t="shared" si="52"/>
        <v>0.17072999999999999</v>
      </c>
      <c r="V213" s="925">
        <f t="shared" si="52"/>
        <v>0.17072999999999999</v>
      </c>
      <c r="W213" s="925">
        <f t="shared" si="52"/>
        <v>0.17072999999999999</v>
      </c>
      <c r="X213" s="925">
        <f t="shared" si="52"/>
        <v>0.17072999999999999</v>
      </c>
      <c r="Y213" s="925">
        <f t="shared" si="52"/>
        <v>0.17072999999999999</v>
      </c>
      <c r="Z213" s="925">
        <f t="shared" si="52"/>
        <v>0.17072999999999999</v>
      </c>
      <c r="AA213" s="925">
        <f t="shared" si="52"/>
        <v>0.17072999999999999</v>
      </c>
      <c r="AB213" s="925">
        <f t="shared" si="52"/>
        <v>0.17072999999999999</v>
      </c>
      <c r="AC213" s="925">
        <f t="shared" si="52"/>
        <v>0.17072999999999999</v>
      </c>
      <c r="AD213" s="925">
        <f t="shared" si="52"/>
        <v>0.17072999999999999</v>
      </c>
      <c r="AE213" s="925">
        <f t="shared" si="52"/>
        <v>0.17072999999999999</v>
      </c>
      <c r="AF213" s="925">
        <f t="shared" si="52"/>
        <v>0.17072999999999999</v>
      </c>
      <c r="AG213" s="925">
        <f t="shared" si="52"/>
        <v>0.17072999999999999</v>
      </c>
      <c r="AH213" s="925">
        <f t="shared" si="52"/>
        <v>0.17072999999999999</v>
      </c>
      <c r="AI213" s="925">
        <f t="shared" si="52"/>
        <v>0.17072999999999999</v>
      </c>
      <c r="AJ213" s="925">
        <f t="shared" si="52"/>
        <v>0.17072999999999999</v>
      </c>
    </row>
    <row r="214" spans="7:36" ht="15" hidden="1" customHeight="1" x14ac:dyDescent="0.2">
      <c r="G214" s="839" t="s">
        <v>1</v>
      </c>
      <c r="H214" s="864"/>
      <c r="I214" s="864"/>
      <c r="J214" s="864"/>
      <c r="K214" s="925">
        <f>IF(K$70&lt;$AC$42,VLOOKUP($I$14,$G$81:$AJ$85,K$70+5,FALSE),VLOOKUP($AA$14,$G$81:$AJ$85,K$70+5,FALSE))</f>
        <v>0.09</v>
      </c>
      <c r="L214" s="925">
        <f t="shared" ref="L214:AJ214" si="53">IF(L$70&lt;$AC$42,VLOOKUP($I$14,$G$81:$AJ$85,L$70+5,FALSE),VLOOKUP($AA$14,$G$81:$AJ$85,L$70+5,FALSE))</f>
        <v>9.5399999999999999E-2</v>
      </c>
      <c r="M214" s="925">
        <f t="shared" si="53"/>
        <v>0.10112400000000001</v>
      </c>
      <c r="N214" s="925">
        <f t="shared" si="53"/>
        <v>0.10719144000000001</v>
      </c>
      <c r="O214" s="925">
        <f t="shared" si="53"/>
        <v>0.11362292640000002</v>
      </c>
      <c r="P214" s="925">
        <f t="shared" si="53"/>
        <v>0.12044030198400002</v>
      </c>
      <c r="Q214" s="925">
        <f t="shared" si="53"/>
        <v>0.12766672010304003</v>
      </c>
      <c r="R214" s="925">
        <f t="shared" si="53"/>
        <v>0.13532672330922244</v>
      </c>
      <c r="S214" s="925">
        <f t="shared" si="53"/>
        <v>0.1434463267077758</v>
      </c>
      <c r="T214" s="925">
        <f t="shared" si="53"/>
        <v>0.15205310631024235</v>
      </c>
      <c r="U214" s="925">
        <f t="shared" si="53"/>
        <v>0.16117629268885691</v>
      </c>
      <c r="V214" s="925">
        <f t="shared" si="53"/>
        <v>0.17084687025018833</v>
      </c>
      <c r="W214" s="925">
        <f t="shared" si="53"/>
        <v>0.18109768246519964</v>
      </c>
      <c r="X214" s="925">
        <f t="shared" si="53"/>
        <v>0.19196354341311161</v>
      </c>
      <c r="Y214" s="925">
        <f t="shared" si="53"/>
        <v>0.20348135601789832</v>
      </c>
      <c r="Z214" s="925">
        <f t="shared" si="53"/>
        <v>0.21569023737897222</v>
      </c>
      <c r="AA214" s="925">
        <f t="shared" si="53"/>
        <v>0.22863165162171056</v>
      </c>
      <c r="AB214" s="925">
        <f t="shared" si="53"/>
        <v>0.24234955071901321</v>
      </c>
      <c r="AC214" s="925">
        <f t="shared" si="53"/>
        <v>0.25689052376215399</v>
      </c>
      <c r="AD214" s="925">
        <f t="shared" si="53"/>
        <v>0.27230395518788325</v>
      </c>
      <c r="AE214" s="925">
        <f t="shared" si="53"/>
        <v>0.28864219249915624</v>
      </c>
      <c r="AF214" s="925">
        <f t="shared" si="53"/>
        <v>0.30596072404910563</v>
      </c>
      <c r="AG214" s="925">
        <f t="shared" si="53"/>
        <v>0.32431836749205201</v>
      </c>
      <c r="AH214" s="925">
        <f t="shared" si="53"/>
        <v>0.34377746954157512</v>
      </c>
      <c r="AI214" s="925">
        <f t="shared" si="53"/>
        <v>0.36440411771406966</v>
      </c>
      <c r="AJ214" s="925">
        <f t="shared" si="53"/>
        <v>0.38626836477691384</v>
      </c>
    </row>
    <row r="215" spans="7:36" ht="15" hidden="1" customHeight="1" x14ac:dyDescent="0.2">
      <c r="G215" s="864"/>
      <c r="H215" s="864"/>
      <c r="I215" s="864"/>
      <c r="J215" s="864"/>
      <c r="K215" s="864"/>
      <c r="L215" s="864"/>
      <c r="M215" s="864"/>
      <c r="N215" s="864"/>
      <c r="O215" s="864"/>
      <c r="P215" s="864"/>
      <c r="Q215" s="864"/>
      <c r="R215" s="864"/>
      <c r="S215" s="864"/>
      <c r="T215" s="864"/>
      <c r="U215" s="864"/>
      <c r="V215" s="864"/>
      <c r="W215" s="864"/>
      <c r="X215" s="864"/>
      <c r="Y215" s="864"/>
      <c r="Z215" s="864"/>
      <c r="AA215" s="864"/>
      <c r="AB215" s="864"/>
      <c r="AC215" s="864"/>
      <c r="AD215" s="864"/>
      <c r="AE215" s="864"/>
      <c r="AF215" s="864"/>
      <c r="AG215" s="864"/>
      <c r="AH215" s="864"/>
      <c r="AI215" s="864"/>
      <c r="AJ215" s="864"/>
    </row>
    <row r="216" spans="7:36" ht="15" hidden="1" customHeight="1" x14ac:dyDescent="0.2">
      <c r="G216" s="839" t="s">
        <v>4</v>
      </c>
      <c r="H216" s="839"/>
      <c r="I216" s="839"/>
      <c r="J216" s="839"/>
      <c r="K216" s="920"/>
      <c r="L216" s="920"/>
      <c r="M216" s="920"/>
      <c r="N216" s="920"/>
      <c r="O216" s="920"/>
      <c r="P216" s="920"/>
      <c r="Q216" s="920"/>
      <c r="R216" s="920"/>
      <c r="S216" s="920"/>
      <c r="T216" s="920"/>
      <c r="U216" s="920"/>
      <c r="V216" s="920"/>
      <c r="W216" s="920"/>
      <c r="X216" s="920"/>
      <c r="Y216" s="920"/>
      <c r="Z216" s="920"/>
      <c r="AA216" s="920"/>
      <c r="AB216" s="920"/>
      <c r="AC216" s="920"/>
      <c r="AD216" s="920"/>
      <c r="AE216" s="920"/>
      <c r="AF216" s="920"/>
      <c r="AG216" s="920"/>
      <c r="AH216" s="920"/>
      <c r="AI216" s="920"/>
      <c r="AJ216" s="920"/>
    </row>
    <row r="217" spans="7:36" ht="15" hidden="1" customHeight="1" x14ac:dyDescent="0.2">
      <c r="G217" s="839" t="s">
        <v>5</v>
      </c>
      <c r="H217" s="839"/>
      <c r="I217" s="839"/>
      <c r="J217" s="839"/>
      <c r="K217" s="920"/>
      <c r="L217" s="920"/>
      <c r="M217" s="920"/>
      <c r="N217" s="920"/>
      <c r="O217" s="920"/>
      <c r="P217" s="920"/>
      <c r="Q217" s="920"/>
      <c r="R217" s="920"/>
      <c r="S217" s="920"/>
      <c r="T217" s="920"/>
      <c r="U217" s="920"/>
      <c r="V217" s="920"/>
      <c r="W217" s="920"/>
      <c r="X217" s="920"/>
      <c r="Y217" s="920"/>
      <c r="Z217" s="920"/>
      <c r="AA217" s="920"/>
      <c r="AB217" s="920"/>
      <c r="AC217" s="920"/>
      <c r="AD217" s="920"/>
      <c r="AE217" s="920"/>
      <c r="AF217" s="920"/>
      <c r="AG217" s="920"/>
      <c r="AH217" s="920"/>
      <c r="AI217" s="920"/>
      <c r="AJ217" s="920"/>
    </row>
    <row r="218" spans="7:36" ht="15" hidden="1" customHeight="1" x14ac:dyDescent="0.2">
      <c r="G218" s="839" t="s">
        <v>6</v>
      </c>
      <c r="H218" s="839"/>
      <c r="I218" s="839"/>
      <c r="J218" s="839"/>
      <c r="K218" s="917">
        <f>IF(K$70&lt;$AC$42,$J$11,$AB$11)</f>
        <v>0</v>
      </c>
      <c r="L218" s="917">
        <f t="shared" ref="L218:AJ218" si="54">IF(L$70&lt;$AC$42,$J$11,$AB$11)</f>
        <v>0</v>
      </c>
      <c r="M218" s="917">
        <f t="shared" si="54"/>
        <v>0</v>
      </c>
      <c r="N218" s="917">
        <f t="shared" si="54"/>
        <v>0</v>
      </c>
      <c r="O218" s="917">
        <f t="shared" si="54"/>
        <v>0</v>
      </c>
      <c r="P218" s="917">
        <f t="shared" si="54"/>
        <v>0</v>
      </c>
      <c r="Q218" s="917">
        <f t="shared" si="54"/>
        <v>0</v>
      </c>
      <c r="R218" s="917">
        <f t="shared" si="54"/>
        <v>0</v>
      </c>
      <c r="S218" s="917">
        <f t="shared" si="54"/>
        <v>0</v>
      </c>
      <c r="T218" s="917">
        <f t="shared" si="54"/>
        <v>0</v>
      </c>
      <c r="U218" s="917">
        <f t="shared" si="54"/>
        <v>0</v>
      </c>
      <c r="V218" s="917">
        <f t="shared" si="54"/>
        <v>0</v>
      </c>
      <c r="W218" s="917">
        <f t="shared" si="54"/>
        <v>0</v>
      </c>
      <c r="X218" s="917">
        <f t="shared" si="54"/>
        <v>0</v>
      </c>
      <c r="Y218" s="917">
        <f t="shared" si="54"/>
        <v>0</v>
      </c>
      <c r="Z218" s="917">
        <f t="shared" si="54"/>
        <v>0</v>
      </c>
      <c r="AA218" s="917">
        <f t="shared" si="54"/>
        <v>0</v>
      </c>
      <c r="AB218" s="917">
        <f t="shared" si="54"/>
        <v>0</v>
      </c>
      <c r="AC218" s="917">
        <f t="shared" si="54"/>
        <v>0</v>
      </c>
      <c r="AD218" s="917">
        <f t="shared" si="54"/>
        <v>0</v>
      </c>
      <c r="AE218" s="917">
        <f t="shared" si="54"/>
        <v>0</v>
      </c>
      <c r="AF218" s="917">
        <f t="shared" si="54"/>
        <v>0</v>
      </c>
      <c r="AG218" s="917">
        <f t="shared" si="54"/>
        <v>0</v>
      </c>
      <c r="AH218" s="917">
        <f t="shared" si="54"/>
        <v>0</v>
      </c>
      <c r="AI218" s="917">
        <f t="shared" si="54"/>
        <v>0</v>
      </c>
      <c r="AJ218" s="917">
        <f t="shared" si="54"/>
        <v>0</v>
      </c>
    </row>
    <row r="219" spans="7:36" ht="15" hidden="1" customHeight="1" x14ac:dyDescent="0.2">
      <c r="G219" s="839"/>
      <c r="H219" s="839"/>
      <c r="I219" s="839"/>
      <c r="J219" s="839"/>
      <c r="K219" s="917"/>
      <c r="L219" s="917"/>
      <c r="M219" s="917"/>
      <c r="N219" s="917"/>
      <c r="O219" s="917"/>
      <c r="P219" s="917"/>
      <c r="Q219" s="917"/>
      <c r="R219" s="917"/>
      <c r="S219" s="917"/>
      <c r="T219" s="917"/>
      <c r="U219" s="917"/>
      <c r="V219" s="917"/>
      <c r="W219" s="917"/>
      <c r="X219" s="917"/>
      <c r="Y219" s="917"/>
      <c r="Z219" s="917"/>
      <c r="AA219" s="917"/>
      <c r="AB219" s="917"/>
      <c r="AC219" s="917"/>
      <c r="AD219" s="917"/>
      <c r="AE219" s="917"/>
      <c r="AF219" s="917"/>
      <c r="AG219" s="917"/>
      <c r="AH219" s="917"/>
      <c r="AI219" s="917"/>
      <c r="AJ219" s="917"/>
    </row>
    <row r="220" spans="7:36" ht="15" hidden="1" customHeight="1" x14ac:dyDescent="0.2">
      <c r="G220" s="839" t="s">
        <v>7</v>
      </c>
      <c r="H220" s="839"/>
      <c r="I220" s="839"/>
      <c r="J220" s="839"/>
      <c r="K220" s="920"/>
      <c r="L220" s="920"/>
      <c r="M220" s="920"/>
      <c r="N220" s="920"/>
      <c r="O220" s="920"/>
      <c r="P220" s="920"/>
      <c r="Q220" s="920"/>
      <c r="R220" s="920"/>
      <c r="S220" s="920"/>
      <c r="T220" s="920"/>
      <c r="U220" s="920"/>
      <c r="V220" s="920"/>
      <c r="W220" s="920"/>
      <c r="X220" s="920"/>
      <c r="Y220" s="920"/>
      <c r="Z220" s="920"/>
      <c r="AA220" s="920"/>
      <c r="AB220" s="920"/>
      <c r="AC220" s="920"/>
      <c r="AD220" s="920"/>
      <c r="AE220" s="920"/>
      <c r="AF220" s="920"/>
      <c r="AG220" s="920"/>
      <c r="AH220" s="920"/>
      <c r="AI220" s="920"/>
      <c r="AJ220" s="920"/>
    </row>
    <row r="221" spans="7:36" ht="15" hidden="1" customHeight="1" x14ac:dyDescent="0.2">
      <c r="G221" s="839" t="s">
        <v>8</v>
      </c>
      <c r="H221" s="839"/>
      <c r="I221" s="839"/>
      <c r="J221" s="839"/>
      <c r="K221" s="920"/>
      <c r="L221" s="920"/>
      <c r="M221" s="920"/>
      <c r="N221" s="920"/>
      <c r="O221" s="920"/>
      <c r="P221" s="920"/>
      <c r="Q221" s="920"/>
      <c r="R221" s="920"/>
      <c r="S221" s="920"/>
      <c r="T221" s="920"/>
      <c r="U221" s="920"/>
      <c r="V221" s="920"/>
      <c r="W221" s="920"/>
      <c r="X221" s="920"/>
      <c r="Y221" s="920"/>
      <c r="Z221" s="920"/>
      <c r="AA221" s="920"/>
      <c r="AB221" s="920"/>
      <c r="AC221" s="920"/>
      <c r="AD221" s="920"/>
      <c r="AE221" s="920"/>
      <c r="AF221" s="920"/>
      <c r="AG221" s="920"/>
      <c r="AH221" s="920"/>
      <c r="AI221" s="920"/>
      <c r="AJ221" s="920"/>
    </row>
    <row r="222" spans="7:36" ht="15" hidden="1" customHeight="1" x14ac:dyDescent="0.2">
      <c r="G222" s="839" t="s">
        <v>9</v>
      </c>
      <c r="H222" s="839"/>
      <c r="I222" s="839"/>
      <c r="J222" s="839"/>
      <c r="K222" s="917">
        <f>K213*K218</f>
        <v>0</v>
      </c>
      <c r="L222" s="917">
        <f t="shared" ref="L222:AI222" si="55">L213*L218</f>
        <v>0</v>
      </c>
      <c r="M222" s="917">
        <f t="shared" si="55"/>
        <v>0</v>
      </c>
      <c r="N222" s="917">
        <f t="shared" si="55"/>
        <v>0</v>
      </c>
      <c r="O222" s="917">
        <f t="shared" si="55"/>
        <v>0</v>
      </c>
      <c r="P222" s="917">
        <f t="shared" si="55"/>
        <v>0</v>
      </c>
      <c r="Q222" s="917">
        <f t="shared" si="55"/>
        <v>0</v>
      </c>
      <c r="R222" s="917">
        <f t="shared" si="55"/>
        <v>0</v>
      </c>
      <c r="S222" s="917">
        <f t="shared" si="55"/>
        <v>0</v>
      </c>
      <c r="T222" s="917">
        <f t="shared" si="55"/>
        <v>0</v>
      </c>
      <c r="U222" s="917">
        <f t="shared" si="55"/>
        <v>0</v>
      </c>
      <c r="V222" s="917">
        <f t="shared" si="55"/>
        <v>0</v>
      </c>
      <c r="W222" s="917">
        <f t="shared" si="55"/>
        <v>0</v>
      </c>
      <c r="X222" s="917">
        <f t="shared" si="55"/>
        <v>0</v>
      </c>
      <c r="Y222" s="917">
        <f t="shared" si="55"/>
        <v>0</v>
      </c>
      <c r="Z222" s="917">
        <f t="shared" si="55"/>
        <v>0</v>
      </c>
      <c r="AA222" s="917">
        <f t="shared" si="55"/>
        <v>0</v>
      </c>
      <c r="AB222" s="917">
        <f t="shared" si="55"/>
        <v>0</v>
      </c>
      <c r="AC222" s="917">
        <f t="shared" si="55"/>
        <v>0</v>
      </c>
      <c r="AD222" s="917">
        <f t="shared" si="55"/>
        <v>0</v>
      </c>
      <c r="AE222" s="917">
        <f t="shared" si="55"/>
        <v>0</v>
      </c>
      <c r="AF222" s="917">
        <f t="shared" si="55"/>
        <v>0</v>
      </c>
      <c r="AG222" s="917">
        <f t="shared" si="55"/>
        <v>0</v>
      </c>
      <c r="AH222" s="917">
        <f t="shared" si="55"/>
        <v>0</v>
      </c>
      <c r="AI222" s="917">
        <f t="shared" si="55"/>
        <v>0</v>
      </c>
      <c r="AJ222" s="917">
        <f>AJ213*AJ218</f>
        <v>0</v>
      </c>
    </row>
    <row r="223" spans="7:36" ht="15" hidden="1" customHeight="1" x14ac:dyDescent="0.2">
      <c r="G223" s="839"/>
      <c r="H223" s="839"/>
      <c r="I223" s="839"/>
      <c r="J223" s="839"/>
      <c r="K223" s="917"/>
      <c r="L223" s="917"/>
      <c r="M223" s="917"/>
      <c r="N223" s="917"/>
      <c r="O223" s="917"/>
      <c r="P223" s="917"/>
      <c r="Q223" s="917"/>
      <c r="R223" s="917"/>
      <c r="S223" s="917"/>
      <c r="T223" s="917"/>
      <c r="U223" s="917"/>
      <c r="V223" s="917"/>
      <c r="W223" s="917"/>
      <c r="X223" s="917"/>
      <c r="Y223" s="917"/>
      <c r="Z223" s="917"/>
      <c r="AA223" s="917"/>
      <c r="AB223" s="917"/>
      <c r="AC223" s="917"/>
      <c r="AD223" s="917"/>
      <c r="AE223" s="917"/>
      <c r="AF223" s="917"/>
      <c r="AG223" s="917"/>
      <c r="AH223" s="917"/>
      <c r="AI223" s="917"/>
      <c r="AJ223" s="917"/>
    </row>
    <row r="224" spans="7:36" ht="15" hidden="1" customHeight="1" x14ac:dyDescent="0.2">
      <c r="G224" s="839" t="s">
        <v>10</v>
      </c>
      <c r="H224" s="839"/>
      <c r="I224" s="839"/>
      <c r="J224" s="839"/>
      <c r="K224" s="920"/>
      <c r="L224" s="920"/>
      <c r="M224" s="920"/>
      <c r="N224" s="920"/>
      <c r="O224" s="920"/>
      <c r="P224" s="920"/>
      <c r="Q224" s="920"/>
      <c r="R224" s="920"/>
      <c r="S224" s="920"/>
      <c r="T224" s="920"/>
      <c r="U224" s="920"/>
      <c r="V224" s="920"/>
      <c r="W224" s="920"/>
      <c r="X224" s="920"/>
      <c r="Y224" s="920"/>
      <c r="Z224" s="920"/>
      <c r="AA224" s="920"/>
      <c r="AB224" s="920"/>
      <c r="AC224" s="920"/>
      <c r="AD224" s="920"/>
      <c r="AE224" s="920"/>
      <c r="AF224" s="920"/>
      <c r="AG224" s="920"/>
      <c r="AH224" s="920"/>
      <c r="AI224" s="920"/>
      <c r="AJ224" s="920"/>
    </row>
    <row r="225" spans="7:36" ht="15" hidden="1" customHeight="1" x14ac:dyDescent="0.2">
      <c r="G225" s="839" t="s">
        <v>11</v>
      </c>
      <c r="H225" s="839"/>
      <c r="I225" s="839"/>
      <c r="J225" s="839"/>
      <c r="K225" s="920"/>
      <c r="L225" s="920"/>
      <c r="M225" s="920"/>
      <c r="N225" s="920"/>
      <c r="O225" s="920"/>
      <c r="P225" s="920"/>
      <c r="Q225" s="920"/>
      <c r="R225" s="920"/>
      <c r="S225" s="920"/>
      <c r="T225" s="920"/>
      <c r="U225" s="920"/>
      <c r="V225" s="920"/>
      <c r="W225" s="920"/>
      <c r="X225" s="920"/>
      <c r="Y225" s="920"/>
      <c r="Z225" s="920"/>
      <c r="AA225" s="920"/>
      <c r="AB225" s="920"/>
      <c r="AC225" s="920"/>
      <c r="AD225" s="920"/>
      <c r="AE225" s="920"/>
      <c r="AF225" s="920"/>
      <c r="AG225" s="920"/>
      <c r="AH225" s="920"/>
      <c r="AI225" s="920"/>
      <c r="AJ225" s="920"/>
    </row>
    <row r="226" spans="7:36" ht="15" hidden="1" customHeight="1" x14ac:dyDescent="0.2">
      <c r="G226" s="839" t="s">
        <v>12</v>
      </c>
      <c r="H226" s="839"/>
      <c r="I226" s="839"/>
      <c r="J226" s="839"/>
      <c r="K226" s="917">
        <f>K214*K218</f>
        <v>0</v>
      </c>
      <c r="L226" s="917">
        <f t="shared" ref="L226:AI226" si="56">L214*L218</f>
        <v>0</v>
      </c>
      <c r="M226" s="917">
        <f t="shared" si="56"/>
        <v>0</v>
      </c>
      <c r="N226" s="917">
        <f t="shared" si="56"/>
        <v>0</v>
      </c>
      <c r="O226" s="917">
        <f t="shared" si="56"/>
        <v>0</v>
      </c>
      <c r="P226" s="917">
        <f t="shared" si="56"/>
        <v>0</v>
      </c>
      <c r="Q226" s="917">
        <f t="shared" si="56"/>
        <v>0</v>
      </c>
      <c r="R226" s="917">
        <f t="shared" si="56"/>
        <v>0</v>
      </c>
      <c r="S226" s="917">
        <f t="shared" si="56"/>
        <v>0</v>
      </c>
      <c r="T226" s="917">
        <f t="shared" si="56"/>
        <v>0</v>
      </c>
      <c r="U226" s="917">
        <f t="shared" si="56"/>
        <v>0</v>
      </c>
      <c r="V226" s="917">
        <f t="shared" si="56"/>
        <v>0</v>
      </c>
      <c r="W226" s="917">
        <f t="shared" si="56"/>
        <v>0</v>
      </c>
      <c r="X226" s="917">
        <f t="shared" si="56"/>
        <v>0</v>
      </c>
      <c r="Y226" s="917">
        <f t="shared" si="56"/>
        <v>0</v>
      </c>
      <c r="Z226" s="917">
        <f t="shared" si="56"/>
        <v>0</v>
      </c>
      <c r="AA226" s="917">
        <f t="shared" si="56"/>
        <v>0</v>
      </c>
      <c r="AB226" s="917">
        <f t="shared" si="56"/>
        <v>0</v>
      </c>
      <c r="AC226" s="917">
        <f t="shared" si="56"/>
        <v>0</v>
      </c>
      <c r="AD226" s="917">
        <f t="shared" si="56"/>
        <v>0</v>
      </c>
      <c r="AE226" s="917">
        <f t="shared" si="56"/>
        <v>0</v>
      </c>
      <c r="AF226" s="917">
        <f t="shared" si="56"/>
        <v>0</v>
      </c>
      <c r="AG226" s="917">
        <f t="shared" si="56"/>
        <v>0</v>
      </c>
      <c r="AH226" s="917">
        <f t="shared" si="56"/>
        <v>0</v>
      </c>
      <c r="AI226" s="917">
        <f t="shared" si="56"/>
        <v>0</v>
      </c>
      <c r="AJ226" s="917">
        <f>AJ214*AJ218</f>
        <v>0</v>
      </c>
    </row>
    <row r="227" spans="7:36" ht="15" hidden="1" customHeight="1" x14ac:dyDescent="0.2">
      <c r="G227" s="839" t="s">
        <v>13</v>
      </c>
      <c r="H227" s="839"/>
      <c r="I227" s="839"/>
      <c r="J227" s="839"/>
      <c r="K227" s="917">
        <f t="shared" ref="K227:AI227" si="57">K$88*K222</f>
        <v>0</v>
      </c>
      <c r="L227" s="917">
        <f t="shared" si="57"/>
        <v>0</v>
      </c>
      <c r="M227" s="917">
        <f t="shared" si="57"/>
        <v>0</v>
      </c>
      <c r="N227" s="917">
        <f t="shared" si="57"/>
        <v>0</v>
      </c>
      <c r="O227" s="917">
        <f t="shared" si="57"/>
        <v>0</v>
      </c>
      <c r="P227" s="917">
        <f t="shared" si="57"/>
        <v>0</v>
      </c>
      <c r="Q227" s="917">
        <f t="shared" si="57"/>
        <v>0</v>
      </c>
      <c r="R227" s="917">
        <f t="shared" si="57"/>
        <v>0</v>
      </c>
      <c r="S227" s="917">
        <f t="shared" si="57"/>
        <v>0</v>
      </c>
      <c r="T227" s="917">
        <f t="shared" si="57"/>
        <v>0</v>
      </c>
      <c r="U227" s="917">
        <f t="shared" si="57"/>
        <v>0</v>
      </c>
      <c r="V227" s="917">
        <f t="shared" si="57"/>
        <v>0</v>
      </c>
      <c r="W227" s="917">
        <f t="shared" si="57"/>
        <v>0</v>
      </c>
      <c r="X227" s="917">
        <f t="shared" si="57"/>
        <v>0</v>
      </c>
      <c r="Y227" s="917">
        <f t="shared" si="57"/>
        <v>0</v>
      </c>
      <c r="Z227" s="917">
        <f t="shared" si="57"/>
        <v>0</v>
      </c>
      <c r="AA227" s="917">
        <f t="shared" si="57"/>
        <v>0</v>
      </c>
      <c r="AB227" s="917">
        <f t="shared" si="57"/>
        <v>0</v>
      </c>
      <c r="AC227" s="917">
        <f t="shared" si="57"/>
        <v>0</v>
      </c>
      <c r="AD227" s="917">
        <f t="shared" si="57"/>
        <v>0</v>
      </c>
      <c r="AE227" s="917">
        <f t="shared" si="57"/>
        <v>0</v>
      </c>
      <c r="AF227" s="917">
        <f t="shared" si="57"/>
        <v>0</v>
      </c>
      <c r="AG227" s="917">
        <f t="shared" si="57"/>
        <v>0</v>
      </c>
      <c r="AH227" s="917">
        <f t="shared" si="57"/>
        <v>0</v>
      </c>
      <c r="AI227" s="917">
        <f t="shared" si="57"/>
        <v>0</v>
      </c>
      <c r="AJ227" s="917">
        <f>AJ$88*AJ222</f>
        <v>0</v>
      </c>
    </row>
    <row r="228" spans="7:36" ht="15" hidden="1" customHeight="1" x14ac:dyDescent="0.2">
      <c r="G228" s="839"/>
      <c r="H228" s="839"/>
      <c r="I228" s="839"/>
      <c r="J228" s="839"/>
      <c r="K228" s="917"/>
      <c r="L228" s="917"/>
      <c r="M228" s="917"/>
      <c r="N228" s="917"/>
      <c r="O228" s="917"/>
      <c r="P228" s="917"/>
      <c r="Q228" s="917"/>
      <c r="R228" s="917"/>
      <c r="S228" s="917"/>
      <c r="T228" s="917"/>
      <c r="U228" s="917"/>
      <c r="V228" s="917"/>
      <c r="W228" s="917"/>
      <c r="X228" s="917"/>
      <c r="Y228" s="917"/>
      <c r="Z228" s="917"/>
      <c r="AA228" s="917"/>
      <c r="AB228" s="917"/>
      <c r="AC228" s="917"/>
      <c r="AD228" s="917"/>
      <c r="AE228" s="917"/>
      <c r="AF228" s="917"/>
      <c r="AG228" s="917"/>
      <c r="AH228" s="917"/>
      <c r="AI228" s="917"/>
      <c r="AJ228" s="917"/>
    </row>
    <row r="229" spans="7:36" ht="15" hidden="1" customHeight="1" x14ac:dyDescent="0.2">
      <c r="G229" s="839" t="s">
        <v>14</v>
      </c>
      <c r="H229" s="839"/>
      <c r="I229" s="839"/>
      <c r="J229" s="839"/>
      <c r="K229" s="917">
        <f>SUM(K224:K227)</f>
        <v>0</v>
      </c>
      <c r="L229" s="917">
        <f t="shared" ref="L229:AH229" si="58">SUM(L224:L227)</f>
        <v>0</v>
      </c>
      <c r="M229" s="917">
        <f t="shared" si="58"/>
        <v>0</v>
      </c>
      <c r="N229" s="917">
        <f t="shared" si="58"/>
        <v>0</v>
      </c>
      <c r="O229" s="917">
        <f t="shared" si="58"/>
        <v>0</v>
      </c>
      <c r="P229" s="917">
        <f t="shared" si="58"/>
        <v>0</v>
      </c>
      <c r="Q229" s="917">
        <f t="shared" si="58"/>
        <v>0</v>
      </c>
      <c r="R229" s="917">
        <f t="shared" si="58"/>
        <v>0</v>
      </c>
      <c r="S229" s="917">
        <f t="shared" si="58"/>
        <v>0</v>
      </c>
      <c r="T229" s="917">
        <f t="shared" si="58"/>
        <v>0</v>
      </c>
      <c r="U229" s="917">
        <f t="shared" si="58"/>
        <v>0</v>
      </c>
      <c r="V229" s="917">
        <f t="shared" si="58"/>
        <v>0</v>
      </c>
      <c r="W229" s="917">
        <f t="shared" si="58"/>
        <v>0</v>
      </c>
      <c r="X229" s="917">
        <f t="shared" si="58"/>
        <v>0</v>
      </c>
      <c r="Y229" s="917">
        <f t="shared" si="58"/>
        <v>0</v>
      </c>
      <c r="Z229" s="917">
        <f t="shared" si="58"/>
        <v>0</v>
      </c>
      <c r="AA229" s="917">
        <f t="shared" si="58"/>
        <v>0</v>
      </c>
      <c r="AB229" s="917">
        <f t="shared" si="58"/>
        <v>0</v>
      </c>
      <c r="AC229" s="917">
        <f t="shared" si="58"/>
        <v>0</v>
      </c>
      <c r="AD229" s="917">
        <f t="shared" si="58"/>
        <v>0</v>
      </c>
      <c r="AE229" s="917">
        <f t="shared" si="58"/>
        <v>0</v>
      </c>
      <c r="AF229" s="917">
        <f t="shared" si="58"/>
        <v>0</v>
      </c>
      <c r="AG229" s="917">
        <f t="shared" si="58"/>
        <v>0</v>
      </c>
      <c r="AH229" s="917">
        <f t="shared" si="58"/>
        <v>0</v>
      </c>
      <c r="AI229" s="917">
        <f>SUM(AI224:AI227)</f>
        <v>0</v>
      </c>
      <c r="AJ229" s="917">
        <f>SUM(AJ224:AJ227)</f>
        <v>0</v>
      </c>
    </row>
    <row r="230" spans="7:36" ht="15" hidden="1" customHeight="1" x14ac:dyDescent="0.2">
      <c r="G230" s="839" t="s">
        <v>435</v>
      </c>
      <c r="H230" s="839"/>
      <c r="I230" s="839"/>
      <c r="J230" s="839"/>
      <c r="K230" s="917">
        <f>K229</f>
        <v>0</v>
      </c>
      <c r="L230" s="917">
        <f t="shared" ref="L230:AI230" si="59">K230+L229</f>
        <v>0</v>
      </c>
      <c r="M230" s="917">
        <f t="shared" si="59"/>
        <v>0</v>
      </c>
      <c r="N230" s="917">
        <f t="shared" si="59"/>
        <v>0</v>
      </c>
      <c r="O230" s="917">
        <f t="shared" si="59"/>
        <v>0</v>
      </c>
      <c r="P230" s="917">
        <f t="shared" si="59"/>
        <v>0</v>
      </c>
      <c r="Q230" s="917">
        <f t="shared" si="59"/>
        <v>0</v>
      </c>
      <c r="R230" s="917">
        <f t="shared" si="59"/>
        <v>0</v>
      </c>
      <c r="S230" s="917">
        <f t="shared" si="59"/>
        <v>0</v>
      </c>
      <c r="T230" s="917">
        <f t="shared" si="59"/>
        <v>0</v>
      </c>
      <c r="U230" s="917">
        <f t="shared" si="59"/>
        <v>0</v>
      </c>
      <c r="V230" s="917">
        <f t="shared" si="59"/>
        <v>0</v>
      </c>
      <c r="W230" s="917">
        <f t="shared" si="59"/>
        <v>0</v>
      </c>
      <c r="X230" s="917">
        <f t="shared" si="59"/>
        <v>0</v>
      </c>
      <c r="Y230" s="917">
        <f t="shared" si="59"/>
        <v>0</v>
      </c>
      <c r="Z230" s="917">
        <f t="shared" si="59"/>
        <v>0</v>
      </c>
      <c r="AA230" s="917">
        <f t="shared" si="59"/>
        <v>0</v>
      </c>
      <c r="AB230" s="917">
        <f t="shared" si="59"/>
        <v>0</v>
      </c>
      <c r="AC230" s="917">
        <f t="shared" si="59"/>
        <v>0</v>
      </c>
      <c r="AD230" s="917">
        <f t="shared" si="59"/>
        <v>0</v>
      </c>
      <c r="AE230" s="917">
        <f t="shared" si="59"/>
        <v>0</v>
      </c>
      <c r="AF230" s="917">
        <f t="shared" si="59"/>
        <v>0</v>
      </c>
      <c r="AG230" s="917">
        <f t="shared" si="59"/>
        <v>0</v>
      </c>
      <c r="AH230" s="917">
        <f t="shared" si="59"/>
        <v>0</v>
      </c>
      <c r="AI230" s="917">
        <f t="shared" si="59"/>
        <v>0</v>
      </c>
      <c r="AJ230" s="917">
        <f>AI230+AJ229</f>
        <v>0</v>
      </c>
    </row>
    <row r="231" spans="7:36" ht="15" hidden="1" customHeight="1" x14ac:dyDescent="0.2">
      <c r="G231" s="839"/>
      <c r="H231" s="839"/>
      <c r="I231" s="839"/>
      <c r="J231" s="839"/>
      <c r="K231" s="839"/>
      <c r="L231" s="839"/>
      <c r="M231" s="839"/>
      <c r="N231" s="839"/>
      <c r="O231" s="839"/>
      <c r="P231" s="839"/>
      <c r="Q231" s="839"/>
      <c r="R231" s="839"/>
      <c r="S231" s="839"/>
      <c r="T231" s="839"/>
      <c r="U231" s="839"/>
      <c r="V231" s="839"/>
      <c r="W231" s="839"/>
      <c r="X231" s="839"/>
      <c r="Y231" s="839"/>
      <c r="Z231" s="839"/>
      <c r="AA231" s="839"/>
      <c r="AB231" s="839"/>
      <c r="AC231" s="839"/>
      <c r="AD231" s="839"/>
      <c r="AE231" s="839"/>
      <c r="AF231" s="839"/>
      <c r="AG231" s="839"/>
      <c r="AH231" s="839"/>
      <c r="AI231" s="839"/>
      <c r="AJ231" s="839"/>
    </row>
    <row r="232" spans="7:36" ht="15" hidden="1" customHeight="1" x14ac:dyDescent="0.2">
      <c r="G232" s="839" t="s">
        <v>17</v>
      </c>
      <c r="H232" s="839"/>
      <c r="I232" s="839"/>
      <c r="J232" s="839"/>
      <c r="K232" s="917">
        <f>K229/(((Data!$P$186/100)+1)^K$70)</f>
        <v>0</v>
      </c>
      <c r="L232" s="917">
        <f>L229/(((Data!$P$186/100)+1)^L$70)</f>
        <v>0</v>
      </c>
      <c r="M232" s="917">
        <f>M229/(((Data!$P$186/100)+1)^M$70)</f>
        <v>0</v>
      </c>
      <c r="N232" s="917">
        <f>N229/(((Data!$P$186/100)+1)^N$70)</f>
        <v>0</v>
      </c>
      <c r="O232" s="917">
        <f>O229/(((Data!$P$186/100)+1)^O$70)</f>
        <v>0</v>
      </c>
      <c r="P232" s="917">
        <f>P229/(((Data!$P$186/100)+1)^P$70)</f>
        <v>0</v>
      </c>
      <c r="Q232" s="917">
        <f>Q229/(((Data!$P$186/100)+1)^Q$70)</f>
        <v>0</v>
      </c>
      <c r="R232" s="917">
        <f>R229/(((Data!$P$186/100)+1)^R$70)</f>
        <v>0</v>
      </c>
      <c r="S232" s="917">
        <f>S229/(((Data!$P$186/100)+1)^S$70)</f>
        <v>0</v>
      </c>
      <c r="T232" s="917">
        <f>T229/(((Data!$P$186/100)+1)^T$70)</f>
        <v>0</v>
      </c>
      <c r="U232" s="917">
        <f>U229/(((Data!$P$186/100)+1)^U$70)</f>
        <v>0</v>
      </c>
      <c r="V232" s="917">
        <f>V229/(((Data!$P$186/100)+1)^V$70)</f>
        <v>0</v>
      </c>
      <c r="W232" s="917">
        <f>W229/(((Data!$P$186/100)+1)^W$70)</f>
        <v>0</v>
      </c>
      <c r="X232" s="917">
        <f>X229/(((Data!$P$186/100)+1)^X$70)</f>
        <v>0</v>
      </c>
      <c r="Y232" s="917">
        <f>Y229/(((Data!$P$186/100)+1)^Y$70)</f>
        <v>0</v>
      </c>
      <c r="Z232" s="917">
        <f>Z229/(((Data!$P$186/100)+1)^Z$70)</f>
        <v>0</v>
      </c>
      <c r="AA232" s="917">
        <f>AA229/(((Data!$P$186/100)+1)^AA$70)</f>
        <v>0</v>
      </c>
      <c r="AB232" s="917">
        <f>AB229/(((Data!$P$186/100)+1)^AB$70)</f>
        <v>0</v>
      </c>
      <c r="AC232" s="917">
        <f>AC229/(((Data!$P$186/100)+1)^AC$70)</f>
        <v>0</v>
      </c>
      <c r="AD232" s="917">
        <f>AD229/(((Data!$P$186/100)+1)^AD$70)</f>
        <v>0</v>
      </c>
      <c r="AE232" s="917">
        <f>AE229/(((Data!$P$186/100)+1)^AE$70)</f>
        <v>0</v>
      </c>
      <c r="AF232" s="917">
        <f>AF229/(((Data!$P$186/100)+1)^AF$70)</f>
        <v>0</v>
      </c>
      <c r="AG232" s="917">
        <f>AG229/(((Data!$P$186/100)+1)^AG$70)</f>
        <v>0</v>
      </c>
      <c r="AH232" s="917">
        <f>AH229/(((Data!$P$186/100)+1)^AH$70)</f>
        <v>0</v>
      </c>
      <c r="AI232" s="917">
        <f>AI229/(((Data!$P$186/100)+1)^AI$70)</f>
        <v>0</v>
      </c>
      <c r="AJ232" s="917">
        <f>AJ229/(((Data!$P$186/100)+1)^AJ$70)</f>
        <v>0</v>
      </c>
    </row>
    <row r="233" spans="7:36" ht="15" hidden="1" customHeight="1" x14ac:dyDescent="0.2">
      <c r="G233" s="859" t="s">
        <v>185</v>
      </c>
      <c r="H233" s="859"/>
      <c r="I233" s="839"/>
      <c r="J233" s="839"/>
      <c r="K233" s="923">
        <f>K232</f>
        <v>0</v>
      </c>
      <c r="L233" s="923">
        <f t="shared" ref="L233:AJ233" si="60">K233+L232</f>
        <v>0</v>
      </c>
      <c r="M233" s="923">
        <f t="shared" si="60"/>
        <v>0</v>
      </c>
      <c r="N233" s="923">
        <f t="shared" si="60"/>
        <v>0</v>
      </c>
      <c r="O233" s="923">
        <f t="shared" si="60"/>
        <v>0</v>
      </c>
      <c r="P233" s="923">
        <f t="shared" si="60"/>
        <v>0</v>
      </c>
      <c r="Q233" s="923">
        <f t="shared" si="60"/>
        <v>0</v>
      </c>
      <c r="R233" s="923">
        <f t="shared" si="60"/>
        <v>0</v>
      </c>
      <c r="S233" s="923">
        <f t="shared" si="60"/>
        <v>0</v>
      </c>
      <c r="T233" s="923">
        <f t="shared" si="60"/>
        <v>0</v>
      </c>
      <c r="U233" s="923">
        <f t="shared" si="60"/>
        <v>0</v>
      </c>
      <c r="V233" s="923">
        <f t="shared" si="60"/>
        <v>0</v>
      </c>
      <c r="W233" s="923">
        <f t="shared" si="60"/>
        <v>0</v>
      </c>
      <c r="X233" s="923">
        <f t="shared" si="60"/>
        <v>0</v>
      </c>
      <c r="Y233" s="923">
        <f t="shared" si="60"/>
        <v>0</v>
      </c>
      <c r="Z233" s="923">
        <f t="shared" si="60"/>
        <v>0</v>
      </c>
      <c r="AA233" s="923">
        <f t="shared" si="60"/>
        <v>0</v>
      </c>
      <c r="AB233" s="923">
        <f t="shared" si="60"/>
        <v>0</v>
      </c>
      <c r="AC233" s="923">
        <f t="shared" si="60"/>
        <v>0</v>
      </c>
      <c r="AD233" s="923">
        <f t="shared" si="60"/>
        <v>0</v>
      </c>
      <c r="AE233" s="923">
        <f t="shared" si="60"/>
        <v>0</v>
      </c>
      <c r="AF233" s="923">
        <f t="shared" si="60"/>
        <v>0</v>
      </c>
      <c r="AG233" s="923">
        <f t="shared" si="60"/>
        <v>0</v>
      </c>
      <c r="AH233" s="923">
        <f t="shared" si="60"/>
        <v>0</v>
      </c>
      <c r="AI233" s="923">
        <f t="shared" si="60"/>
        <v>0</v>
      </c>
      <c r="AJ233" s="923">
        <f t="shared" si="60"/>
        <v>0</v>
      </c>
    </row>
    <row r="234" spans="7:36" ht="15" hidden="1" customHeight="1" x14ac:dyDescent="0.2"/>
    <row r="235" spans="7:36" ht="15" hidden="1" customHeight="1" x14ac:dyDescent="0.2"/>
    <row r="236" spans="7:36" ht="15" hidden="1" customHeight="1" x14ac:dyDescent="0.2">
      <c r="G236" s="489" t="s">
        <v>297</v>
      </c>
      <c r="H236" s="14"/>
      <c r="I236" s="13"/>
      <c r="J236" s="13"/>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row>
    <row r="237" spans="7:36" ht="15" hidden="1" customHeight="1" x14ac:dyDescent="0.2">
      <c r="G237" s="14"/>
      <c r="H237" s="14"/>
      <c r="I237" s="13"/>
      <c r="J237" s="13"/>
      <c r="K237" s="31"/>
      <c r="L237" s="31"/>
      <c r="M237" s="31"/>
      <c r="N237" s="31"/>
      <c r="O237" s="31"/>
      <c r="P237" s="31"/>
      <c r="Q237" s="31"/>
      <c r="R237" s="31"/>
      <c r="S237" s="31"/>
      <c r="T237" s="31"/>
      <c r="U237" s="31"/>
      <c r="V237" s="31"/>
      <c r="W237" s="31"/>
      <c r="X237" s="31"/>
      <c r="Y237" s="31"/>
      <c r="Z237" s="31"/>
      <c r="AA237" s="31"/>
      <c r="AB237" s="31"/>
      <c r="AC237" s="31"/>
      <c r="AD237" s="31"/>
      <c r="AE237" s="31"/>
      <c r="AF237" s="31"/>
      <c r="AG237" s="31"/>
      <c r="AH237" s="31"/>
      <c r="AI237" s="31"/>
      <c r="AJ237" s="31"/>
    </row>
    <row r="238" spans="7:36" ht="15" hidden="1" customHeight="1" x14ac:dyDescent="0.2">
      <c r="G238" s="14" t="s">
        <v>2</v>
      </c>
      <c r="H238" s="60"/>
      <c r="I238" s="60"/>
      <c r="J238" s="60"/>
      <c r="K238" s="39">
        <f>K$79</f>
        <v>0.19338</v>
      </c>
      <c r="L238" s="39">
        <f t="shared" ref="L238:AJ238" si="61">L$79</f>
        <v>0.18757859999999998</v>
      </c>
      <c r="M238" s="39">
        <f t="shared" si="61"/>
        <v>0.18195124199999999</v>
      </c>
      <c r="N238" s="39">
        <f t="shared" si="61"/>
        <v>0.17649270473999998</v>
      </c>
      <c r="O238" s="39">
        <f t="shared" si="61"/>
        <v>0.17119792359779998</v>
      </c>
      <c r="P238" s="39">
        <f t="shared" si="61"/>
        <v>0.16606198588986598</v>
      </c>
      <c r="Q238" s="39">
        <f t="shared" si="61"/>
        <v>0.16108012631317001</v>
      </c>
      <c r="R238" s="39">
        <f t="shared" si="61"/>
        <v>0.15624772252377489</v>
      </c>
      <c r="S238" s="39">
        <f t="shared" si="61"/>
        <v>0.15156029084806164</v>
      </c>
      <c r="T238" s="39">
        <f t="shared" si="61"/>
        <v>0.14701348212261978</v>
      </c>
      <c r="U238" s="39">
        <f t="shared" si="61"/>
        <v>0.14260307765894117</v>
      </c>
      <c r="V238" s="39">
        <f t="shared" si="61"/>
        <v>0.13832498532917292</v>
      </c>
      <c r="W238" s="39">
        <f t="shared" si="61"/>
        <v>0.13417523576929774</v>
      </c>
      <c r="X238" s="39">
        <f t="shared" si="61"/>
        <v>0.1301499786962188</v>
      </c>
      <c r="Y238" s="39">
        <f t="shared" si="61"/>
        <v>0.12624547933533223</v>
      </c>
      <c r="Z238" s="39">
        <f t="shared" si="61"/>
        <v>0.12245811495527226</v>
      </c>
      <c r="AA238" s="39">
        <f t="shared" si="61"/>
        <v>0.11878437150661408</v>
      </c>
      <c r="AB238" s="39">
        <f t="shared" si="61"/>
        <v>0.11522084036141565</v>
      </c>
      <c r="AC238" s="39">
        <f t="shared" si="61"/>
        <v>0.11176421515057318</v>
      </c>
      <c r="AD238" s="39">
        <f t="shared" si="61"/>
        <v>0.10841128869605599</v>
      </c>
      <c r="AE238" s="39">
        <f t="shared" si="61"/>
        <v>0.10515895003517431</v>
      </c>
      <c r="AF238" s="39">
        <f t="shared" si="61"/>
        <v>0.10200418153411908</v>
      </c>
      <c r="AG238" s="39">
        <f t="shared" si="61"/>
        <v>9.8944056088095506E-2</v>
      </c>
      <c r="AH238" s="39">
        <f t="shared" si="61"/>
        <v>9.5975734405452637E-2</v>
      </c>
      <c r="AI238" s="39">
        <f t="shared" si="61"/>
        <v>9.3096462373289057E-2</v>
      </c>
      <c r="AJ238" s="39">
        <f t="shared" si="61"/>
        <v>9.0303568502090384E-2</v>
      </c>
    </row>
    <row r="239" spans="7:36" ht="15" hidden="1" customHeight="1" x14ac:dyDescent="0.2">
      <c r="G239" s="14" t="s">
        <v>1</v>
      </c>
      <c r="H239" s="60"/>
      <c r="I239" s="60"/>
      <c r="J239" s="60"/>
      <c r="K239" s="39">
        <f>K$85</f>
        <v>0.31</v>
      </c>
      <c r="L239" s="39">
        <f t="shared" ref="L239:AJ239" si="62">L$85</f>
        <v>0.34100000000000003</v>
      </c>
      <c r="M239" s="39">
        <f t="shared" si="62"/>
        <v>0.37510000000000004</v>
      </c>
      <c r="N239" s="39">
        <f t="shared" si="62"/>
        <v>0.41261000000000009</v>
      </c>
      <c r="O239" s="39">
        <f t="shared" si="62"/>
        <v>0.45387100000000014</v>
      </c>
      <c r="P239" s="39">
        <f t="shared" si="62"/>
        <v>0.4992581000000002</v>
      </c>
      <c r="Q239" s="39">
        <f t="shared" si="62"/>
        <v>0.54918391000000022</v>
      </c>
      <c r="R239" s="39">
        <f t="shared" si="62"/>
        <v>0.60410230100000029</v>
      </c>
      <c r="S239" s="39">
        <f t="shared" si="62"/>
        <v>0.66451253110000041</v>
      </c>
      <c r="T239" s="39">
        <f t="shared" si="62"/>
        <v>0.73096378421000052</v>
      </c>
      <c r="U239" s="39">
        <f t="shared" si="62"/>
        <v>0.80406016263100066</v>
      </c>
      <c r="V239" s="39">
        <f t="shared" si="62"/>
        <v>0.88446617889410084</v>
      </c>
      <c r="W239" s="39">
        <f t="shared" si="62"/>
        <v>0.97291279678351106</v>
      </c>
      <c r="X239" s="39">
        <f t="shared" si="62"/>
        <v>1.0702040764618623</v>
      </c>
      <c r="Y239" s="39">
        <f t="shared" si="62"/>
        <v>1.1772244841080486</v>
      </c>
      <c r="Z239" s="39">
        <f t="shared" si="62"/>
        <v>1.2949469325188536</v>
      </c>
      <c r="AA239" s="39">
        <f t="shared" si="62"/>
        <v>1.4244416257707391</v>
      </c>
      <c r="AB239" s="39">
        <f t="shared" si="62"/>
        <v>1.5668857883478131</v>
      </c>
      <c r="AC239" s="39">
        <f t="shared" si="62"/>
        <v>1.7235743671825945</v>
      </c>
      <c r="AD239" s="39">
        <f t="shared" si="62"/>
        <v>1.8959318039008541</v>
      </c>
      <c r="AE239" s="39">
        <f t="shared" si="62"/>
        <v>2.0855249842909398</v>
      </c>
      <c r="AF239" s="39">
        <f t="shared" si="62"/>
        <v>2.2940774827200339</v>
      </c>
      <c r="AG239" s="39">
        <f t="shared" si="62"/>
        <v>2.5234852309920375</v>
      </c>
      <c r="AH239" s="39">
        <f t="shared" si="62"/>
        <v>2.7758337540912414</v>
      </c>
      <c r="AI239" s="39">
        <f t="shared" si="62"/>
        <v>3.053417129500366</v>
      </c>
      <c r="AJ239" s="39">
        <f t="shared" si="62"/>
        <v>3.3587588424504031</v>
      </c>
    </row>
    <row r="240" spans="7:36" ht="15" hidden="1" customHeight="1" x14ac:dyDescent="0.2">
      <c r="G240" s="60"/>
      <c r="H240" s="60"/>
      <c r="I240" s="60"/>
      <c r="J240" s="60"/>
      <c r="K240" s="60"/>
      <c r="L240" s="60"/>
      <c r="M240" s="60"/>
      <c r="N240" s="60"/>
      <c r="O240" s="60"/>
      <c r="P240" s="60"/>
      <c r="Q240" s="60"/>
      <c r="R240" s="61"/>
      <c r="S240" s="60"/>
      <c r="T240" s="60"/>
      <c r="U240" s="60"/>
      <c r="V240" s="60"/>
      <c r="W240" s="60"/>
      <c r="X240" s="60"/>
      <c r="Y240" s="60"/>
      <c r="Z240" s="60"/>
      <c r="AA240" s="60"/>
      <c r="AB240" s="60"/>
      <c r="AC240" s="60"/>
      <c r="AD240" s="60"/>
      <c r="AE240" s="60"/>
      <c r="AF240" s="60"/>
      <c r="AG240" s="60"/>
      <c r="AH240" s="60"/>
      <c r="AI240" s="60"/>
      <c r="AJ240" s="60"/>
    </row>
    <row r="241" spans="7:36" ht="15" hidden="1" customHeight="1" x14ac:dyDescent="0.2">
      <c r="G241" s="14" t="s">
        <v>4</v>
      </c>
      <c r="H241" s="14"/>
      <c r="I241" s="13"/>
      <c r="J241" s="13"/>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c r="AI241" s="42"/>
      <c r="AJ241" s="42"/>
    </row>
    <row r="242" spans="7:36" ht="15" hidden="1" customHeight="1" x14ac:dyDescent="0.2">
      <c r="G242" s="14" t="s">
        <v>5</v>
      </c>
      <c r="H242" s="14"/>
      <c r="I242" s="13"/>
      <c r="J242" s="13"/>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c r="AI242" s="42"/>
      <c r="AJ242" s="42"/>
    </row>
    <row r="243" spans="7:36" ht="15" hidden="1" customHeight="1" x14ac:dyDescent="0.2">
      <c r="G243" s="14" t="s">
        <v>6</v>
      </c>
      <c r="H243" s="14"/>
      <c r="I243" s="13"/>
      <c r="J243" s="13"/>
      <c r="K243" s="75">
        <f>$J$29</f>
        <v>0</v>
      </c>
      <c r="L243" s="75">
        <f t="shared" ref="L243:AI243" si="63">$J$29</f>
        <v>0</v>
      </c>
      <c r="M243" s="75">
        <f t="shared" si="63"/>
        <v>0</v>
      </c>
      <c r="N243" s="75">
        <f t="shared" si="63"/>
        <v>0</v>
      </c>
      <c r="O243" s="75">
        <f t="shared" si="63"/>
        <v>0</v>
      </c>
      <c r="P243" s="75">
        <f t="shared" si="63"/>
        <v>0</v>
      </c>
      <c r="Q243" s="75">
        <f t="shared" si="63"/>
        <v>0</v>
      </c>
      <c r="R243" s="75">
        <f t="shared" si="63"/>
        <v>0</v>
      </c>
      <c r="S243" s="75">
        <f t="shared" si="63"/>
        <v>0</v>
      </c>
      <c r="T243" s="75">
        <f t="shared" si="63"/>
        <v>0</v>
      </c>
      <c r="U243" s="75">
        <f t="shared" si="63"/>
        <v>0</v>
      </c>
      <c r="V243" s="75">
        <f t="shared" si="63"/>
        <v>0</v>
      </c>
      <c r="W243" s="75">
        <f t="shared" si="63"/>
        <v>0</v>
      </c>
      <c r="X243" s="75">
        <f t="shared" si="63"/>
        <v>0</v>
      </c>
      <c r="Y243" s="75">
        <f t="shared" si="63"/>
        <v>0</v>
      </c>
      <c r="Z243" s="75">
        <f t="shared" si="63"/>
        <v>0</v>
      </c>
      <c r="AA243" s="75">
        <f t="shared" si="63"/>
        <v>0</v>
      </c>
      <c r="AB243" s="75">
        <f t="shared" si="63"/>
        <v>0</v>
      </c>
      <c r="AC243" s="75">
        <f t="shared" si="63"/>
        <v>0</v>
      </c>
      <c r="AD243" s="75">
        <f t="shared" si="63"/>
        <v>0</v>
      </c>
      <c r="AE243" s="75">
        <f t="shared" si="63"/>
        <v>0</v>
      </c>
      <c r="AF243" s="75">
        <f t="shared" si="63"/>
        <v>0</v>
      </c>
      <c r="AG243" s="75">
        <f t="shared" si="63"/>
        <v>0</v>
      </c>
      <c r="AH243" s="75">
        <f t="shared" si="63"/>
        <v>0</v>
      </c>
      <c r="AI243" s="75">
        <f t="shared" si="63"/>
        <v>0</v>
      </c>
      <c r="AJ243" s="75">
        <f>$J$29</f>
        <v>0</v>
      </c>
    </row>
    <row r="244" spans="7:36" ht="15" hidden="1" customHeight="1" x14ac:dyDescent="0.2">
      <c r="G244" s="14"/>
      <c r="H244" s="14"/>
      <c r="I244" s="13"/>
      <c r="J244" s="13"/>
      <c r="K244" s="31"/>
      <c r="L244" s="31"/>
      <c r="M244" s="31"/>
      <c r="N244" s="31"/>
      <c r="O244" s="31"/>
      <c r="P244" s="31"/>
      <c r="Q244" s="31"/>
      <c r="R244" s="31"/>
      <c r="S244" s="31"/>
      <c r="T244" s="31"/>
      <c r="U244" s="31"/>
      <c r="V244" s="31"/>
      <c r="W244" s="31"/>
      <c r="X244" s="31"/>
      <c r="Y244" s="31"/>
      <c r="Z244" s="31"/>
      <c r="AA244" s="31"/>
      <c r="AB244" s="31"/>
      <c r="AC244" s="31"/>
      <c r="AD244" s="31"/>
      <c r="AE244" s="31"/>
      <c r="AF244" s="31"/>
      <c r="AG244" s="31"/>
      <c r="AH244" s="31"/>
      <c r="AI244" s="31"/>
      <c r="AJ244" s="31"/>
    </row>
    <row r="245" spans="7:36" ht="15" hidden="1" customHeight="1" x14ac:dyDescent="0.2">
      <c r="G245" s="14" t="s">
        <v>7</v>
      </c>
      <c r="H245" s="14"/>
      <c r="I245" s="13"/>
      <c r="J245" s="13"/>
      <c r="K245" s="42"/>
      <c r="L245" s="42"/>
      <c r="M245" s="42"/>
      <c r="N245" s="42"/>
      <c r="O245" s="42"/>
      <c r="P245" s="42"/>
      <c r="Q245" s="42"/>
      <c r="R245" s="42"/>
      <c r="S245" s="42"/>
      <c r="T245" s="42"/>
      <c r="U245" s="42"/>
      <c r="V245" s="42"/>
      <c r="W245" s="42"/>
      <c r="X245" s="42"/>
      <c r="Y245" s="42"/>
      <c r="Z245" s="42"/>
      <c r="AA245" s="42"/>
      <c r="AB245" s="42"/>
      <c r="AC245" s="42"/>
      <c r="AD245" s="42"/>
      <c r="AE245" s="42"/>
      <c r="AF245" s="42"/>
      <c r="AG245" s="42"/>
      <c r="AH245" s="42"/>
      <c r="AI245" s="42"/>
      <c r="AJ245" s="42"/>
    </row>
    <row r="246" spans="7:36" ht="15" hidden="1" customHeight="1" x14ac:dyDescent="0.2">
      <c r="G246" s="14" t="s">
        <v>8</v>
      </c>
      <c r="H246" s="14"/>
      <c r="I246" s="13"/>
      <c r="J246" s="13"/>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c r="AI246" s="42"/>
      <c r="AJ246" s="42"/>
    </row>
    <row r="247" spans="7:36" ht="15" hidden="1" customHeight="1" x14ac:dyDescent="0.2">
      <c r="G247" s="14" t="s">
        <v>9</v>
      </c>
      <c r="H247" s="14"/>
      <c r="I247" s="13"/>
      <c r="J247" s="13"/>
      <c r="K247" s="31">
        <f>K238*K243</f>
        <v>0</v>
      </c>
      <c r="L247" s="31">
        <f t="shared" ref="L247:AI247" si="64">L238*L243</f>
        <v>0</v>
      </c>
      <c r="M247" s="31">
        <f t="shared" si="64"/>
        <v>0</v>
      </c>
      <c r="N247" s="31">
        <f t="shared" si="64"/>
        <v>0</v>
      </c>
      <c r="O247" s="31">
        <f t="shared" si="64"/>
        <v>0</v>
      </c>
      <c r="P247" s="31">
        <f t="shared" si="64"/>
        <v>0</v>
      </c>
      <c r="Q247" s="31">
        <f t="shared" si="64"/>
        <v>0</v>
      </c>
      <c r="R247" s="31">
        <f t="shared" si="64"/>
        <v>0</v>
      </c>
      <c r="S247" s="31">
        <f t="shared" si="64"/>
        <v>0</v>
      </c>
      <c r="T247" s="31">
        <f t="shared" si="64"/>
        <v>0</v>
      </c>
      <c r="U247" s="31">
        <f t="shared" si="64"/>
        <v>0</v>
      </c>
      <c r="V247" s="31">
        <f t="shared" si="64"/>
        <v>0</v>
      </c>
      <c r="W247" s="31">
        <f t="shared" si="64"/>
        <v>0</v>
      </c>
      <c r="X247" s="31">
        <f t="shared" si="64"/>
        <v>0</v>
      </c>
      <c r="Y247" s="31">
        <f t="shared" si="64"/>
        <v>0</v>
      </c>
      <c r="Z247" s="31">
        <f t="shared" si="64"/>
        <v>0</v>
      </c>
      <c r="AA247" s="31">
        <f t="shared" si="64"/>
        <v>0</v>
      </c>
      <c r="AB247" s="31">
        <f t="shared" si="64"/>
        <v>0</v>
      </c>
      <c r="AC247" s="31">
        <f t="shared" si="64"/>
        <v>0</v>
      </c>
      <c r="AD247" s="31">
        <f t="shared" si="64"/>
        <v>0</v>
      </c>
      <c r="AE247" s="31">
        <f t="shared" si="64"/>
        <v>0</v>
      </c>
      <c r="AF247" s="31">
        <f t="shared" si="64"/>
        <v>0</v>
      </c>
      <c r="AG247" s="31">
        <f t="shared" si="64"/>
        <v>0</v>
      </c>
      <c r="AH247" s="31">
        <f t="shared" si="64"/>
        <v>0</v>
      </c>
      <c r="AI247" s="31">
        <f t="shared" si="64"/>
        <v>0</v>
      </c>
      <c r="AJ247" s="31">
        <f>AJ238*AJ243</f>
        <v>0</v>
      </c>
    </row>
    <row r="248" spans="7:36" ht="15" hidden="1" customHeight="1" x14ac:dyDescent="0.2">
      <c r="G248" s="14"/>
      <c r="H248" s="14"/>
      <c r="I248" s="13"/>
      <c r="J248" s="13"/>
      <c r="K248" s="31"/>
      <c r="L248" s="31"/>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c r="AJ248" s="31"/>
    </row>
    <row r="249" spans="7:36" ht="15" hidden="1" customHeight="1" x14ac:dyDescent="0.2">
      <c r="G249" s="14" t="s">
        <v>10</v>
      </c>
      <c r="H249" s="14"/>
      <c r="I249" s="13"/>
      <c r="J249" s="13"/>
      <c r="K249" s="42"/>
      <c r="L249" s="42"/>
      <c r="M249" s="42"/>
      <c r="N249" s="42"/>
      <c r="O249" s="42"/>
      <c r="P249" s="42"/>
      <c r="Q249" s="42"/>
      <c r="R249" s="42"/>
      <c r="S249" s="42"/>
      <c r="T249" s="42"/>
      <c r="U249" s="42"/>
      <c r="V249" s="42"/>
      <c r="W249" s="42"/>
      <c r="X249" s="42"/>
      <c r="Y249" s="42"/>
      <c r="Z249" s="42"/>
      <c r="AA249" s="42"/>
      <c r="AB249" s="42"/>
      <c r="AC249" s="42"/>
      <c r="AD249" s="42"/>
      <c r="AE249" s="42"/>
      <c r="AF249" s="42"/>
      <c r="AG249" s="42"/>
      <c r="AH249" s="42"/>
      <c r="AI249" s="42"/>
      <c r="AJ249" s="42"/>
    </row>
    <row r="250" spans="7:36" ht="15" hidden="1" customHeight="1" x14ac:dyDescent="0.2">
      <c r="G250" s="14" t="s">
        <v>11</v>
      </c>
      <c r="H250" s="14"/>
      <c r="I250" s="13"/>
      <c r="J250" s="13"/>
      <c r="K250" s="42"/>
      <c r="L250" s="42"/>
      <c r="M250" s="42"/>
      <c r="N250" s="42"/>
      <c r="O250" s="42"/>
      <c r="P250" s="42"/>
      <c r="Q250" s="42"/>
      <c r="R250" s="42"/>
      <c r="S250" s="42"/>
      <c r="T250" s="42"/>
      <c r="U250" s="42"/>
      <c r="V250" s="42"/>
      <c r="W250" s="42"/>
      <c r="X250" s="42"/>
      <c r="Y250" s="42"/>
      <c r="Z250" s="42"/>
      <c r="AA250" s="42"/>
      <c r="AB250" s="42"/>
      <c r="AC250" s="42"/>
      <c r="AD250" s="42"/>
      <c r="AE250" s="42"/>
      <c r="AF250" s="42"/>
      <c r="AG250" s="42"/>
      <c r="AH250" s="42"/>
      <c r="AI250" s="42"/>
      <c r="AJ250" s="42"/>
    </row>
    <row r="251" spans="7:36" ht="15" hidden="1" customHeight="1" x14ac:dyDescent="0.2">
      <c r="G251" s="14" t="s">
        <v>12</v>
      </c>
      <c r="H251" s="14"/>
      <c r="I251" s="13"/>
      <c r="J251" s="13"/>
      <c r="K251" s="31">
        <f>K$239*K243</f>
        <v>0</v>
      </c>
      <c r="L251" s="31">
        <f t="shared" ref="L251:AI251" si="65">L$239*L243</f>
        <v>0</v>
      </c>
      <c r="M251" s="31">
        <f t="shared" si="65"/>
        <v>0</v>
      </c>
      <c r="N251" s="31">
        <f t="shared" si="65"/>
        <v>0</v>
      </c>
      <c r="O251" s="31">
        <f t="shared" si="65"/>
        <v>0</v>
      </c>
      <c r="P251" s="31">
        <f t="shared" si="65"/>
        <v>0</v>
      </c>
      <c r="Q251" s="31">
        <f t="shared" si="65"/>
        <v>0</v>
      </c>
      <c r="R251" s="31">
        <f t="shared" si="65"/>
        <v>0</v>
      </c>
      <c r="S251" s="31">
        <f t="shared" si="65"/>
        <v>0</v>
      </c>
      <c r="T251" s="31">
        <f t="shared" si="65"/>
        <v>0</v>
      </c>
      <c r="U251" s="31">
        <f t="shared" si="65"/>
        <v>0</v>
      </c>
      <c r="V251" s="31">
        <f t="shared" si="65"/>
        <v>0</v>
      </c>
      <c r="W251" s="31">
        <f t="shared" si="65"/>
        <v>0</v>
      </c>
      <c r="X251" s="31">
        <f t="shared" si="65"/>
        <v>0</v>
      </c>
      <c r="Y251" s="31">
        <f t="shared" si="65"/>
        <v>0</v>
      </c>
      <c r="Z251" s="31">
        <f t="shared" si="65"/>
        <v>0</v>
      </c>
      <c r="AA251" s="31">
        <f t="shared" si="65"/>
        <v>0</v>
      </c>
      <c r="AB251" s="31">
        <f t="shared" si="65"/>
        <v>0</v>
      </c>
      <c r="AC251" s="31">
        <f t="shared" si="65"/>
        <v>0</v>
      </c>
      <c r="AD251" s="31">
        <f t="shared" si="65"/>
        <v>0</v>
      </c>
      <c r="AE251" s="31">
        <f t="shared" si="65"/>
        <v>0</v>
      </c>
      <c r="AF251" s="31">
        <f t="shared" si="65"/>
        <v>0</v>
      </c>
      <c r="AG251" s="31">
        <f t="shared" si="65"/>
        <v>0</v>
      </c>
      <c r="AH251" s="31">
        <f t="shared" si="65"/>
        <v>0</v>
      </c>
      <c r="AI251" s="31">
        <f t="shared" si="65"/>
        <v>0</v>
      </c>
      <c r="AJ251" s="31">
        <f>AJ$239*AJ243</f>
        <v>0</v>
      </c>
    </row>
    <row r="252" spans="7:36" ht="15" hidden="1" customHeight="1" x14ac:dyDescent="0.2">
      <c r="G252" s="14" t="s">
        <v>13</v>
      </c>
      <c r="H252" s="14"/>
      <c r="I252" s="13"/>
      <c r="J252" s="13"/>
      <c r="K252" s="31">
        <f t="shared" ref="K252:AI252" si="66">K$88*K247</f>
        <v>0</v>
      </c>
      <c r="L252" s="31">
        <f t="shared" si="66"/>
        <v>0</v>
      </c>
      <c r="M252" s="31">
        <f t="shared" si="66"/>
        <v>0</v>
      </c>
      <c r="N252" s="31">
        <f t="shared" si="66"/>
        <v>0</v>
      </c>
      <c r="O252" s="31">
        <f t="shared" si="66"/>
        <v>0</v>
      </c>
      <c r="P252" s="31">
        <f t="shared" si="66"/>
        <v>0</v>
      </c>
      <c r="Q252" s="31">
        <f t="shared" si="66"/>
        <v>0</v>
      </c>
      <c r="R252" s="31">
        <f t="shared" si="66"/>
        <v>0</v>
      </c>
      <c r="S252" s="31">
        <f t="shared" si="66"/>
        <v>0</v>
      </c>
      <c r="T252" s="31">
        <f t="shared" si="66"/>
        <v>0</v>
      </c>
      <c r="U252" s="31">
        <f t="shared" si="66"/>
        <v>0</v>
      </c>
      <c r="V252" s="31">
        <f t="shared" si="66"/>
        <v>0</v>
      </c>
      <c r="W252" s="31">
        <f t="shared" si="66"/>
        <v>0</v>
      </c>
      <c r="X252" s="31">
        <f t="shared" si="66"/>
        <v>0</v>
      </c>
      <c r="Y252" s="31">
        <f t="shared" si="66"/>
        <v>0</v>
      </c>
      <c r="Z252" s="31">
        <f t="shared" si="66"/>
        <v>0</v>
      </c>
      <c r="AA252" s="31">
        <f t="shared" si="66"/>
        <v>0</v>
      </c>
      <c r="AB252" s="31">
        <f t="shared" si="66"/>
        <v>0</v>
      </c>
      <c r="AC252" s="31">
        <f t="shared" si="66"/>
        <v>0</v>
      </c>
      <c r="AD252" s="31">
        <f t="shared" si="66"/>
        <v>0</v>
      </c>
      <c r="AE252" s="31">
        <f t="shared" si="66"/>
        <v>0</v>
      </c>
      <c r="AF252" s="31">
        <f t="shared" si="66"/>
        <v>0</v>
      </c>
      <c r="AG252" s="31">
        <f t="shared" si="66"/>
        <v>0</v>
      </c>
      <c r="AH252" s="31">
        <f t="shared" si="66"/>
        <v>0</v>
      </c>
      <c r="AI252" s="31">
        <f t="shared" si="66"/>
        <v>0</v>
      </c>
      <c r="AJ252" s="31">
        <f>AJ$88*AJ247</f>
        <v>0</v>
      </c>
    </row>
    <row r="253" spans="7:36" ht="15" hidden="1" customHeight="1" x14ac:dyDescent="0.2">
      <c r="G253" s="14"/>
      <c r="H253" s="14"/>
      <c r="I253" s="13"/>
      <c r="J253" s="13"/>
      <c r="K253" s="31"/>
      <c r="L253" s="31"/>
      <c r="M253" s="31"/>
      <c r="N253" s="31"/>
      <c r="O253" s="31"/>
      <c r="P253" s="31"/>
      <c r="Q253" s="31"/>
      <c r="R253" s="31"/>
      <c r="S253" s="31"/>
      <c r="T253" s="31"/>
      <c r="U253" s="31"/>
      <c r="V253" s="31"/>
      <c r="W253" s="31"/>
      <c r="X253" s="31"/>
      <c r="Y253" s="31"/>
      <c r="Z253" s="31"/>
      <c r="AA253" s="31"/>
      <c r="AB253" s="31"/>
      <c r="AC253" s="31"/>
      <c r="AD253" s="31"/>
      <c r="AE253" s="31"/>
      <c r="AF253" s="31"/>
      <c r="AG253" s="31"/>
      <c r="AH253" s="31"/>
      <c r="AI253" s="31"/>
      <c r="AJ253" s="31"/>
    </row>
    <row r="254" spans="7:36" ht="15" hidden="1" customHeight="1" x14ac:dyDescent="0.2">
      <c r="G254" s="14" t="s">
        <v>14</v>
      </c>
      <c r="H254" s="14"/>
      <c r="I254" s="13"/>
      <c r="J254" s="13"/>
      <c r="K254" s="31">
        <f t="shared" ref="K254:AI254" si="67">SUM(K249:K252)</f>
        <v>0</v>
      </c>
      <c r="L254" s="31">
        <f t="shared" si="67"/>
        <v>0</v>
      </c>
      <c r="M254" s="31">
        <f t="shared" si="67"/>
        <v>0</v>
      </c>
      <c r="N254" s="31">
        <f t="shared" si="67"/>
        <v>0</v>
      </c>
      <c r="O254" s="31">
        <f t="shared" si="67"/>
        <v>0</v>
      </c>
      <c r="P254" s="31">
        <f t="shared" si="67"/>
        <v>0</v>
      </c>
      <c r="Q254" s="31">
        <f t="shared" si="67"/>
        <v>0</v>
      </c>
      <c r="R254" s="31">
        <f t="shared" si="67"/>
        <v>0</v>
      </c>
      <c r="S254" s="31">
        <f t="shared" si="67"/>
        <v>0</v>
      </c>
      <c r="T254" s="31">
        <f t="shared" si="67"/>
        <v>0</v>
      </c>
      <c r="U254" s="31">
        <f t="shared" si="67"/>
        <v>0</v>
      </c>
      <c r="V254" s="31">
        <f t="shared" si="67"/>
        <v>0</v>
      </c>
      <c r="W254" s="31">
        <f t="shared" si="67"/>
        <v>0</v>
      </c>
      <c r="X254" s="31">
        <f t="shared" si="67"/>
        <v>0</v>
      </c>
      <c r="Y254" s="31">
        <f t="shared" si="67"/>
        <v>0</v>
      </c>
      <c r="Z254" s="31">
        <f t="shared" si="67"/>
        <v>0</v>
      </c>
      <c r="AA254" s="31">
        <f t="shared" si="67"/>
        <v>0</v>
      </c>
      <c r="AB254" s="31">
        <f t="shared" si="67"/>
        <v>0</v>
      </c>
      <c r="AC254" s="31">
        <f t="shared" si="67"/>
        <v>0</v>
      </c>
      <c r="AD254" s="31">
        <f t="shared" si="67"/>
        <v>0</v>
      </c>
      <c r="AE254" s="31">
        <f t="shared" si="67"/>
        <v>0</v>
      </c>
      <c r="AF254" s="31">
        <f t="shared" si="67"/>
        <v>0</v>
      </c>
      <c r="AG254" s="31">
        <f t="shared" si="67"/>
        <v>0</v>
      </c>
      <c r="AH254" s="31">
        <f t="shared" si="67"/>
        <v>0</v>
      </c>
      <c r="AI254" s="31">
        <f t="shared" si="67"/>
        <v>0</v>
      </c>
      <c r="AJ254" s="31">
        <f>SUM(AJ249:AJ252)</f>
        <v>0</v>
      </c>
    </row>
    <row r="255" spans="7:36" ht="15" hidden="1" customHeight="1" x14ac:dyDescent="0.2">
      <c r="G255" s="14" t="s">
        <v>15</v>
      </c>
      <c r="H255" s="14"/>
      <c r="I255" s="13"/>
      <c r="J255" s="13"/>
      <c r="K255" s="31">
        <f>K254</f>
        <v>0</v>
      </c>
      <c r="L255" s="31">
        <f t="shared" ref="L255:AI255" si="68">K255+L254</f>
        <v>0</v>
      </c>
      <c r="M255" s="31">
        <f t="shared" si="68"/>
        <v>0</v>
      </c>
      <c r="N255" s="31">
        <f t="shared" si="68"/>
        <v>0</v>
      </c>
      <c r="O255" s="31">
        <f t="shared" si="68"/>
        <v>0</v>
      </c>
      <c r="P255" s="31">
        <f t="shared" si="68"/>
        <v>0</v>
      </c>
      <c r="Q255" s="31">
        <f t="shared" si="68"/>
        <v>0</v>
      </c>
      <c r="R255" s="31">
        <f t="shared" si="68"/>
        <v>0</v>
      </c>
      <c r="S255" s="31">
        <f t="shared" si="68"/>
        <v>0</v>
      </c>
      <c r="T255" s="31">
        <f t="shared" si="68"/>
        <v>0</v>
      </c>
      <c r="U255" s="31">
        <f t="shared" si="68"/>
        <v>0</v>
      </c>
      <c r="V255" s="31">
        <f t="shared" si="68"/>
        <v>0</v>
      </c>
      <c r="W255" s="31">
        <f t="shared" si="68"/>
        <v>0</v>
      </c>
      <c r="X255" s="31">
        <f t="shared" si="68"/>
        <v>0</v>
      </c>
      <c r="Y255" s="31">
        <f t="shared" si="68"/>
        <v>0</v>
      </c>
      <c r="Z255" s="31">
        <f t="shared" si="68"/>
        <v>0</v>
      </c>
      <c r="AA255" s="31">
        <f t="shared" si="68"/>
        <v>0</v>
      </c>
      <c r="AB255" s="31">
        <f t="shared" si="68"/>
        <v>0</v>
      </c>
      <c r="AC255" s="31">
        <f t="shared" si="68"/>
        <v>0</v>
      </c>
      <c r="AD255" s="31">
        <f t="shared" si="68"/>
        <v>0</v>
      </c>
      <c r="AE255" s="31">
        <f t="shared" si="68"/>
        <v>0</v>
      </c>
      <c r="AF255" s="31">
        <f t="shared" si="68"/>
        <v>0</v>
      </c>
      <c r="AG255" s="31">
        <f t="shared" si="68"/>
        <v>0</v>
      </c>
      <c r="AH255" s="31">
        <f t="shared" si="68"/>
        <v>0</v>
      </c>
      <c r="AI255" s="31">
        <f t="shared" si="68"/>
        <v>0</v>
      </c>
      <c r="AJ255" s="31">
        <f>AI255+AJ254</f>
        <v>0</v>
      </c>
    </row>
    <row r="256" spans="7:36" ht="15" hidden="1" customHeight="1" x14ac:dyDescent="0.2">
      <c r="G256" s="13"/>
      <c r="H256" s="13"/>
      <c r="I256" s="13"/>
      <c r="J256" s="13"/>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row>
    <row r="257" spans="7:36" ht="15" hidden="1" customHeight="1" x14ac:dyDescent="0.2">
      <c r="G257" s="14" t="s">
        <v>17</v>
      </c>
      <c r="H257" s="13"/>
      <c r="I257" s="13"/>
      <c r="J257" s="13"/>
      <c r="K257" s="31">
        <f>K254/(((Data!$P$186/100)+1)^K$70)</f>
        <v>0</v>
      </c>
      <c r="L257" s="31">
        <f>L254/(((Data!$P$186/100)+1)^L$70)</f>
        <v>0</v>
      </c>
      <c r="M257" s="31">
        <f>M254/(((Data!$P$186/100)+1)^M$70)</f>
        <v>0</v>
      </c>
      <c r="N257" s="31">
        <f>N254/(((Data!$P$186/100)+1)^N$70)</f>
        <v>0</v>
      </c>
      <c r="O257" s="31">
        <f>O254/(((Data!$P$186/100)+1)^O$70)</f>
        <v>0</v>
      </c>
      <c r="P257" s="31">
        <f>P254/(((Data!$P$186/100)+1)^P$70)</f>
        <v>0</v>
      </c>
      <c r="Q257" s="31">
        <f>Q254/(((Data!$P$186/100)+1)^Q$70)</f>
        <v>0</v>
      </c>
      <c r="R257" s="31">
        <f>R254/(((Data!$P$186/100)+1)^R$70)</f>
        <v>0</v>
      </c>
      <c r="S257" s="31">
        <f>S254/(((Data!$P$186/100)+1)^S$70)</f>
        <v>0</v>
      </c>
      <c r="T257" s="31">
        <f>T254/(((Data!$P$186/100)+1)^T$70)</f>
        <v>0</v>
      </c>
      <c r="U257" s="31">
        <f>U254/(((Data!$P$186/100)+1)^U$70)</f>
        <v>0</v>
      </c>
      <c r="V257" s="31">
        <f>V254/(((Data!$P$186/100)+1)^V$70)</f>
        <v>0</v>
      </c>
      <c r="W257" s="31">
        <f>W254/(((Data!$P$186/100)+1)^W$70)</f>
        <v>0</v>
      </c>
      <c r="X257" s="31">
        <f>X254/(((Data!$P$186/100)+1)^X$70)</f>
        <v>0</v>
      </c>
      <c r="Y257" s="31">
        <f>Y254/(((Data!$P$186/100)+1)^Y$70)</f>
        <v>0</v>
      </c>
      <c r="Z257" s="31">
        <f>Z254/(((Data!$P$186/100)+1)^Z$70)</f>
        <v>0</v>
      </c>
      <c r="AA257" s="31">
        <f>AA254/(((Data!$P$186/100)+1)^AA$70)</f>
        <v>0</v>
      </c>
      <c r="AB257" s="31">
        <f>AB254/(((Data!$P$186/100)+1)^AB$70)</f>
        <v>0</v>
      </c>
      <c r="AC257" s="31">
        <f>AC254/(((Data!$P$186/100)+1)^AC$70)</f>
        <v>0</v>
      </c>
      <c r="AD257" s="31">
        <f>AD254/(((Data!$P$186/100)+1)^AD$70)</f>
        <v>0</v>
      </c>
      <c r="AE257" s="31">
        <f>AE254/(((Data!$P$186/100)+1)^AE$70)</f>
        <v>0</v>
      </c>
      <c r="AF257" s="31">
        <f>AF254/(((Data!$P$186/100)+1)^AF$70)</f>
        <v>0</v>
      </c>
      <c r="AG257" s="31">
        <f>AG254/(((Data!$P$186/100)+1)^AG$70)</f>
        <v>0</v>
      </c>
      <c r="AH257" s="31">
        <f>AH254/(((Data!$P$186/100)+1)^AH$70)</f>
        <v>0</v>
      </c>
      <c r="AI257" s="31">
        <f>AI254/(((Data!$P$186/100)+1)^AI$70)</f>
        <v>0</v>
      </c>
      <c r="AJ257" s="31">
        <f>AJ254/(((Data!$P$186/100)+1)^AJ$70)</f>
        <v>0</v>
      </c>
    </row>
    <row r="258" spans="7:36" ht="15" hidden="1" customHeight="1" x14ac:dyDescent="0.2">
      <c r="G258" s="30" t="s">
        <v>186</v>
      </c>
      <c r="H258" s="33"/>
      <c r="I258" s="13"/>
      <c r="J258" s="13"/>
      <c r="K258" s="34">
        <f>K257</f>
        <v>0</v>
      </c>
      <c r="L258" s="34">
        <f t="shared" ref="L258:AJ258" si="69">K258+L257</f>
        <v>0</v>
      </c>
      <c r="M258" s="34">
        <f t="shared" si="69"/>
        <v>0</v>
      </c>
      <c r="N258" s="34">
        <f t="shared" si="69"/>
        <v>0</v>
      </c>
      <c r="O258" s="34">
        <f t="shared" si="69"/>
        <v>0</v>
      </c>
      <c r="P258" s="34">
        <f t="shared" si="69"/>
        <v>0</v>
      </c>
      <c r="Q258" s="34">
        <f t="shared" si="69"/>
        <v>0</v>
      </c>
      <c r="R258" s="34">
        <f t="shared" si="69"/>
        <v>0</v>
      </c>
      <c r="S258" s="34">
        <f t="shared" si="69"/>
        <v>0</v>
      </c>
      <c r="T258" s="34">
        <f t="shared" si="69"/>
        <v>0</v>
      </c>
      <c r="U258" s="34">
        <f t="shared" si="69"/>
        <v>0</v>
      </c>
      <c r="V258" s="34">
        <f t="shared" si="69"/>
        <v>0</v>
      </c>
      <c r="W258" s="34">
        <f t="shared" si="69"/>
        <v>0</v>
      </c>
      <c r="X258" s="34">
        <f t="shared" si="69"/>
        <v>0</v>
      </c>
      <c r="Y258" s="34">
        <f t="shared" si="69"/>
        <v>0</v>
      </c>
      <c r="Z258" s="34">
        <f t="shared" si="69"/>
        <v>0</v>
      </c>
      <c r="AA258" s="34">
        <f t="shared" si="69"/>
        <v>0</v>
      </c>
      <c r="AB258" s="34">
        <f t="shared" si="69"/>
        <v>0</v>
      </c>
      <c r="AC258" s="34">
        <f t="shared" si="69"/>
        <v>0</v>
      </c>
      <c r="AD258" s="34">
        <f t="shared" si="69"/>
        <v>0</v>
      </c>
      <c r="AE258" s="34">
        <f t="shared" si="69"/>
        <v>0</v>
      </c>
      <c r="AF258" s="34">
        <f t="shared" si="69"/>
        <v>0</v>
      </c>
      <c r="AG258" s="34">
        <f t="shared" si="69"/>
        <v>0</v>
      </c>
      <c r="AH258" s="34">
        <f t="shared" si="69"/>
        <v>0</v>
      </c>
      <c r="AI258" s="34">
        <f t="shared" si="69"/>
        <v>0</v>
      </c>
      <c r="AJ258" s="34">
        <f t="shared" si="69"/>
        <v>0</v>
      </c>
    </row>
    <row r="259" spans="7:36" ht="15" hidden="1" customHeight="1" x14ac:dyDescent="0.2">
      <c r="G259" s="8"/>
      <c r="H259" s="8"/>
      <c r="I259" s="8"/>
      <c r="J259" s="8"/>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row>
    <row r="260" spans="7:36" ht="15" hidden="1" customHeight="1" x14ac:dyDescent="0.2">
      <c r="G260" s="532" t="s">
        <v>514</v>
      </c>
      <c r="H260" s="17"/>
      <c r="I260" s="13"/>
      <c r="J260" s="13"/>
      <c r="K260" s="35"/>
      <c r="L260" s="35"/>
      <c r="M260" s="35"/>
      <c r="N260" s="35"/>
      <c r="O260" s="35"/>
      <c r="P260" s="35"/>
      <c r="Q260" s="35"/>
      <c r="R260" s="35"/>
      <c r="S260" s="35"/>
      <c r="T260" s="35"/>
      <c r="U260" s="35"/>
      <c r="V260" s="35"/>
      <c r="W260" s="35"/>
      <c r="X260" s="35"/>
      <c r="Y260" s="35"/>
      <c r="Z260" s="35"/>
      <c r="AA260" s="35"/>
      <c r="AB260" s="35"/>
      <c r="AC260" s="35"/>
      <c r="AD260" s="35"/>
      <c r="AE260" s="35"/>
      <c r="AF260" s="35"/>
      <c r="AG260" s="35"/>
      <c r="AH260" s="35"/>
      <c r="AI260" s="35"/>
      <c r="AJ260" s="35"/>
    </row>
    <row r="261" spans="7:36" ht="15" hidden="1" customHeight="1" x14ac:dyDescent="0.2">
      <c r="G261" s="17"/>
      <c r="H261" s="17"/>
      <c r="I261" s="13"/>
      <c r="J261" s="13"/>
      <c r="K261" s="35"/>
      <c r="L261" s="35"/>
      <c r="M261" s="35"/>
      <c r="N261" s="35"/>
      <c r="O261" s="35"/>
      <c r="P261" s="35"/>
      <c r="Q261" s="35"/>
      <c r="R261" s="35"/>
      <c r="S261" s="35"/>
      <c r="T261" s="35"/>
      <c r="U261" s="35"/>
      <c r="V261" s="35"/>
      <c r="W261" s="35"/>
      <c r="X261" s="35"/>
      <c r="Y261" s="35"/>
      <c r="Z261" s="35"/>
      <c r="AA261" s="35"/>
      <c r="AB261" s="35"/>
      <c r="AC261" s="35"/>
      <c r="AD261" s="35"/>
      <c r="AE261" s="35"/>
      <c r="AF261" s="35"/>
      <c r="AG261" s="35"/>
      <c r="AH261" s="35"/>
      <c r="AI261" s="35"/>
      <c r="AJ261" s="35"/>
    </row>
    <row r="262" spans="7:36" ht="15" hidden="1" customHeight="1" x14ac:dyDescent="0.2">
      <c r="G262" s="17" t="s">
        <v>2</v>
      </c>
      <c r="H262" s="60"/>
      <c r="I262" s="60"/>
      <c r="J262" s="60"/>
      <c r="K262" s="101">
        <f>K$79</f>
        <v>0.19338</v>
      </c>
      <c r="L262" s="101">
        <f t="shared" ref="L262:AJ262" si="70">L$79</f>
        <v>0.18757859999999998</v>
      </c>
      <c r="M262" s="101">
        <f t="shared" si="70"/>
        <v>0.18195124199999999</v>
      </c>
      <c r="N262" s="101">
        <f t="shared" si="70"/>
        <v>0.17649270473999998</v>
      </c>
      <c r="O262" s="101">
        <f t="shared" si="70"/>
        <v>0.17119792359779998</v>
      </c>
      <c r="P262" s="101">
        <f t="shared" si="70"/>
        <v>0.16606198588986598</v>
      </c>
      <c r="Q262" s="101">
        <f t="shared" si="70"/>
        <v>0.16108012631317001</v>
      </c>
      <c r="R262" s="101">
        <f t="shared" si="70"/>
        <v>0.15624772252377489</v>
      </c>
      <c r="S262" s="101">
        <f t="shared" si="70"/>
        <v>0.15156029084806164</v>
      </c>
      <c r="T262" s="101">
        <f t="shared" si="70"/>
        <v>0.14701348212261978</v>
      </c>
      <c r="U262" s="101">
        <f t="shared" si="70"/>
        <v>0.14260307765894117</v>
      </c>
      <c r="V262" s="101">
        <f t="shared" si="70"/>
        <v>0.13832498532917292</v>
      </c>
      <c r="W262" s="101">
        <f t="shared" si="70"/>
        <v>0.13417523576929774</v>
      </c>
      <c r="X262" s="101">
        <f t="shared" si="70"/>
        <v>0.1301499786962188</v>
      </c>
      <c r="Y262" s="101">
        <f t="shared" si="70"/>
        <v>0.12624547933533223</v>
      </c>
      <c r="Z262" s="101">
        <f t="shared" si="70"/>
        <v>0.12245811495527226</v>
      </c>
      <c r="AA262" s="101">
        <f t="shared" si="70"/>
        <v>0.11878437150661408</v>
      </c>
      <c r="AB262" s="101">
        <f t="shared" si="70"/>
        <v>0.11522084036141565</v>
      </c>
      <c r="AC262" s="101">
        <f t="shared" si="70"/>
        <v>0.11176421515057318</v>
      </c>
      <c r="AD262" s="101">
        <f t="shared" si="70"/>
        <v>0.10841128869605599</v>
      </c>
      <c r="AE262" s="101">
        <f t="shared" si="70"/>
        <v>0.10515895003517431</v>
      </c>
      <c r="AF262" s="101">
        <f t="shared" si="70"/>
        <v>0.10200418153411908</v>
      </c>
      <c r="AG262" s="101">
        <f t="shared" si="70"/>
        <v>9.8944056088095506E-2</v>
      </c>
      <c r="AH262" s="101">
        <f t="shared" si="70"/>
        <v>9.5975734405452637E-2</v>
      </c>
      <c r="AI262" s="101">
        <f t="shared" si="70"/>
        <v>9.3096462373289057E-2</v>
      </c>
      <c r="AJ262" s="101">
        <f t="shared" si="70"/>
        <v>9.0303568502090384E-2</v>
      </c>
    </row>
    <row r="263" spans="7:36" ht="15" hidden="1" customHeight="1" x14ac:dyDescent="0.2">
      <c r="G263" s="17" t="s">
        <v>1</v>
      </c>
      <c r="H263" s="60"/>
      <c r="I263" s="60"/>
      <c r="J263" s="60"/>
      <c r="K263" s="101">
        <f>K$85</f>
        <v>0.31</v>
      </c>
      <c r="L263" s="101">
        <f t="shared" ref="L263:AJ263" si="71">L$85</f>
        <v>0.34100000000000003</v>
      </c>
      <c r="M263" s="101">
        <f t="shared" si="71"/>
        <v>0.37510000000000004</v>
      </c>
      <c r="N263" s="101">
        <f t="shared" si="71"/>
        <v>0.41261000000000009</v>
      </c>
      <c r="O263" s="101">
        <f t="shared" si="71"/>
        <v>0.45387100000000014</v>
      </c>
      <c r="P263" s="101">
        <f t="shared" si="71"/>
        <v>0.4992581000000002</v>
      </c>
      <c r="Q263" s="101">
        <f t="shared" si="71"/>
        <v>0.54918391000000022</v>
      </c>
      <c r="R263" s="101">
        <f t="shared" si="71"/>
        <v>0.60410230100000029</v>
      </c>
      <c r="S263" s="101">
        <f t="shared" si="71"/>
        <v>0.66451253110000041</v>
      </c>
      <c r="T263" s="101">
        <f t="shared" si="71"/>
        <v>0.73096378421000052</v>
      </c>
      <c r="U263" s="101">
        <f t="shared" si="71"/>
        <v>0.80406016263100066</v>
      </c>
      <c r="V263" s="101">
        <f t="shared" si="71"/>
        <v>0.88446617889410084</v>
      </c>
      <c r="W263" s="101">
        <f t="shared" si="71"/>
        <v>0.97291279678351106</v>
      </c>
      <c r="X263" s="101">
        <f t="shared" si="71"/>
        <v>1.0702040764618623</v>
      </c>
      <c r="Y263" s="101">
        <f t="shared" si="71"/>
        <v>1.1772244841080486</v>
      </c>
      <c r="Z263" s="101">
        <f t="shared" si="71"/>
        <v>1.2949469325188536</v>
      </c>
      <c r="AA263" s="101">
        <f t="shared" si="71"/>
        <v>1.4244416257707391</v>
      </c>
      <c r="AB263" s="101">
        <f t="shared" si="71"/>
        <v>1.5668857883478131</v>
      </c>
      <c r="AC263" s="101">
        <f t="shared" si="71"/>
        <v>1.7235743671825945</v>
      </c>
      <c r="AD263" s="101">
        <f t="shared" si="71"/>
        <v>1.8959318039008541</v>
      </c>
      <c r="AE263" s="101">
        <f t="shared" si="71"/>
        <v>2.0855249842909398</v>
      </c>
      <c r="AF263" s="101">
        <f t="shared" si="71"/>
        <v>2.2940774827200339</v>
      </c>
      <c r="AG263" s="101">
        <f t="shared" si="71"/>
        <v>2.5234852309920375</v>
      </c>
      <c r="AH263" s="101">
        <f t="shared" si="71"/>
        <v>2.7758337540912414</v>
      </c>
      <c r="AI263" s="101">
        <f t="shared" si="71"/>
        <v>3.053417129500366</v>
      </c>
      <c r="AJ263" s="101">
        <f t="shared" si="71"/>
        <v>3.3587588424504031</v>
      </c>
    </row>
    <row r="264" spans="7:36" ht="15" hidden="1" customHeight="1" x14ac:dyDescent="0.2">
      <c r="G264" s="60"/>
      <c r="H264" s="60"/>
      <c r="I264" s="60"/>
      <c r="J264" s="60"/>
      <c r="K264" s="60"/>
      <c r="L264" s="60"/>
      <c r="M264" s="60"/>
      <c r="N264" s="60"/>
      <c r="O264" s="60"/>
      <c r="P264" s="60"/>
      <c r="Q264" s="60"/>
      <c r="R264" s="61"/>
      <c r="S264" s="60"/>
      <c r="T264" s="60"/>
      <c r="U264" s="60"/>
      <c r="V264" s="60"/>
      <c r="W264" s="60"/>
      <c r="X264" s="60"/>
      <c r="Y264" s="60"/>
      <c r="Z264" s="60"/>
      <c r="AA264" s="60"/>
      <c r="AB264" s="60"/>
      <c r="AC264" s="60"/>
      <c r="AD264" s="60"/>
      <c r="AE264" s="60"/>
      <c r="AF264" s="60"/>
      <c r="AG264" s="60"/>
      <c r="AH264" s="60"/>
      <c r="AI264" s="60"/>
      <c r="AJ264" s="60"/>
    </row>
    <row r="265" spans="7:36" ht="15" hidden="1" customHeight="1" x14ac:dyDescent="0.2">
      <c r="G265" s="17" t="s">
        <v>4</v>
      </c>
      <c r="H265" s="17"/>
      <c r="I265" s="13"/>
      <c r="J265" s="13"/>
      <c r="K265" s="43"/>
      <c r="L265" s="43"/>
      <c r="M265" s="43"/>
      <c r="N265" s="43"/>
      <c r="O265" s="43"/>
      <c r="P265" s="43"/>
      <c r="Q265" s="43"/>
      <c r="R265" s="43"/>
      <c r="S265" s="43"/>
      <c r="T265" s="43"/>
      <c r="U265" s="43"/>
      <c r="V265" s="43"/>
      <c r="W265" s="43"/>
      <c r="X265" s="43"/>
      <c r="Y265" s="43"/>
      <c r="Z265" s="43"/>
      <c r="AA265" s="43"/>
      <c r="AB265" s="43"/>
      <c r="AC265" s="43"/>
      <c r="AD265" s="43"/>
      <c r="AE265" s="43"/>
      <c r="AF265" s="43"/>
      <c r="AG265" s="43"/>
      <c r="AH265" s="43"/>
      <c r="AI265" s="43"/>
      <c r="AJ265" s="43"/>
    </row>
    <row r="266" spans="7:36" ht="15" hidden="1" customHeight="1" x14ac:dyDescent="0.2">
      <c r="G266" s="17" t="s">
        <v>5</v>
      </c>
      <c r="H266" s="17"/>
      <c r="I266" s="13"/>
      <c r="J266" s="13"/>
      <c r="K266" s="43"/>
      <c r="L266" s="43"/>
      <c r="M266" s="43"/>
      <c r="N266" s="43"/>
      <c r="O266" s="43"/>
      <c r="P266" s="43"/>
      <c r="Q266" s="43"/>
      <c r="R266" s="43"/>
      <c r="S266" s="43"/>
      <c r="T266" s="43"/>
      <c r="U266" s="43"/>
      <c r="V266" s="43"/>
      <c r="W266" s="43"/>
      <c r="X266" s="43"/>
      <c r="Y266" s="43"/>
      <c r="Z266" s="43"/>
      <c r="AA266" s="43"/>
      <c r="AB266" s="43"/>
      <c r="AC266" s="43"/>
      <c r="AD266" s="43"/>
      <c r="AE266" s="43"/>
      <c r="AF266" s="43"/>
      <c r="AG266" s="43"/>
      <c r="AH266" s="43"/>
      <c r="AI266" s="43"/>
      <c r="AJ266" s="43"/>
    </row>
    <row r="267" spans="7:36" ht="15" hidden="1" customHeight="1" x14ac:dyDescent="0.2">
      <c r="G267" s="17" t="s">
        <v>6</v>
      </c>
      <c r="H267" s="17"/>
      <c r="I267" s="13"/>
      <c r="J267" s="13"/>
      <c r="K267" s="80">
        <f>IF(K$70&lt;$Q$42,$J$29,$P$29)</f>
        <v>0</v>
      </c>
      <c r="L267" s="80">
        <f t="shared" ref="L267:AJ267" si="72">IF(L$70&lt;$Q$42,$J$29,$P$29)</f>
        <v>0</v>
      </c>
      <c r="M267" s="80">
        <f t="shared" si="72"/>
        <v>0</v>
      </c>
      <c r="N267" s="80">
        <f t="shared" si="72"/>
        <v>0</v>
      </c>
      <c r="O267" s="80">
        <f t="shared" si="72"/>
        <v>0</v>
      </c>
      <c r="P267" s="80">
        <f t="shared" si="72"/>
        <v>0</v>
      </c>
      <c r="Q267" s="80">
        <f t="shared" si="72"/>
        <v>0</v>
      </c>
      <c r="R267" s="80">
        <f t="shared" si="72"/>
        <v>0</v>
      </c>
      <c r="S267" s="80">
        <f t="shared" si="72"/>
        <v>0</v>
      </c>
      <c r="T267" s="80">
        <f t="shared" si="72"/>
        <v>0</v>
      </c>
      <c r="U267" s="80">
        <f t="shared" si="72"/>
        <v>0</v>
      </c>
      <c r="V267" s="80">
        <f t="shared" si="72"/>
        <v>0</v>
      </c>
      <c r="W267" s="80">
        <f t="shared" si="72"/>
        <v>0</v>
      </c>
      <c r="X267" s="80">
        <f t="shared" si="72"/>
        <v>0</v>
      </c>
      <c r="Y267" s="80">
        <f t="shared" si="72"/>
        <v>0</v>
      </c>
      <c r="Z267" s="80">
        <f t="shared" si="72"/>
        <v>0</v>
      </c>
      <c r="AA267" s="80">
        <f t="shared" si="72"/>
        <v>0</v>
      </c>
      <c r="AB267" s="80">
        <f t="shared" si="72"/>
        <v>0</v>
      </c>
      <c r="AC267" s="80">
        <f t="shared" si="72"/>
        <v>0</v>
      </c>
      <c r="AD267" s="80">
        <f t="shared" si="72"/>
        <v>0</v>
      </c>
      <c r="AE267" s="80">
        <f t="shared" si="72"/>
        <v>0</v>
      </c>
      <c r="AF267" s="80">
        <f t="shared" si="72"/>
        <v>0</v>
      </c>
      <c r="AG267" s="80">
        <f t="shared" si="72"/>
        <v>0</v>
      </c>
      <c r="AH267" s="80">
        <f t="shared" si="72"/>
        <v>0</v>
      </c>
      <c r="AI267" s="80">
        <f t="shared" si="72"/>
        <v>0</v>
      </c>
      <c r="AJ267" s="80">
        <f t="shared" si="72"/>
        <v>0</v>
      </c>
    </row>
    <row r="268" spans="7:36" ht="15" hidden="1" customHeight="1" x14ac:dyDescent="0.2">
      <c r="G268" s="17"/>
      <c r="H268" s="17"/>
      <c r="I268" s="13"/>
      <c r="J268" s="13"/>
      <c r="K268" s="35"/>
      <c r="L268" s="35"/>
      <c r="M268" s="35"/>
      <c r="N268" s="35"/>
      <c r="O268" s="35"/>
      <c r="P268" s="35"/>
      <c r="Q268" s="35"/>
      <c r="R268" s="35"/>
      <c r="S268" s="35"/>
      <c r="T268" s="35"/>
      <c r="U268" s="35"/>
      <c r="V268" s="35"/>
      <c r="W268" s="35"/>
      <c r="X268" s="35"/>
      <c r="Y268" s="35"/>
      <c r="Z268" s="35"/>
      <c r="AA268" s="35"/>
      <c r="AB268" s="35"/>
      <c r="AC268" s="35"/>
      <c r="AD268" s="35"/>
      <c r="AE268" s="35"/>
      <c r="AF268" s="35"/>
      <c r="AG268" s="35"/>
      <c r="AH268" s="35"/>
      <c r="AI268" s="35"/>
      <c r="AJ268" s="35"/>
    </row>
    <row r="269" spans="7:36" ht="15" hidden="1" customHeight="1" x14ac:dyDescent="0.2">
      <c r="G269" s="17" t="s">
        <v>7</v>
      </c>
      <c r="H269" s="17"/>
      <c r="I269" s="13"/>
      <c r="J269" s="13"/>
      <c r="K269" s="43"/>
      <c r="L269" s="43"/>
      <c r="M269" s="43"/>
      <c r="N269" s="43"/>
      <c r="O269" s="43"/>
      <c r="P269" s="43"/>
      <c r="Q269" s="43"/>
      <c r="R269" s="43"/>
      <c r="S269" s="43"/>
      <c r="T269" s="43"/>
      <c r="U269" s="43"/>
      <c r="V269" s="43"/>
      <c r="W269" s="43"/>
      <c r="X269" s="43"/>
      <c r="Y269" s="43"/>
      <c r="Z269" s="43"/>
      <c r="AA269" s="43"/>
      <c r="AB269" s="43"/>
      <c r="AC269" s="43"/>
      <c r="AD269" s="43"/>
      <c r="AE269" s="43"/>
      <c r="AF269" s="43"/>
      <c r="AG269" s="43"/>
      <c r="AH269" s="43"/>
      <c r="AI269" s="43"/>
      <c r="AJ269" s="43"/>
    </row>
    <row r="270" spans="7:36" ht="15" hidden="1" customHeight="1" x14ac:dyDescent="0.2">
      <c r="G270" s="17" t="s">
        <v>8</v>
      </c>
      <c r="H270" s="17"/>
      <c r="I270" s="13"/>
      <c r="J270" s="13"/>
      <c r="K270" s="43"/>
      <c r="L270" s="43"/>
      <c r="M270" s="43"/>
      <c r="N270" s="43"/>
      <c r="O270" s="43"/>
      <c r="P270" s="43"/>
      <c r="Q270" s="43"/>
      <c r="R270" s="43"/>
      <c r="S270" s="43"/>
      <c r="T270" s="43"/>
      <c r="U270" s="43"/>
      <c r="V270" s="43"/>
      <c r="W270" s="43"/>
      <c r="X270" s="43"/>
      <c r="Y270" s="43"/>
      <c r="Z270" s="43"/>
      <c r="AA270" s="43"/>
      <c r="AB270" s="43"/>
      <c r="AC270" s="43"/>
      <c r="AD270" s="43"/>
      <c r="AE270" s="43"/>
      <c r="AF270" s="43"/>
      <c r="AG270" s="43"/>
      <c r="AH270" s="43"/>
      <c r="AI270" s="43"/>
      <c r="AJ270" s="43"/>
    </row>
    <row r="271" spans="7:36" ht="15" hidden="1" customHeight="1" x14ac:dyDescent="0.2">
      <c r="G271" s="17" t="s">
        <v>9</v>
      </c>
      <c r="H271" s="17"/>
      <c r="I271" s="13"/>
      <c r="J271" s="13"/>
      <c r="K271" s="35">
        <f>K262*K267</f>
        <v>0</v>
      </c>
      <c r="L271" s="35">
        <f t="shared" ref="L271:AI271" si="73">L262*L267</f>
        <v>0</v>
      </c>
      <c r="M271" s="35">
        <f t="shared" si="73"/>
        <v>0</v>
      </c>
      <c r="N271" s="35">
        <f t="shared" si="73"/>
        <v>0</v>
      </c>
      <c r="O271" s="35">
        <f t="shared" si="73"/>
        <v>0</v>
      </c>
      <c r="P271" s="35">
        <f t="shared" si="73"/>
        <v>0</v>
      </c>
      <c r="Q271" s="35">
        <f t="shared" si="73"/>
        <v>0</v>
      </c>
      <c r="R271" s="35">
        <f t="shared" si="73"/>
        <v>0</v>
      </c>
      <c r="S271" s="35">
        <f t="shared" si="73"/>
        <v>0</v>
      </c>
      <c r="T271" s="35">
        <f t="shared" si="73"/>
        <v>0</v>
      </c>
      <c r="U271" s="35">
        <f t="shared" si="73"/>
        <v>0</v>
      </c>
      <c r="V271" s="35">
        <f t="shared" si="73"/>
        <v>0</v>
      </c>
      <c r="W271" s="35">
        <f t="shared" si="73"/>
        <v>0</v>
      </c>
      <c r="X271" s="35">
        <f t="shared" si="73"/>
        <v>0</v>
      </c>
      <c r="Y271" s="35">
        <f t="shared" si="73"/>
        <v>0</v>
      </c>
      <c r="Z271" s="35">
        <f t="shared" si="73"/>
        <v>0</v>
      </c>
      <c r="AA271" s="35">
        <f t="shared" si="73"/>
        <v>0</v>
      </c>
      <c r="AB271" s="35">
        <f t="shared" si="73"/>
        <v>0</v>
      </c>
      <c r="AC271" s="35">
        <f t="shared" si="73"/>
        <v>0</v>
      </c>
      <c r="AD271" s="35">
        <f t="shared" si="73"/>
        <v>0</v>
      </c>
      <c r="AE271" s="35">
        <f t="shared" si="73"/>
        <v>0</v>
      </c>
      <c r="AF271" s="35">
        <f t="shared" si="73"/>
        <v>0</v>
      </c>
      <c r="AG271" s="35">
        <f t="shared" si="73"/>
        <v>0</v>
      </c>
      <c r="AH271" s="35">
        <f t="shared" si="73"/>
        <v>0</v>
      </c>
      <c r="AI271" s="35">
        <f t="shared" si="73"/>
        <v>0</v>
      </c>
      <c r="AJ271" s="35">
        <f>AJ262*AJ267</f>
        <v>0</v>
      </c>
    </row>
    <row r="272" spans="7:36" ht="15" hidden="1" customHeight="1" x14ac:dyDescent="0.2">
      <c r="G272" s="17"/>
      <c r="H272" s="17"/>
      <c r="I272" s="13"/>
      <c r="J272" s="13"/>
      <c r="K272" s="35"/>
      <c r="L272" s="35"/>
      <c r="M272" s="35"/>
      <c r="N272" s="35"/>
      <c r="O272" s="35"/>
      <c r="P272" s="35"/>
      <c r="Q272" s="35"/>
      <c r="R272" s="35"/>
      <c r="S272" s="35"/>
      <c r="T272" s="35"/>
      <c r="U272" s="35"/>
      <c r="V272" s="35"/>
      <c r="W272" s="35"/>
      <c r="X272" s="35"/>
      <c r="Y272" s="35"/>
      <c r="Z272" s="35"/>
      <c r="AA272" s="35"/>
      <c r="AB272" s="35"/>
      <c r="AC272" s="35"/>
      <c r="AD272" s="35"/>
      <c r="AE272" s="35"/>
      <c r="AF272" s="35"/>
      <c r="AG272" s="35"/>
      <c r="AH272" s="35"/>
      <c r="AI272" s="35"/>
      <c r="AJ272" s="35"/>
    </row>
    <row r="273" spans="7:36" ht="15" hidden="1" customHeight="1" x14ac:dyDescent="0.2">
      <c r="G273" s="17" t="s">
        <v>10</v>
      </c>
      <c r="H273" s="17"/>
      <c r="I273" s="13"/>
      <c r="J273" s="13"/>
      <c r="K273" s="43"/>
      <c r="L273" s="43"/>
      <c r="M273" s="43"/>
      <c r="N273" s="43"/>
      <c r="O273" s="43"/>
      <c r="P273" s="43"/>
      <c r="Q273" s="43"/>
      <c r="R273" s="43"/>
      <c r="S273" s="43"/>
      <c r="T273" s="43"/>
      <c r="U273" s="43"/>
      <c r="V273" s="43"/>
      <c r="W273" s="43"/>
      <c r="X273" s="43"/>
      <c r="Y273" s="43"/>
      <c r="Z273" s="43"/>
      <c r="AA273" s="43"/>
      <c r="AB273" s="43"/>
      <c r="AC273" s="43"/>
      <c r="AD273" s="43"/>
      <c r="AE273" s="43"/>
      <c r="AF273" s="43"/>
      <c r="AG273" s="43"/>
      <c r="AH273" s="43"/>
      <c r="AI273" s="43"/>
      <c r="AJ273" s="43"/>
    </row>
    <row r="274" spans="7:36" ht="15" hidden="1" customHeight="1" x14ac:dyDescent="0.2">
      <c r="G274" s="17" t="s">
        <v>11</v>
      </c>
      <c r="H274" s="17"/>
      <c r="I274" s="13"/>
      <c r="J274" s="13"/>
      <c r="K274" s="43"/>
      <c r="L274" s="43"/>
      <c r="M274" s="43"/>
      <c r="N274" s="43"/>
      <c r="O274" s="43"/>
      <c r="P274" s="43"/>
      <c r="Q274" s="43"/>
      <c r="R274" s="43"/>
      <c r="S274" s="43"/>
      <c r="T274" s="43"/>
      <c r="U274" s="43"/>
      <c r="V274" s="43"/>
      <c r="W274" s="43"/>
      <c r="X274" s="43"/>
      <c r="Y274" s="43"/>
      <c r="Z274" s="43"/>
      <c r="AA274" s="43"/>
      <c r="AB274" s="43"/>
      <c r="AC274" s="43"/>
      <c r="AD274" s="43"/>
      <c r="AE274" s="43"/>
      <c r="AF274" s="43"/>
      <c r="AG274" s="43"/>
      <c r="AH274" s="43"/>
      <c r="AI274" s="43"/>
      <c r="AJ274" s="43"/>
    </row>
    <row r="275" spans="7:36" ht="15" hidden="1" customHeight="1" x14ac:dyDescent="0.2">
      <c r="G275" s="17" t="s">
        <v>12</v>
      </c>
      <c r="H275" s="17"/>
      <c r="I275" s="13"/>
      <c r="J275" s="13"/>
      <c r="K275" s="35">
        <f>K$263*K267</f>
        <v>0</v>
      </c>
      <c r="L275" s="35">
        <f t="shared" ref="L275:AI275" si="74">L$263*L267</f>
        <v>0</v>
      </c>
      <c r="M275" s="35">
        <f t="shared" si="74"/>
        <v>0</v>
      </c>
      <c r="N275" s="35">
        <f t="shared" si="74"/>
        <v>0</v>
      </c>
      <c r="O275" s="35">
        <f t="shared" si="74"/>
        <v>0</v>
      </c>
      <c r="P275" s="35">
        <f t="shared" si="74"/>
        <v>0</v>
      </c>
      <c r="Q275" s="35">
        <f t="shared" si="74"/>
        <v>0</v>
      </c>
      <c r="R275" s="35">
        <f t="shared" si="74"/>
        <v>0</v>
      </c>
      <c r="S275" s="35">
        <f t="shared" si="74"/>
        <v>0</v>
      </c>
      <c r="T275" s="35">
        <f t="shared" si="74"/>
        <v>0</v>
      </c>
      <c r="U275" s="35">
        <f t="shared" si="74"/>
        <v>0</v>
      </c>
      <c r="V275" s="35">
        <f t="shared" si="74"/>
        <v>0</v>
      </c>
      <c r="W275" s="35">
        <f t="shared" si="74"/>
        <v>0</v>
      </c>
      <c r="X275" s="35">
        <f t="shared" si="74"/>
        <v>0</v>
      </c>
      <c r="Y275" s="35">
        <f t="shared" si="74"/>
        <v>0</v>
      </c>
      <c r="Z275" s="35">
        <f t="shared" si="74"/>
        <v>0</v>
      </c>
      <c r="AA275" s="35">
        <f t="shared" si="74"/>
        <v>0</v>
      </c>
      <c r="AB275" s="35">
        <f t="shared" si="74"/>
        <v>0</v>
      </c>
      <c r="AC275" s="35">
        <f t="shared" si="74"/>
        <v>0</v>
      </c>
      <c r="AD275" s="35">
        <f t="shared" si="74"/>
        <v>0</v>
      </c>
      <c r="AE275" s="35">
        <f t="shared" si="74"/>
        <v>0</v>
      </c>
      <c r="AF275" s="35">
        <f t="shared" si="74"/>
        <v>0</v>
      </c>
      <c r="AG275" s="35">
        <f t="shared" si="74"/>
        <v>0</v>
      </c>
      <c r="AH275" s="35">
        <f t="shared" si="74"/>
        <v>0</v>
      </c>
      <c r="AI275" s="35">
        <f t="shared" si="74"/>
        <v>0</v>
      </c>
      <c r="AJ275" s="35">
        <f>AJ$263*AJ267</f>
        <v>0</v>
      </c>
    </row>
    <row r="276" spans="7:36" ht="15" hidden="1" customHeight="1" x14ac:dyDescent="0.2">
      <c r="G276" s="17" t="s">
        <v>13</v>
      </c>
      <c r="H276" s="17"/>
      <c r="I276" s="13"/>
      <c r="J276" s="13"/>
      <c r="K276" s="35">
        <f t="shared" ref="K276:AI276" si="75">K$88*K271</f>
        <v>0</v>
      </c>
      <c r="L276" s="35">
        <f t="shared" si="75"/>
        <v>0</v>
      </c>
      <c r="M276" s="35">
        <f t="shared" si="75"/>
        <v>0</v>
      </c>
      <c r="N276" s="35">
        <f t="shared" si="75"/>
        <v>0</v>
      </c>
      <c r="O276" s="35">
        <f t="shared" si="75"/>
        <v>0</v>
      </c>
      <c r="P276" s="35">
        <f t="shared" si="75"/>
        <v>0</v>
      </c>
      <c r="Q276" s="35">
        <f t="shared" si="75"/>
        <v>0</v>
      </c>
      <c r="R276" s="35">
        <f t="shared" si="75"/>
        <v>0</v>
      </c>
      <c r="S276" s="35">
        <f t="shared" si="75"/>
        <v>0</v>
      </c>
      <c r="T276" s="35">
        <f t="shared" si="75"/>
        <v>0</v>
      </c>
      <c r="U276" s="35">
        <f t="shared" si="75"/>
        <v>0</v>
      </c>
      <c r="V276" s="35">
        <f t="shared" si="75"/>
        <v>0</v>
      </c>
      <c r="W276" s="35">
        <f t="shared" si="75"/>
        <v>0</v>
      </c>
      <c r="X276" s="35">
        <f t="shared" si="75"/>
        <v>0</v>
      </c>
      <c r="Y276" s="35">
        <f t="shared" si="75"/>
        <v>0</v>
      </c>
      <c r="Z276" s="35">
        <f t="shared" si="75"/>
        <v>0</v>
      </c>
      <c r="AA276" s="35">
        <f t="shared" si="75"/>
        <v>0</v>
      </c>
      <c r="AB276" s="35">
        <f t="shared" si="75"/>
        <v>0</v>
      </c>
      <c r="AC276" s="35">
        <f t="shared" si="75"/>
        <v>0</v>
      </c>
      <c r="AD276" s="35">
        <f t="shared" si="75"/>
        <v>0</v>
      </c>
      <c r="AE276" s="35">
        <f t="shared" si="75"/>
        <v>0</v>
      </c>
      <c r="AF276" s="35">
        <f t="shared" si="75"/>
        <v>0</v>
      </c>
      <c r="AG276" s="35">
        <f t="shared" si="75"/>
        <v>0</v>
      </c>
      <c r="AH276" s="35">
        <f t="shared" si="75"/>
        <v>0</v>
      </c>
      <c r="AI276" s="35">
        <f t="shared" si="75"/>
        <v>0</v>
      </c>
      <c r="AJ276" s="35">
        <f>AJ$88*AJ271</f>
        <v>0</v>
      </c>
    </row>
    <row r="277" spans="7:36" ht="15" hidden="1" customHeight="1" x14ac:dyDescent="0.2">
      <c r="G277" s="17"/>
      <c r="H277" s="17"/>
      <c r="I277" s="13"/>
      <c r="J277" s="13"/>
      <c r="K277" s="35"/>
      <c r="L277" s="35"/>
      <c r="M277" s="35"/>
      <c r="N277" s="35"/>
      <c r="O277" s="35"/>
      <c r="P277" s="35"/>
      <c r="Q277" s="35"/>
      <c r="R277" s="35"/>
      <c r="S277" s="35"/>
      <c r="T277" s="35"/>
      <c r="U277" s="35"/>
      <c r="V277" s="35"/>
      <c r="W277" s="35"/>
      <c r="X277" s="35"/>
      <c r="Y277" s="35"/>
      <c r="Z277" s="35"/>
      <c r="AA277" s="35"/>
      <c r="AB277" s="35"/>
      <c r="AC277" s="35"/>
      <c r="AD277" s="35"/>
      <c r="AE277" s="35"/>
      <c r="AF277" s="35"/>
      <c r="AG277" s="35"/>
      <c r="AH277" s="35"/>
      <c r="AI277" s="35"/>
      <c r="AJ277" s="35"/>
    </row>
    <row r="278" spans="7:36" ht="15" hidden="1" customHeight="1" x14ac:dyDescent="0.2">
      <c r="G278" s="17" t="s">
        <v>14</v>
      </c>
      <c r="H278" s="17"/>
      <c r="I278" s="13"/>
      <c r="J278" s="13"/>
      <c r="K278" s="35">
        <f>SUM(K273:K276)</f>
        <v>0</v>
      </c>
      <c r="L278" s="35">
        <f t="shared" ref="L278:AH278" si="76">SUM(L273:L276)</f>
        <v>0</v>
      </c>
      <c r="M278" s="35">
        <f t="shared" si="76"/>
        <v>0</v>
      </c>
      <c r="N278" s="35">
        <f t="shared" si="76"/>
        <v>0</v>
      </c>
      <c r="O278" s="35">
        <f t="shared" si="76"/>
        <v>0</v>
      </c>
      <c r="P278" s="35">
        <f t="shared" si="76"/>
        <v>0</v>
      </c>
      <c r="Q278" s="35">
        <f t="shared" si="76"/>
        <v>0</v>
      </c>
      <c r="R278" s="35">
        <f t="shared" si="76"/>
        <v>0</v>
      </c>
      <c r="S278" s="35">
        <f t="shared" si="76"/>
        <v>0</v>
      </c>
      <c r="T278" s="35">
        <f t="shared" si="76"/>
        <v>0</v>
      </c>
      <c r="U278" s="35">
        <f t="shared" si="76"/>
        <v>0</v>
      </c>
      <c r="V278" s="35">
        <f t="shared" si="76"/>
        <v>0</v>
      </c>
      <c r="W278" s="35">
        <f t="shared" si="76"/>
        <v>0</v>
      </c>
      <c r="X278" s="35">
        <f t="shared" si="76"/>
        <v>0</v>
      </c>
      <c r="Y278" s="35">
        <f t="shared" si="76"/>
        <v>0</v>
      </c>
      <c r="Z278" s="35">
        <f t="shared" si="76"/>
        <v>0</v>
      </c>
      <c r="AA278" s="35">
        <f t="shared" si="76"/>
        <v>0</v>
      </c>
      <c r="AB278" s="35">
        <f t="shared" si="76"/>
        <v>0</v>
      </c>
      <c r="AC278" s="35">
        <f t="shared" si="76"/>
        <v>0</v>
      </c>
      <c r="AD278" s="35">
        <f t="shared" si="76"/>
        <v>0</v>
      </c>
      <c r="AE278" s="35">
        <f t="shared" si="76"/>
        <v>0</v>
      </c>
      <c r="AF278" s="35">
        <f t="shared" si="76"/>
        <v>0</v>
      </c>
      <c r="AG278" s="35">
        <f t="shared" si="76"/>
        <v>0</v>
      </c>
      <c r="AH278" s="35">
        <f t="shared" si="76"/>
        <v>0</v>
      </c>
      <c r="AI278" s="35">
        <f>SUM(AI273:AI276)</f>
        <v>0</v>
      </c>
      <c r="AJ278" s="35">
        <f>SUM(AJ273:AJ276)</f>
        <v>0</v>
      </c>
    </row>
    <row r="279" spans="7:36" ht="15" hidden="1" customHeight="1" x14ac:dyDescent="0.2">
      <c r="G279" s="17" t="s">
        <v>435</v>
      </c>
      <c r="H279" s="17"/>
      <c r="I279" s="13"/>
      <c r="J279" s="13"/>
      <c r="K279" s="35">
        <f>K278</f>
        <v>0</v>
      </c>
      <c r="L279" s="35">
        <f t="shared" ref="L279:AI279" si="77">K279+L278</f>
        <v>0</v>
      </c>
      <c r="M279" s="35">
        <f t="shared" si="77"/>
        <v>0</v>
      </c>
      <c r="N279" s="35">
        <f t="shared" si="77"/>
        <v>0</v>
      </c>
      <c r="O279" s="35">
        <f t="shared" si="77"/>
        <v>0</v>
      </c>
      <c r="P279" s="35">
        <f t="shared" si="77"/>
        <v>0</v>
      </c>
      <c r="Q279" s="35">
        <f t="shared" si="77"/>
        <v>0</v>
      </c>
      <c r="R279" s="35">
        <f t="shared" si="77"/>
        <v>0</v>
      </c>
      <c r="S279" s="35">
        <f t="shared" si="77"/>
        <v>0</v>
      </c>
      <c r="T279" s="35">
        <f t="shared" si="77"/>
        <v>0</v>
      </c>
      <c r="U279" s="35">
        <f t="shared" si="77"/>
        <v>0</v>
      </c>
      <c r="V279" s="35">
        <f t="shared" si="77"/>
        <v>0</v>
      </c>
      <c r="W279" s="35">
        <f t="shared" si="77"/>
        <v>0</v>
      </c>
      <c r="X279" s="35">
        <f t="shared" si="77"/>
        <v>0</v>
      </c>
      <c r="Y279" s="35">
        <f t="shared" si="77"/>
        <v>0</v>
      </c>
      <c r="Z279" s="35">
        <f t="shared" si="77"/>
        <v>0</v>
      </c>
      <c r="AA279" s="35">
        <f t="shared" si="77"/>
        <v>0</v>
      </c>
      <c r="AB279" s="35">
        <f t="shared" si="77"/>
        <v>0</v>
      </c>
      <c r="AC279" s="35">
        <f t="shared" si="77"/>
        <v>0</v>
      </c>
      <c r="AD279" s="35">
        <f t="shared" si="77"/>
        <v>0</v>
      </c>
      <c r="AE279" s="35">
        <f t="shared" si="77"/>
        <v>0</v>
      </c>
      <c r="AF279" s="35">
        <f t="shared" si="77"/>
        <v>0</v>
      </c>
      <c r="AG279" s="35">
        <f t="shared" si="77"/>
        <v>0</v>
      </c>
      <c r="AH279" s="35">
        <f t="shared" si="77"/>
        <v>0</v>
      </c>
      <c r="AI279" s="35">
        <f t="shared" si="77"/>
        <v>0</v>
      </c>
      <c r="AJ279" s="35">
        <f>AI279+AJ278</f>
        <v>0</v>
      </c>
    </row>
    <row r="280" spans="7:36" ht="15" hidden="1" customHeight="1" x14ac:dyDescent="0.2">
      <c r="G280" s="17"/>
      <c r="H280" s="17"/>
      <c r="I280" s="13"/>
      <c r="J280" s="13"/>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row>
    <row r="281" spans="7:36" ht="15" hidden="1" customHeight="1" x14ac:dyDescent="0.2">
      <c r="G281" s="17" t="s">
        <v>17</v>
      </c>
      <c r="H281" s="17"/>
      <c r="I281" s="13"/>
      <c r="J281" s="13"/>
      <c r="K281" s="35">
        <f>K278/(((Data!$P$186/100)+1)^K$70)</f>
        <v>0</v>
      </c>
      <c r="L281" s="35">
        <f>L278/(((Data!$P$186/100)+1)^L$70)</f>
        <v>0</v>
      </c>
      <c r="M281" s="35">
        <f>M278/(((Data!$P$186/100)+1)^M$70)</f>
        <v>0</v>
      </c>
      <c r="N281" s="35">
        <f>N278/(((Data!$P$186/100)+1)^N$70)</f>
        <v>0</v>
      </c>
      <c r="O281" s="35">
        <f>O278/(((Data!$P$186/100)+1)^O$70)</f>
        <v>0</v>
      </c>
      <c r="P281" s="35">
        <f>P278/(((Data!$P$186/100)+1)^P$70)</f>
        <v>0</v>
      </c>
      <c r="Q281" s="35">
        <f>Q278/(((Data!$P$186/100)+1)^Q$70)</f>
        <v>0</v>
      </c>
      <c r="R281" s="35">
        <f>R278/(((Data!$P$186/100)+1)^R$70)</f>
        <v>0</v>
      </c>
      <c r="S281" s="35">
        <f>S278/(((Data!$P$186/100)+1)^S$70)</f>
        <v>0</v>
      </c>
      <c r="T281" s="35">
        <f>T278/(((Data!$P$186/100)+1)^T$70)</f>
        <v>0</v>
      </c>
      <c r="U281" s="35">
        <f>U278/(((Data!$P$186/100)+1)^U$70)</f>
        <v>0</v>
      </c>
      <c r="V281" s="35">
        <f>V278/(((Data!$P$186/100)+1)^V$70)</f>
        <v>0</v>
      </c>
      <c r="W281" s="35">
        <f>W278/(((Data!$P$186/100)+1)^W$70)</f>
        <v>0</v>
      </c>
      <c r="X281" s="35">
        <f>X278/(((Data!$P$186/100)+1)^X$70)</f>
        <v>0</v>
      </c>
      <c r="Y281" s="35">
        <f>Y278/(((Data!$P$186/100)+1)^Y$70)</f>
        <v>0</v>
      </c>
      <c r="Z281" s="35">
        <f>Z278/(((Data!$P$186/100)+1)^Z$70)</f>
        <v>0</v>
      </c>
      <c r="AA281" s="35">
        <f>AA278/(((Data!$P$186/100)+1)^AA$70)</f>
        <v>0</v>
      </c>
      <c r="AB281" s="35">
        <f>AB278/(((Data!$P$186/100)+1)^AB$70)</f>
        <v>0</v>
      </c>
      <c r="AC281" s="35">
        <f>AC278/(((Data!$P$186/100)+1)^AC$70)</f>
        <v>0</v>
      </c>
      <c r="AD281" s="35">
        <f>AD278/(((Data!$P$186/100)+1)^AD$70)</f>
        <v>0</v>
      </c>
      <c r="AE281" s="35">
        <f>AE278/(((Data!$P$186/100)+1)^AE$70)</f>
        <v>0</v>
      </c>
      <c r="AF281" s="35">
        <f>AF278/(((Data!$P$186/100)+1)^AF$70)</f>
        <v>0</v>
      </c>
      <c r="AG281" s="35">
        <f>AG278/(((Data!$P$186/100)+1)^AG$70)</f>
        <v>0</v>
      </c>
      <c r="AH281" s="35">
        <f>AH278/(((Data!$P$186/100)+1)^AH$70)</f>
        <v>0</v>
      </c>
      <c r="AI281" s="35">
        <f>AI278/(((Data!$P$186/100)+1)^AI$70)</f>
        <v>0</v>
      </c>
      <c r="AJ281" s="35">
        <f>AJ278/(((Data!$P$186/100)+1)^AJ$70)</f>
        <v>0</v>
      </c>
    </row>
    <row r="282" spans="7:36" ht="15" hidden="1" customHeight="1" x14ac:dyDescent="0.2">
      <c r="G282" s="15" t="s">
        <v>184</v>
      </c>
      <c r="H282" s="15"/>
      <c r="I282" s="13"/>
      <c r="J282" s="13"/>
      <c r="K282" s="36">
        <f>K281</f>
        <v>0</v>
      </c>
      <c r="L282" s="36">
        <f t="shared" ref="L282:AJ282" si="78">K282+L281</f>
        <v>0</v>
      </c>
      <c r="M282" s="36">
        <f t="shared" si="78"/>
        <v>0</v>
      </c>
      <c r="N282" s="36">
        <f t="shared" si="78"/>
        <v>0</v>
      </c>
      <c r="O282" s="36">
        <f t="shared" si="78"/>
        <v>0</v>
      </c>
      <c r="P282" s="36">
        <f t="shared" si="78"/>
        <v>0</v>
      </c>
      <c r="Q282" s="36">
        <f t="shared" si="78"/>
        <v>0</v>
      </c>
      <c r="R282" s="36">
        <f t="shared" si="78"/>
        <v>0</v>
      </c>
      <c r="S282" s="36">
        <f t="shared" si="78"/>
        <v>0</v>
      </c>
      <c r="T282" s="36">
        <f t="shared" si="78"/>
        <v>0</v>
      </c>
      <c r="U282" s="36">
        <f t="shared" si="78"/>
        <v>0</v>
      </c>
      <c r="V282" s="36">
        <f t="shared" si="78"/>
        <v>0</v>
      </c>
      <c r="W282" s="36">
        <f t="shared" si="78"/>
        <v>0</v>
      </c>
      <c r="X282" s="36">
        <f t="shared" si="78"/>
        <v>0</v>
      </c>
      <c r="Y282" s="36">
        <f t="shared" si="78"/>
        <v>0</v>
      </c>
      <c r="Z282" s="36">
        <f t="shared" si="78"/>
        <v>0</v>
      </c>
      <c r="AA282" s="36">
        <f t="shared" si="78"/>
        <v>0</v>
      </c>
      <c r="AB282" s="36">
        <f t="shared" si="78"/>
        <v>0</v>
      </c>
      <c r="AC282" s="36">
        <f t="shared" si="78"/>
        <v>0</v>
      </c>
      <c r="AD282" s="36">
        <f t="shared" si="78"/>
        <v>0</v>
      </c>
      <c r="AE282" s="36">
        <f t="shared" si="78"/>
        <v>0</v>
      </c>
      <c r="AF282" s="36">
        <f t="shared" si="78"/>
        <v>0</v>
      </c>
      <c r="AG282" s="36">
        <f t="shared" si="78"/>
        <v>0</v>
      </c>
      <c r="AH282" s="36">
        <f t="shared" si="78"/>
        <v>0</v>
      </c>
      <c r="AI282" s="36">
        <f t="shared" si="78"/>
        <v>0</v>
      </c>
      <c r="AJ282" s="36">
        <f t="shared" si="78"/>
        <v>0</v>
      </c>
    </row>
    <row r="283" spans="7:36" ht="15" hidden="1" customHeight="1" x14ac:dyDescent="0.2">
      <c r="G283" s="8"/>
      <c r="H283" s="8"/>
      <c r="I283" s="8"/>
      <c r="J283" s="8"/>
      <c r="K283" s="8"/>
      <c r="L283" s="8"/>
      <c r="M283" s="8"/>
      <c r="N283" s="8"/>
      <c r="O283" s="8"/>
      <c r="P283" s="8"/>
      <c r="Q283" s="8"/>
      <c r="R283" s="8"/>
      <c r="S283" s="8"/>
      <c r="T283" s="9"/>
      <c r="U283" s="8"/>
      <c r="V283" s="8"/>
      <c r="W283" s="8"/>
      <c r="X283" s="8"/>
      <c r="Y283" s="8"/>
      <c r="Z283" s="8"/>
      <c r="AA283" s="8"/>
      <c r="AB283" s="8"/>
      <c r="AC283" s="8"/>
      <c r="AD283" s="8"/>
      <c r="AE283" s="8"/>
      <c r="AF283" s="8"/>
      <c r="AG283" s="8"/>
      <c r="AH283" s="8"/>
      <c r="AI283" s="8"/>
      <c r="AJ283" s="8"/>
    </row>
    <row r="284" spans="7:36" ht="15" hidden="1" customHeight="1" x14ac:dyDescent="0.2">
      <c r="G284" s="906" t="s">
        <v>515</v>
      </c>
      <c r="H284" s="839"/>
      <c r="I284" s="839"/>
      <c r="J284" s="839"/>
      <c r="K284" s="917"/>
      <c r="L284" s="917"/>
      <c r="M284" s="917"/>
      <c r="N284" s="917"/>
      <c r="O284" s="917"/>
      <c r="P284" s="917"/>
      <c r="Q284" s="917"/>
      <c r="R284" s="917"/>
      <c r="S284" s="917"/>
      <c r="T284" s="917"/>
      <c r="U284" s="917"/>
      <c r="V284" s="917"/>
      <c r="W284" s="917"/>
      <c r="X284" s="917"/>
      <c r="Y284" s="917"/>
      <c r="Z284" s="917"/>
      <c r="AA284" s="917"/>
      <c r="AB284" s="917"/>
      <c r="AC284" s="917"/>
      <c r="AD284" s="917"/>
      <c r="AE284" s="917"/>
      <c r="AF284" s="917"/>
      <c r="AG284" s="917"/>
      <c r="AH284" s="917"/>
      <c r="AI284" s="917"/>
      <c r="AJ284" s="917"/>
    </row>
    <row r="285" spans="7:36" ht="15" hidden="1" customHeight="1" x14ac:dyDescent="0.2">
      <c r="G285" s="839"/>
      <c r="H285" s="839"/>
      <c r="I285" s="839"/>
      <c r="J285" s="839"/>
      <c r="K285" s="917"/>
      <c r="L285" s="917"/>
      <c r="M285" s="917"/>
      <c r="N285" s="917"/>
      <c r="O285" s="917"/>
      <c r="P285" s="917"/>
      <c r="Q285" s="917"/>
      <c r="R285" s="917"/>
      <c r="S285" s="917"/>
      <c r="T285" s="917"/>
      <c r="U285" s="917"/>
      <c r="V285" s="917"/>
      <c r="W285" s="917"/>
      <c r="X285" s="917"/>
      <c r="Y285" s="917"/>
      <c r="Z285" s="917"/>
      <c r="AA285" s="917"/>
      <c r="AB285" s="917"/>
      <c r="AC285" s="917"/>
      <c r="AD285" s="917"/>
      <c r="AE285" s="917"/>
      <c r="AF285" s="917"/>
      <c r="AG285" s="917"/>
      <c r="AH285" s="917"/>
      <c r="AI285" s="917"/>
      <c r="AJ285" s="917"/>
    </row>
    <row r="286" spans="7:36" ht="15" hidden="1" customHeight="1" x14ac:dyDescent="0.2">
      <c r="G286" s="839" t="s">
        <v>2</v>
      </c>
      <c r="H286" s="864"/>
      <c r="I286" s="864"/>
      <c r="J286" s="864"/>
      <c r="K286" s="925">
        <f>K$79</f>
        <v>0.19338</v>
      </c>
      <c r="L286" s="925">
        <f t="shared" ref="L286:AJ286" si="79">L$79</f>
        <v>0.18757859999999998</v>
      </c>
      <c r="M286" s="925">
        <f t="shared" si="79"/>
        <v>0.18195124199999999</v>
      </c>
      <c r="N286" s="925">
        <f t="shared" si="79"/>
        <v>0.17649270473999998</v>
      </c>
      <c r="O286" s="925">
        <f t="shared" si="79"/>
        <v>0.17119792359779998</v>
      </c>
      <c r="P286" s="925">
        <f t="shared" si="79"/>
        <v>0.16606198588986598</v>
      </c>
      <c r="Q286" s="925">
        <f t="shared" si="79"/>
        <v>0.16108012631317001</v>
      </c>
      <c r="R286" s="925">
        <f t="shared" si="79"/>
        <v>0.15624772252377489</v>
      </c>
      <c r="S286" s="925">
        <f t="shared" si="79"/>
        <v>0.15156029084806164</v>
      </c>
      <c r="T286" s="925">
        <f t="shared" si="79"/>
        <v>0.14701348212261978</v>
      </c>
      <c r="U286" s="925">
        <f t="shared" si="79"/>
        <v>0.14260307765894117</v>
      </c>
      <c r="V286" s="925">
        <f t="shared" si="79"/>
        <v>0.13832498532917292</v>
      </c>
      <c r="W286" s="925">
        <f t="shared" si="79"/>
        <v>0.13417523576929774</v>
      </c>
      <c r="X286" s="925">
        <f t="shared" si="79"/>
        <v>0.1301499786962188</v>
      </c>
      <c r="Y286" s="925">
        <f t="shared" si="79"/>
        <v>0.12624547933533223</v>
      </c>
      <c r="Z286" s="925">
        <f t="shared" si="79"/>
        <v>0.12245811495527226</v>
      </c>
      <c r="AA286" s="925">
        <f t="shared" si="79"/>
        <v>0.11878437150661408</v>
      </c>
      <c r="AB286" s="925">
        <f t="shared" si="79"/>
        <v>0.11522084036141565</v>
      </c>
      <c r="AC286" s="925">
        <f t="shared" si="79"/>
        <v>0.11176421515057318</v>
      </c>
      <c r="AD286" s="925">
        <f t="shared" si="79"/>
        <v>0.10841128869605599</v>
      </c>
      <c r="AE286" s="925">
        <f t="shared" si="79"/>
        <v>0.10515895003517431</v>
      </c>
      <c r="AF286" s="925">
        <f t="shared" si="79"/>
        <v>0.10200418153411908</v>
      </c>
      <c r="AG286" s="925">
        <f t="shared" si="79"/>
        <v>9.8944056088095506E-2</v>
      </c>
      <c r="AH286" s="925">
        <f t="shared" si="79"/>
        <v>9.5975734405452637E-2</v>
      </c>
      <c r="AI286" s="925">
        <f t="shared" si="79"/>
        <v>9.3096462373289057E-2</v>
      </c>
      <c r="AJ286" s="925">
        <f t="shared" si="79"/>
        <v>9.0303568502090384E-2</v>
      </c>
    </row>
    <row r="287" spans="7:36" ht="15" hidden="1" customHeight="1" x14ac:dyDescent="0.2">
      <c r="G287" s="839" t="s">
        <v>1</v>
      </c>
      <c r="H287" s="864"/>
      <c r="I287" s="864"/>
      <c r="J287" s="864"/>
      <c r="K287" s="925">
        <f>K$85</f>
        <v>0.31</v>
      </c>
      <c r="L287" s="925">
        <f t="shared" ref="L287:AJ287" si="80">L$85</f>
        <v>0.34100000000000003</v>
      </c>
      <c r="M287" s="925">
        <f t="shared" si="80"/>
        <v>0.37510000000000004</v>
      </c>
      <c r="N287" s="925">
        <f t="shared" si="80"/>
        <v>0.41261000000000009</v>
      </c>
      <c r="O287" s="925">
        <f t="shared" si="80"/>
        <v>0.45387100000000014</v>
      </c>
      <c r="P287" s="925">
        <f t="shared" si="80"/>
        <v>0.4992581000000002</v>
      </c>
      <c r="Q287" s="925">
        <f t="shared" si="80"/>
        <v>0.54918391000000022</v>
      </c>
      <c r="R287" s="925">
        <f t="shared" si="80"/>
        <v>0.60410230100000029</v>
      </c>
      <c r="S287" s="925">
        <f t="shared" si="80"/>
        <v>0.66451253110000041</v>
      </c>
      <c r="T287" s="925">
        <f t="shared" si="80"/>
        <v>0.73096378421000052</v>
      </c>
      <c r="U287" s="925">
        <f t="shared" si="80"/>
        <v>0.80406016263100066</v>
      </c>
      <c r="V287" s="925">
        <f t="shared" si="80"/>
        <v>0.88446617889410084</v>
      </c>
      <c r="W287" s="925">
        <f t="shared" si="80"/>
        <v>0.97291279678351106</v>
      </c>
      <c r="X287" s="925">
        <f t="shared" si="80"/>
        <v>1.0702040764618623</v>
      </c>
      <c r="Y287" s="925">
        <f t="shared" si="80"/>
        <v>1.1772244841080486</v>
      </c>
      <c r="Z287" s="925">
        <f t="shared" si="80"/>
        <v>1.2949469325188536</v>
      </c>
      <c r="AA287" s="925">
        <f t="shared" si="80"/>
        <v>1.4244416257707391</v>
      </c>
      <c r="AB287" s="925">
        <f t="shared" si="80"/>
        <v>1.5668857883478131</v>
      </c>
      <c r="AC287" s="925">
        <f t="shared" si="80"/>
        <v>1.7235743671825945</v>
      </c>
      <c r="AD287" s="925">
        <f t="shared" si="80"/>
        <v>1.8959318039008541</v>
      </c>
      <c r="AE287" s="925">
        <f t="shared" si="80"/>
        <v>2.0855249842909398</v>
      </c>
      <c r="AF287" s="925">
        <f t="shared" si="80"/>
        <v>2.2940774827200339</v>
      </c>
      <c r="AG287" s="925">
        <f t="shared" si="80"/>
        <v>2.5234852309920375</v>
      </c>
      <c r="AH287" s="925">
        <f t="shared" si="80"/>
        <v>2.7758337540912414</v>
      </c>
      <c r="AI287" s="925">
        <f t="shared" si="80"/>
        <v>3.053417129500366</v>
      </c>
      <c r="AJ287" s="925">
        <f t="shared" si="80"/>
        <v>3.3587588424504031</v>
      </c>
    </row>
    <row r="288" spans="7:36" ht="15" hidden="1" customHeight="1" x14ac:dyDescent="0.2">
      <c r="G288" s="864"/>
      <c r="H288" s="864"/>
      <c r="I288" s="864"/>
      <c r="J288" s="864"/>
      <c r="K288" s="864"/>
      <c r="L288" s="864"/>
      <c r="M288" s="864"/>
      <c r="N288" s="864"/>
      <c r="O288" s="864"/>
      <c r="P288" s="864"/>
      <c r="Q288" s="864"/>
      <c r="R288" s="864"/>
      <c r="S288" s="864"/>
      <c r="T288" s="864"/>
      <c r="U288" s="864"/>
      <c r="V288" s="864"/>
      <c r="W288" s="864"/>
      <c r="X288" s="864"/>
      <c r="Y288" s="864"/>
      <c r="Z288" s="864"/>
      <c r="AA288" s="864"/>
      <c r="AB288" s="864"/>
      <c r="AC288" s="864"/>
      <c r="AD288" s="864"/>
      <c r="AE288" s="864"/>
      <c r="AF288" s="864"/>
      <c r="AG288" s="864"/>
      <c r="AH288" s="864"/>
      <c r="AI288" s="864"/>
      <c r="AJ288" s="864"/>
    </row>
    <row r="289" spans="7:36" ht="15" hidden="1" customHeight="1" x14ac:dyDescent="0.2">
      <c r="G289" s="839" t="s">
        <v>4</v>
      </c>
      <c r="H289" s="839"/>
      <c r="I289" s="839"/>
      <c r="J289" s="839"/>
      <c r="K289" s="920"/>
      <c r="L289" s="920"/>
      <c r="M289" s="920"/>
      <c r="N289" s="920"/>
      <c r="O289" s="920"/>
      <c r="P289" s="920"/>
      <c r="Q289" s="920"/>
      <c r="R289" s="920"/>
      <c r="S289" s="920"/>
      <c r="T289" s="920"/>
      <c r="U289" s="920"/>
      <c r="V289" s="920"/>
      <c r="W289" s="920"/>
      <c r="X289" s="920"/>
      <c r="Y289" s="920"/>
      <c r="Z289" s="920"/>
      <c r="AA289" s="920"/>
      <c r="AB289" s="920"/>
      <c r="AC289" s="920"/>
      <c r="AD289" s="920"/>
      <c r="AE289" s="920"/>
      <c r="AF289" s="920"/>
      <c r="AG289" s="920"/>
      <c r="AH289" s="920"/>
      <c r="AI289" s="920"/>
      <c r="AJ289" s="920"/>
    </row>
    <row r="290" spans="7:36" ht="15" hidden="1" customHeight="1" x14ac:dyDescent="0.2">
      <c r="G290" s="839" t="s">
        <v>5</v>
      </c>
      <c r="H290" s="839"/>
      <c r="I290" s="839"/>
      <c r="J290" s="839"/>
      <c r="K290" s="920"/>
      <c r="L290" s="920"/>
      <c r="M290" s="920"/>
      <c r="N290" s="920"/>
      <c r="O290" s="920"/>
      <c r="P290" s="920"/>
      <c r="Q290" s="920"/>
      <c r="R290" s="920"/>
      <c r="S290" s="920"/>
      <c r="T290" s="920"/>
      <c r="U290" s="920"/>
      <c r="V290" s="920"/>
      <c r="W290" s="920"/>
      <c r="X290" s="920"/>
      <c r="Y290" s="920"/>
      <c r="Z290" s="920"/>
      <c r="AA290" s="920"/>
      <c r="AB290" s="920"/>
      <c r="AC290" s="920"/>
      <c r="AD290" s="920"/>
      <c r="AE290" s="920"/>
      <c r="AF290" s="920"/>
      <c r="AG290" s="920"/>
      <c r="AH290" s="920"/>
      <c r="AI290" s="920"/>
      <c r="AJ290" s="920"/>
    </row>
    <row r="291" spans="7:36" ht="15" hidden="1" customHeight="1" x14ac:dyDescent="0.2">
      <c r="G291" s="839" t="s">
        <v>6</v>
      </c>
      <c r="H291" s="839"/>
      <c r="I291" s="839"/>
      <c r="J291" s="839"/>
      <c r="K291" s="917">
        <f>IF(K$70&lt;$AC$42,$J$29,$AB$29)</f>
        <v>0</v>
      </c>
      <c r="L291" s="917">
        <f t="shared" ref="L291:AJ291" si="81">IF(L$70&lt;$AC$42,$J$29,$AB$29)</f>
        <v>0</v>
      </c>
      <c r="M291" s="917">
        <f t="shared" si="81"/>
        <v>0</v>
      </c>
      <c r="N291" s="917">
        <f t="shared" si="81"/>
        <v>0</v>
      </c>
      <c r="O291" s="917">
        <f t="shared" si="81"/>
        <v>0</v>
      </c>
      <c r="P291" s="917">
        <f t="shared" si="81"/>
        <v>0</v>
      </c>
      <c r="Q291" s="917">
        <f t="shared" si="81"/>
        <v>0</v>
      </c>
      <c r="R291" s="917">
        <f t="shared" si="81"/>
        <v>0</v>
      </c>
      <c r="S291" s="917">
        <f t="shared" si="81"/>
        <v>0</v>
      </c>
      <c r="T291" s="917">
        <f t="shared" si="81"/>
        <v>0</v>
      </c>
      <c r="U291" s="917">
        <f t="shared" si="81"/>
        <v>0</v>
      </c>
      <c r="V291" s="917">
        <f t="shared" si="81"/>
        <v>0</v>
      </c>
      <c r="W291" s="917">
        <f t="shared" si="81"/>
        <v>0</v>
      </c>
      <c r="X291" s="917">
        <f t="shared" si="81"/>
        <v>0</v>
      </c>
      <c r="Y291" s="917">
        <f t="shared" si="81"/>
        <v>0</v>
      </c>
      <c r="Z291" s="917">
        <f t="shared" si="81"/>
        <v>0</v>
      </c>
      <c r="AA291" s="917">
        <f t="shared" si="81"/>
        <v>0</v>
      </c>
      <c r="AB291" s="917">
        <f t="shared" si="81"/>
        <v>0</v>
      </c>
      <c r="AC291" s="917">
        <f t="shared" si="81"/>
        <v>0</v>
      </c>
      <c r="AD291" s="917">
        <f t="shared" si="81"/>
        <v>0</v>
      </c>
      <c r="AE291" s="917">
        <f t="shared" si="81"/>
        <v>0</v>
      </c>
      <c r="AF291" s="917">
        <f t="shared" si="81"/>
        <v>0</v>
      </c>
      <c r="AG291" s="917">
        <f t="shared" si="81"/>
        <v>0</v>
      </c>
      <c r="AH291" s="917">
        <f t="shared" si="81"/>
        <v>0</v>
      </c>
      <c r="AI291" s="917">
        <f t="shared" si="81"/>
        <v>0</v>
      </c>
      <c r="AJ291" s="917">
        <f t="shared" si="81"/>
        <v>0</v>
      </c>
    </row>
    <row r="292" spans="7:36" ht="15" hidden="1" customHeight="1" x14ac:dyDescent="0.2">
      <c r="G292" s="839"/>
      <c r="H292" s="839"/>
      <c r="I292" s="839"/>
      <c r="J292" s="839"/>
      <c r="K292" s="917"/>
      <c r="L292" s="917"/>
      <c r="M292" s="917"/>
      <c r="N292" s="917"/>
      <c r="O292" s="917"/>
      <c r="P292" s="917"/>
      <c r="Q292" s="917"/>
      <c r="R292" s="917"/>
      <c r="S292" s="917"/>
      <c r="T292" s="917"/>
      <c r="U292" s="917"/>
      <c r="V292" s="917"/>
      <c r="W292" s="917"/>
      <c r="X292" s="917"/>
      <c r="Y292" s="917"/>
      <c r="Z292" s="917"/>
      <c r="AA292" s="917"/>
      <c r="AB292" s="917"/>
      <c r="AC292" s="917"/>
      <c r="AD292" s="917"/>
      <c r="AE292" s="917"/>
      <c r="AF292" s="917"/>
      <c r="AG292" s="917"/>
      <c r="AH292" s="917"/>
      <c r="AI292" s="917"/>
      <c r="AJ292" s="917"/>
    </row>
    <row r="293" spans="7:36" ht="15" hidden="1" customHeight="1" x14ac:dyDescent="0.2">
      <c r="G293" s="839" t="s">
        <v>7</v>
      </c>
      <c r="H293" s="839"/>
      <c r="I293" s="839"/>
      <c r="J293" s="839"/>
      <c r="K293" s="920"/>
      <c r="L293" s="920"/>
      <c r="M293" s="920"/>
      <c r="N293" s="920"/>
      <c r="O293" s="920"/>
      <c r="P293" s="920"/>
      <c r="Q293" s="920"/>
      <c r="R293" s="920"/>
      <c r="S293" s="920"/>
      <c r="T293" s="920"/>
      <c r="U293" s="920"/>
      <c r="V293" s="920"/>
      <c r="W293" s="920"/>
      <c r="X293" s="920"/>
      <c r="Y293" s="920"/>
      <c r="Z293" s="920"/>
      <c r="AA293" s="920"/>
      <c r="AB293" s="920"/>
      <c r="AC293" s="920"/>
      <c r="AD293" s="920"/>
      <c r="AE293" s="920"/>
      <c r="AF293" s="920"/>
      <c r="AG293" s="920"/>
      <c r="AH293" s="920"/>
      <c r="AI293" s="920"/>
      <c r="AJ293" s="920"/>
    </row>
    <row r="294" spans="7:36" ht="15" hidden="1" customHeight="1" x14ac:dyDescent="0.2">
      <c r="G294" s="839" t="s">
        <v>8</v>
      </c>
      <c r="H294" s="839"/>
      <c r="I294" s="839"/>
      <c r="J294" s="839"/>
      <c r="K294" s="920"/>
      <c r="L294" s="920"/>
      <c r="M294" s="920"/>
      <c r="N294" s="920"/>
      <c r="O294" s="920"/>
      <c r="P294" s="920"/>
      <c r="Q294" s="920"/>
      <c r="R294" s="920"/>
      <c r="S294" s="920"/>
      <c r="T294" s="920"/>
      <c r="U294" s="920"/>
      <c r="V294" s="920"/>
      <c r="W294" s="920"/>
      <c r="X294" s="920"/>
      <c r="Y294" s="920"/>
      <c r="Z294" s="920"/>
      <c r="AA294" s="920"/>
      <c r="AB294" s="920"/>
      <c r="AC294" s="920"/>
      <c r="AD294" s="920"/>
      <c r="AE294" s="920"/>
      <c r="AF294" s="920"/>
      <c r="AG294" s="920"/>
      <c r="AH294" s="920"/>
      <c r="AI294" s="920"/>
      <c r="AJ294" s="920"/>
    </row>
    <row r="295" spans="7:36" ht="15" hidden="1" customHeight="1" x14ac:dyDescent="0.2">
      <c r="G295" s="839" t="s">
        <v>9</v>
      </c>
      <c r="H295" s="839"/>
      <c r="I295" s="839"/>
      <c r="J295" s="839"/>
      <c r="K295" s="917">
        <f>K$286*K291</f>
        <v>0</v>
      </c>
      <c r="L295" s="917">
        <f t="shared" ref="L295:AI295" si="82">L$286*L291</f>
        <v>0</v>
      </c>
      <c r="M295" s="917">
        <f t="shared" si="82"/>
        <v>0</v>
      </c>
      <c r="N295" s="917">
        <f t="shared" si="82"/>
        <v>0</v>
      </c>
      <c r="O295" s="917">
        <f t="shared" si="82"/>
        <v>0</v>
      </c>
      <c r="P295" s="917">
        <f t="shared" si="82"/>
        <v>0</v>
      </c>
      <c r="Q295" s="917">
        <f t="shared" si="82"/>
        <v>0</v>
      </c>
      <c r="R295" s="917">
        <f t="shared" si="82"/>
        <v>0</v>
      </c>
      <c r="S295" s="917">
        <f t="shared" si="82"/>
        <v>0</v>
      </c>
      <c r="T295" s="917">
        <f t="shared" si="82"/>
        <v>0</v>
      </c>
      <c r="U295" s="917">
        <f t="shared" si="82"/>
        <v>0</v>
      </c>
      <c r="V295" s="917">
        <f t="shared" si="82"/>
        <v>0</v>
      </c>
      <c r="W295" s="917">
        <f t="shared" si="82"/>
        <v>0</v>
      </c>
      <c r="X295" s="917">
        <f t="shared" si="82"/>
        <v>0</v>
      </c>
      <c r="Y295" s="917">
        <f t="shared" si="82"/>
        <v>0</v>
      </c>
      <c r="Z295" s="917">
        <f t="shared" si="82"/>
        <v>0</v>
      </c>
      <c r="AA295" s="917">
        <f t="shared" si="82"/>
        <v>0</v>
      </c>
      <c r="AB295" s="917">
        <f t="shared" si="82"/>
        <v>0</v>
      </c>
      <c r="AC295" s="917">
        <f t="shared" si="82"/>
        <v>0</v>
      </c>
      <c r="AD295" s="917">
        <f t="shared" si="82"/>
        <v>0</v>
      </c>
      <c r="AE295" s="917">
        <f t="shared" si="82"/>
        <v>0</v>
      </c>
      <c r="AF295" s="917">
        <f t="shared" si="82"/>
        <v>0</v>
      </c>
      <c r="AG295" s="917">
        <f t="shared" si="82"/>
        <v>0</v>
      </c>
      <c r="AH295" s="917">
        <f t="shared" si="82"/>
        <v>0</v>
      </c>
      <c r="AI295" s="917">
        <f t="shared" si="82"/>
        <v>0</v>
      </c>
      <c r="AJ295" s="917">
        <f>AJ$286*AJ291</f>
        <v>0</v>
      </c>
    </row>
    <row r="296" spans="7:36" ht="15" hidden="1" customHeight="1" x14ac:dyDescent="0.2">
      <c r="G296" s="839"/>
      <c r="H296" s="839"/>
      <c r="I296" s="839"/>
      <c r="J296" s="839"/>
      <c r="K296" s="917"/>
      <c r="L296" s="917"/>
      <c r="M296" s="917"/>
      <c r="N296" s="917"/>
      <c r="O296" s="917"/>
      <c r="P296" s="917"/>
      <c r="Q296" s="917"/>
      <c r="R296" s="917"/>
      <c r="S296" s="917"/>
      <c r="T296" s="917"/>
      <c r="U296" s="917"/>
      <c r="V296" s="917"/>
      <c r="W296" s="917"/>
      <c r="X296" s="917"/>
      <c r="Y296" s="917"/>
      <c r="Z296" s="917"/>
      <c r="AA296" s="917"/>
      <c r="AB296" s="917"/>
      <c r="AC296" s="917"/>
      <c r="AD296" s="917"/>
      <c r="AE296" s="917"/>
      <c r="AF296" s="917"/>
      <c r="AG296" s="917"/>
      <c r="AH296" s="917"/>
      <c r="AI296" s="917"/>
      <c r="AJ296" s="917"/>
    </row>
    <row r="297" spans="7:36" ht="15" hidden="1" customHeight="1" x14ac:dyDescent="0.2">
      <c r="G297" s="839" t="s">
        <v>10</v>
      </c>
      <c r="H297" s="839"/>
      <c r="I297" s="839"/>
      <c r="J297" s="839"/>
      <c r="K297" s="920"/>
      <c r="L297" s="920"/>
      <c r="M297" s="920"/>
      <c r="N297" s="920"/>
      <c r="O297" s="920"/>
      <c r="P297" s="920"/>
      <c r="Q297" s="920"/>
      <c r="R297" s="920"/>
      <c r="S297" s="920"/>
      <c r="T297" s="920"/>
      <c r="U297" s="920"/>
      <c r="V297" s="920"/>
      <c r="W297" s="920"/>
      <c r="X297" s="920"/>
      <c r="Y297" s="920"/>
      <c r="Z297" s="920"/>
      <c r="AA297" s="920"/>
      <c r="AB297" s="920"/>
      <c r="AC297" s="920"/>
      <c r="AD297" s="920"/>
      <c r="AE297" s="920"/>
      <c r="AF297" s="920"/>
      <c r="AG297" s="920"/>
      <c r="AH297" s="920"/>
      <c r="AI297" s="920"/>
      <c r="AJ297" s="920"/>
    </row>
    <row r="298" spans="7:36" ht="15" hidden="1" customHeight="1" x14ac:dyDescent="0.2">
      <c r="G298" s="839" t="s">
        <v>11</v>
      </c>
      <c r="H298" s="839"/>
      <c r="I298" s="839"/>
      <c r="J298" s="839"/>
      <c r="K298" s="920"/>
      <c r="L298" s="920"/>
      <c r="M298" s="920"/>
      <c r="N298" s="920"/>
      <c r="O298" s="920"/>
      <c r="P298" s="920"/>
      <c r="Q298" s="920"/>
      <c r="R298" s="920"/>
      <c r="S298" s="920"/>
      <c r="T298" s="920"/>
      <c r="U298" s="920"/>
      <c r="V298" s="920"/>
      <c r="W298" s="920"/>
      <c r="X298" s="920"/>
      <c r="Y298" s="920"/>
      <c r="Z298" s="920"/>
      <c r="AA298" s="920"/>
      <c r="AB298" s="920"/>
      <c r="AC298" s="920"/>
      <c r="AD298" s="920"/>
      <c r="AE298" s="920"/>
      <c r="AF298" s="920"/>
      <c r="AG298" s="920"/>
      <c r="AH298" s="920"/>
      <c r="AI298" s="920"/>
      <c r="AJ298" s="920"/>
    </row>
    <row r="299" spans="7:36" ht="15" hidden="1" customHeight="1" x14ac:dyDescent="0.2">
      <c r="G299" s="839" t="s">
        <v>12</v>
      </c>
      <c r="H299" s="839"/>
      <c r="I299" s="839"/>
      <c r="J299" s="839"/>
      <c r="K299" s="917">
        <f>K$287*K291</f>
        <v>0</v>
      </c>
      <c r="L299" s="917">
        <f t="shared" ref="L299:AI299" si="83">L$287*L291</f>
        <v>0</v>
      </c>
      <c r="M299" s="917">
        <f t="shared" si="83"/>
        <v>0</v>
      </c>
      <c r="N299" s="917">
        <f t="shared" si="83"/>
        <v>0</v>
      </c>
      <c r="O299" s="917">
        <f t="shared" si="83"/>
        <v>0</v>
      </c>
      <c r="P299" s="917">
        <f t="shared" si="83"/>
        <v>0</v>
      </c>
      <c r="Q299" s="917">
        <f t="shared" si="83"/>
        <v>0</v>
      </c>
      <c r="R299" s="917">
        <f t="shared" si="83"/>
        <v>0</v>
      </c>
      <c r="S299" s="917">
        <f t="shared" si="83"/>
        <v>0</v>
      </c>
      <c r="T299" s="917">
        <f t="shared" si="83"/>
        <v>0</v>
      </c>
      <c r="U299" s="917">
        <f t="shared" si="83"/>
        <v>0</v>
      </c>
      <c r="V299" s="917">
        <f t="shared" si="83"/>
        <v>0</v>
      </c>
      <c r="W299" s="917">
        <f t="shared" si="83"/>
        <v>0</v>
      </c>
      <c r="X299" s="917">
        <f t="shared" si="83"/>
        <v>0</v>
      </c>
      <c r="Y299" s="917">
        <f t="shared" si="83"/>
        <v>0</v>
      </c>
      <c r="Z299" s="917">
        <f t="shared" si="83"/>
        <v>0</v>
      </c>
      <c r="AA299" s="917">
        <f t="shared" si="83"/>
        <v>0</v>
      </c>
      <c r="AB299" s="917">
        <f t="shared" si="83"/>
        <v>0</v>
      </c>
      <c r="AC299" s="917">
        <f t="shared" si="83"/>
        <v>0</v>
      </c>
      <c r="AD299" s="917">
        <f t="shared" si="83"/>
        <v>0</v>
      </c>
      <c r="AE299" s="917">
        <f t="shared" si="83"/>
        <v>0</v>
      </c>
      <c r="AF299" s="917">
        <f t="shared" si="83"/>
        <v>0</v>
      </c>
      <c r="AG299" s="917">
        <f t="shared" si="83"/>
        <v>0</v>
      </c>
      <c r="AH299" s="917">
        <f t="shared" si="83"/>
        <v>0</v>
      </c>
      <c r="AI299" s="917">
        <f t="shared" si="83"/>
        <v>0</v>
      </c>
      <c r="AJ299" s="917">
        <f>AJ$287*AJ291</f>
        <v>0</v>
      </c>
    </row>
    <row r="300" spans="7:36" ht="15" hidden="1" customHeight="1" x14ac:dyDescent="0.2">
      <c r="G300" s="839" t="s">
        <v>13</v>
      </c>
      <c r="H300" s="839"/>
      <c r="I300" s="839"/>
      <c r="J300" s="839"/>
      <c r="K300" s="917">
        <f>K$88*K295</f>
        <v>0</v>
      </c>
      <c r="L300" s="917">
        <f t="shared" ref="L300:AI300" si="84">L$88*L295</f>
        <v>0</v>
      </c>
      <c r="M300" s="917">
        <f t="shared" si="84"/>
        <v>0</v>
      </c>
      <c r="N300" s="917">
        <f t="shared" si="84"/>
        <v>0</v>
      </c>
      <c r="O300" s="917">
        <f t="shared" si="84"/>
        <v>0</v>
      </c>
      <c r="P300" s="917">
        <f t="shared" si="84"/>
        <v>0</v>
      </c>
      <c r="Q300" s="917">
        <f t="shared" si="84"/>
        <v>0</v>
      </c>
      <c r="R300" s="917">
        <f t="shared" si="84"/>
        <v>0</v>
      </c>
      <c r="S300" s="917">
        <f t="shared" si="84"/>
        <v>0</v>
      </c>
      <c r="T300" s="917">
        <f t="shared" si="84"/>
        <v>0</v>
      </c>
      <c r="U300" s="917">
        <f t="shared" si="84"/>
        <v>0</v>
      </c>
      <c r="V300" s="917">
        <f t="shared" si="84"/>
        <v>0</v>
      </c>
      <c r="W300" s="917">
        <f t="shared" si="84"/>
        <v>0</v>
      </c>
      <c r="X300" s="917">
        <f t="shared" si="84"/>
        <v>0</v>
      </c>
      <c r="Y300" s="917">
        <f t="shared" si="84"/>
        <v>0</v>
      </c>
      <c r="Z300" s="917">
        <f t="shared" si="84"/>
        <v>0</v>
      </c>
      <c r="AA300" s="917">
        <f t="shared" si="84"/>
        <v>0</v>
      </c>
      <c r="AB300" s="917">
        <f t="shared" si="84"/>
        <v>0</v>
      </c>
      <c r="AC300" s="917">
        <f t="shared" si="84"/>
        <v>0</v>
      </c>
      <c r="AD300" s="917">
        <f t="shared" si="84"/>
        <v>0</v>
      </c>
      <c r="AE300" s="917">
        <f t="shared" si="84"/>
        <v>0</v>
      </c>
      <c r="AF300" s="917">
        <f t="shared" si="84"/>
        <v>0</v>
      </c>
      <c r="AG300" s="917">
        <f t="shared" si="84"/>
        <v>0</v>
      </c>
      <c r="AH300" s="917">
        <f t="shared" si="84"/>
        <v>0</v>
      </c>
      <c r="AI300" s="917">
        <f t="shared" si="84"/>
        <v>0</v>
      </c>
      <c r="AJ300" s="917">
        <f>AJ$88*AJ295</f>
        <v>0</v>
      </c>
    </row>
    <row r="301" spans="7:36" ht="15" hidden="1" customHeight="1" x14ac:dyDescent="0.2">
      <c r="G301" s="839"/>
      <c r="H301" s="839"/>
      <c r="I301" s="839"/>
      <c r="J301" s="839"/>
      <c r="K301" s="917"/>
      <c r="L301" s="917"/>
      <c r="M301" s="917"/>
      <c r="N301" s="917"/>
      <c r="O301" s="917"/>
      <c r="P301" s="917"/>
      <c r="Q301" s="917"/>
      <c r="R301" s="917"/>
      <c r="S301" s="917"/>
      <c r="T301" s="917"/>
      <c r="U301" s="917"/>
      <c r="V301" s="917"/>
      <c r="W301" s="917"/>
      <c r="X301" s="917"/>
      <c r="Y301" s="917"/>
      <c r="Z301" s="917"/>
      <c r="AA301" s="917"/>
      <c r="AB301" s="917"/>
      <c r="AC301" s="917"/>
      <c r="AD301" s="917"/>
      <c r="AE301" s="917"/>
      <c r="AF301" s="917"/>
      <c r="AG301" s="917"/>
      <c r="AH301" s="917"/>
      <c r="AI301" s="917"/>
      <c r="AJ301" s="917"/>
    </row>
    <row r="302" spans="7:36" ht="15" hidden="1" customHeight="1" x14ac:dyDescent="0.2">
      <c r="G302" s="839" t="s">
        <v>14</v>
      </c>
      <c r="H302" s="839"/>
      <c r="I302" s="839"/>
      <c r="J302" s="839"/>
      <c r="K302" s="917">
        <f>SUM(K297:K300)</f>
        <v>0</v>
      </c>
      <c r="L302" s="917">
        <f t="shared" ref="L302:AH302" si="85">SUM(L297:L300)</f>
        <v>0</v>
      </c>
      <c r="M302" s="917">
        <f t="shared" si="85"/>
        <v>0</v>
      </c>
      <c r="N302" s="917">
        <f t="shared" si="85"/>
        <v>0</v>
      </c>
      <c r="O302" s="917">
        <f t="shared" si="85"/>
        <v>0</v>
      </c>
      <c r="P302" s="917">
        <f t="shared" si="85"/>
        <v>0</v>
      </c>
      <c r="Q302" s="917">
        <f t="shared" si="85"/>
        <v>0</v>
      </c>
      <c r="R302" s="917">
        <f t="shared" si="85"/>
        <v>0</v>
      </c>
      <c r="S302" s="917">
        <f t="shared" si="85"/>
        <v>0</v>
      </c>
      <c r="T302" s="917">
        <f t="shared" si="85"/>
        <v>0</v>
      </c>
      <c r="U302" s="917">
        <f t="shared" si="85"/>
        <v>0</v>
      </c>
      <c r="V302" s="917">
        <f t="shared" si="85"/>
        <v>0</v>
      </c>
      <c r="W302" s="917">
        <f t="shared" si="85"/>
        <v>0</v>
      </c>
      <c r="X302" s="917">
        <f t="shared" si="85"/>
        <v>0</v>
      </c>
      <c r="Y302" s="917">
        <f t="shared" si="85"/>
        <v>0</v>
      </c>
      <c r="Z302" s="917">
        <f t="shared" si="85"/>
        <v>0</v>
      </c>
      <c r="AA302" s="917">
        <f t="shared" si="85"/>
        <v>0</v>
      </c>
      <c r="AB302" s="917">
        <f t="shared" si="85"/>
        <v>0</v>
      </c>
      <c r="AC302" s="917">
        <f t="shared" si="85"/>
        <v>0</v>
      </c>
      <c r="AD302" s="917">
        <f t="shared" si="85"/>
        <v>0</v>
      </c>
      <c r="AE302" s="917">
        <f t="shared" si="85"/>
        <v>0</v>
      </c>
      <c r="AF302" s="917">
        <f t="shared" si="85"/>
        <v>0</v>
      </c>
      <c r="AG302" s="917">
        <f t="shared" si="85"/>
        <v>0</v>
      </c>
      <c r="AH302" s="917">
        <f t="shared" si="85"/>
        <v>0</v>
      </c>
      <c r="AI302" s="917">
        <f>SUM(AI297:AI300)</f>
        <v>0</v>
      </c>
      <c r="AJ302" s="917">
        <f>SUM(AJ297:AJ300)</f>
        <v>0</v>
      </c>
    </row>
    <row r="303" spans="7:36" ht="15" hidden="1" customHeight="1" x14ac:dyDescent="0.2">
      <c r="G303" s="839" t="s">
        <v>435</v>
      </c>
      <c r="H303" s="839"/>
      <c r="I303" s="839"/>
      <c r="J303" s="839"/>
      <c r="K303" s="917">
        <f>K302</f>
        <v>0</v>
      </c>
      <c r="L303" s="917">
        <f t="shared" ref="L303:AI303" si="86">K303+L302</f>
        <v>0</v>
      </c>
      <c r="M303" s="917">
        <f t="shared" si="86"/>
        <v>0</v>
      </c>
      <c r="N303" s="917">
        <f t="shared" si="86"/>
        <v>0</v>
      </c>
      <c r="O303" s="917">
        <f t="shared" si="86"/>
        <v>0</v>
      </c>
      <c r="P303" s="917">
        <f t="shared" si="86"/>
        <v>0</v>
      </c>
      <c r="Q303" s="917">
        <f t="shared" si="86"/>
        <v>0</v>
      </c>
      <c r="R303" s="917">
        <f t="shared" si="86"/>
        <v>0</v>
      </c>
      <c r="S303" s="917">
        <f t="shared" si="86"/>
        <v>0</v>
      </c>
      <c r="T303" s="917">
        <f t="shared" si="86"/>
        <v>0</v>
      </c>
      <c r="U303" s="917">
        <f t="shared" si="86"/>
        <v>0</v>
      </c>
      <c r="V303" s="917">
        <f t="shared" si="86"/>
        <v>0</v>
      </c>
      <c r="W303" s="917">
        <f t="shared" si="86"/>
        <v>0</v>
      </c>
      <c r="X303" s="917">
        <f t="shared" si="86"/>
        <v>0</v>
      </c>
      <c r="Y303" s="917">
        <f t="shared" si="86"/>
        <v>0</v>
      </c>
      <c r="Z303" s="917">
        <f t="shared" si="86"/>
        <v>0</v>
      </c>
      <c r="AA303" s="917">
        <f t="shared" si="86"/>
        <v>0</v>
      </c>
      <c r="AB303" s="917">
        <f t="shared" si="86"/>
        <v>0</v>
      </c>
      <c r="AC303" s="917">
        <f t="shared" si="86"/>
        <v>0</v>
      </c>
      <c r="AD303" s="917">
        <f t="shared" si="86"/>
        <v>0</v>
      </c>
      <c r="AE303" s="917">
        <f t="shared" si="86"/>
        <v>0</v>
      </c>
      <c r="AF303" s="917">
        <f t="shared" si="86"/>
        <v>0</v>
      </c>
      <c r="AG303" s="917">
        <f t="shared" si="86"/>
        <v>0</v>
      </c>
      <c r="AH303" s="917">
        <f t="shared" si="86"/>
        <v>0</v>
      </c>
      <c r="AI303" s="917">
        <f t="shared" si="86"/>
        <v>0</v>
      </c>
      <c r="AJ303" s="917">
        <f>AI303+AJ302</f>
        <v>0</v>
      </c>
    </row>
    <row r="304" spans="7:36" ht="15" hidden="1" customHeight="1" x14ac:dyDescent="0.2">
      <c r="G304" s="839"/>
      <c r="H304" s="839"/>
      <c r="I304" s="839"/>
      <c r="J304" s="839"/>
      <c r="K304" s="839"/>
      <c r="L304" s="839"/>
      <c r="M304" s="839"/>
      <c r="N304" s="839"/>
      <c r="O304" s="839"/>
      <c r="P304" s="839"/>
      <c r="Q304" s="839"/>
      <c r="R304" s="839"/>
      <c r="S304" s="839"/>
      <c r="T304" s="839"/>
      <c r="U304" s="839"/>
      <c r="V304" s="839"/>
      <c r="W304" s="839"/>
      <c r="X304" s="839"/>
      <c r="Y304" s="839"/>
      <c r="Z304" s="839"/>
      <c r="AA304" s="839"/>
      <c r="AB304" s="839"/>
      <c r="AC304" s="839"/>
      <c r="AD304" s="839"/>
      <c r="AE304" s="839"/>
      <c r="AF304" s="839"/>
      <c r="AG304" s="839"/>
      <c r="AH304" s="839"/>
      <c r="AI304" s="839"/>
      <c r="AJ304" s="839"/>
    </row>
    <row r="305" spans="7:36" ht="15" hidden="1" customHeight="1" x14ac:dyDescent="0.2">
      <c r="G305" s="839" t="s">
        <v>17</v>
      </c>
      <c r="H305" s="839"/>
      <c r="I305" s="839"/>
      <c r="J305" s="839"/>
      <c r="K305" s="917">
        <f>K302/(((Data!$P$186/100)+1)^K$70)</f>
        <v>0</v>
      </c>
      <c r="L305" s="917">
        <f>L302/(((Data!$P$186/100)+1)^L$70)</f>
        <v>0</v>
      </c>
      <c r="M305" s="917">
        <f>M302/(((Data!$P$186/100)+1)^M$70)</f>
        <v>0</v>
      </c>
      <c r="N305" s="917">
        <f>N302/(((Data!$P$186/100)+1)^N$70)</f>
        <v>0</v>
      </c>
      <c r="O305" s="917">
        <f>O302/(((Data!$P$186/100)+1)^O$70)</f>
        <v>0</v>
      </c>
      <c r="P305" s="917">
        <f>P302/(((Data!$P$186/100)+1)^P$70)</f>
        <v>0</v>
      </c>
      <c r="Q305" s="917">
        <f>Q302/(((Data!$P$186/100)+1)^Q$70)</f>
        <v>0</v>
      </c>
      <c r="R305" s="917">
        <f>R302/(((Data!$P$186/100)+1)^R$70)</f>
        <v>0</v>
      </c>
      <c r="S305" s="917">
        <f>S302/(((Data!$P$186/100)+1)^S$70)</f>
        <v>0</v>
      </c>
      <c r="T305" s="917">
        <f>T302/(((Data!$P$186/100)+1)^T$70)</f>
        <v>0</v>
      </c>
      <c r="U305" s="917">
        <f>U302/(((Data!$P$186/100)+1)^U$70)</f>
        <v>0</v>
      </c>
      <c r="V305" s="917">
        <f>V302/(((Data!$P$186/100)+1)^V$70)</f>
        <v>0</v>
      </c>
      <c r="W305" s="917">
        <f>W302/(((Data!$P$186/100)+1)^W$70)</f>
        <v>0</v>
      </c>
      <c r="X305" s="917">
        <f>X302/(((Data!$P$186/100)+1)^X$70)</f>
        <v>0</v>
      </c>
      <c r="Y305" s="917">
        <f>Y302/(((Data!$P$186/100)+1)^Y$70)</f>
        <v>0</v>
      </c>
      <c r="Z305" s="917">
        <f>Z302/(((Data!$P$186/100)+1)^Z$70)</f>
        <v>0</v>
      </c>
      <c r="AA305" s="917">
        <f>AA302/(((Data!$P$186/100)+1)^AA$70)</f>
        <v>0</v>
      </c>
      <c r="AB305" s="917">
        <f>AB302/(((Data!$P$186/100)+1)^AB$70)</f>
        <v>0</v>
      </c>
      <c r="AC305" s="917">
        <f>AC302/(((Data!$P$186/100)+1)^AC$70)</f>
        <v>0</v>
      </c>
      <c r="AD305" s="917">
        <f>AD302/(((Data!$P$186/100)+1)^AD$70)</f>
        <v>0</v>
      </c>
      <c r="AE305" s="917">
        <f>AE302/(((Data!$P$186/100)+1)^AE$70)</f>
        <v>0</v>
      </c>
      <c r="AF305" s="917">
        <f>AF302/(((Data!$P$186/100)+1)^AF$70)</f>
        <v>0</v>
      </c>
      <c r="AG305" s="917">
        <f>AG302/(((Data!$P$186/100)+1)^AG$70)</f>
        <v>0</v>
      </c>
      <c r="AH305" s="917">
        <f>AH302/(((Data!$P$186/100)+1)^AH$70)</f>
        <v>0</v>
      </c>
      <c r="AI305" s="917">
        <f>AI302/(((Data!$P$186/100)+1)^AI$70)</f>
        <v>0</v>
      </c>
      <c r="AJ305" s="917">
        <f>AJ302/(((Data!$P$186/100)+1)^AJ$70)</f>
        <v>0</v>
      </c>
    </row>
    <row r="306" spans="7:36" ht="15" hidden="1" customHeight="1" x14ac:dyDescent="0.2">
      <c r="G306" s="859" t="s">
        <v>185</v>
      </c>
      <c r="H306" s="859"/>
      <c r="I306" s="839"/>
      <c r="J306" s="839"/>
      <c r="K306" s="923">
        <f>K305</f>
        <v>0</v>
      </c>
      <c r="L306" s="923">
        <f t="shared" ref="L306:AI306" si="87">K306+L305</f>
        <v>0</v>
      </c>
      <c r="M306" s="923">
        <f t="shared" si="87"/>
        <v>0</v>
      </c>
      <c r="N306" s="923">
        <f t="shared" si="87"/>
        <v>0</v>
      </c>
      <c r="O306" s="923">
        <f t="shared" si="87"/>
        <v>0</v>
      </c>
      <c r="P306" s="923">
        <f t="shared" si="87"/>
        <v>0</v>
      </c>
      <c r="Q306" s="923">
        <f t="shared" si="87"/>
        <v>0</v>
      </c>
      <c r="R306" s="923">
        <f t="shared" si="87"/>
        <v>0</v>
      </c>
      <c r="S306" s="923">
        <f t="shared" si="87"/>
        <v>0</v>
      </c>
      <c r="T306" s="923">
        <f t="shared" si="87"/>
        <v>0</v>
      </c>
      <c r="U306" s="923">
        <f t="shared" si="87"/>
        <v>0</v>
      </c>
      <c r="V306" s="923">
        <f t="shared" si="87"/>
        <v>0</v>
      </c>
      <c r="W306" s="923">
        <f t="shared" si="87"/>
        <v>0</v>
      </c>
      <c r="X306" s="923">
        <f t="shared" si="87"/>
        <v>0</v>
      </c>
      <c r="Y306" s="923">
        <f t="shared" si="87"/>
        <v>0</v>
      </c>
      <c r="Z306" s="923">
        <f t="shared" si="87"/>
        <v>0</v>
      </c>
      <c r="AA306" s="923">
        <f t="shared" si="87"/>
        <v>0</v>
      </c>
      <c r="AB306" s="923">
        <f t="shared" si="87"/>
        <v>0</v>
      </c>
      <c r="AC306" s="923">
        <f t="shared" si="87"/>
        <v>0</v>
      </c>
      <c r="AD306" s="923">
        <f t="shared" si="87"/>
        <v>0</v>
      </c>
      <c r="AE306" s="923">
        <f t="shared" si="87"/>
        <v>0</v>
      </c>
      <c r="AF306" s="923">
        <f t="shared" si="87"/>
        <v>0</v>
      </c>
      <c r="AG306" s="923">
        <f t="shared" si="87"/>
        <v>0</v>
      </c>
      <c r="AH306" s="923">
        <f t="shared" si="87"/>
        <v>0</v>
      </c>
      <c r="AI306" s="923">
        <f t="shared" si="87"/>
        <v>0</v>
      </c>
      <c r="AJ306" s="923">
        <f>AI306+AJ305</f>
        <v>0</v>
      </c>
    </row>
    <row r="307" spans="7:36" ht="15" hidden="1" customHeight="1" x14ac:dyDescent="0.2"/>
    <row r="308" spans="7:36" ht="15" hidden="1" customHeight="1" x14ac:dyDescent="0.2">
      <c r="G308" s="827"/>
      <c r="H308" s="8"/>
      <c r="I308" s="87"/>
      <c r="J308" s="934"/>
      <c r="K308" s="935"/>
      <c r="M308" s="66"/>
      <c r="N308" s="8"/>
      <c r="O308" s="87"/>
      <c r="P308" s="934"/>
      <c r="Q308" s="935"/>
      <c r="Y308" s="840"/>
      <c r="Z308" s="8"/>
      <c r="AA308" s="87"/>
      <c r="AB308" s="10"/>
      <c r="AC308" s="935"/>
    </row>
    <row r="309" spans="7:36" ht="15" hidden="1" customHeight="1" x14ac:dyDescent="0.2">
      <c r="G309" s="936"/>
      <c r="K309" s="529"/>
      <c r="M309" s="8"/>
      <c r="N309" s="8"/>
      <c r="O309" s="934"/>
      <c r="P309" s="934"/>
      <c r="Q309" s="938"/>
      <c r="R309" s="9"/>
      <c r="S309" s="8"/>
      <c r="T309" s="8"/>
      <c r="U309" s="8"/>
      <c r="V309" s="8"/>
      <c r="W309" s="8"/>
      <c r="X309" s="8"/>
      <c r="Y309" s="840"/>
      <c r="Z309" s="8"/>
      <c r="AA309" s="934"/>
      <c r="AB309" s="934"/>
      <c r="AC309" s="938"/>
      <c r="AD309" s="8"/>
      <c r="AE309" s="8"/>
      <c r="AF309" s="8"/>
      <c r="AG309" s="8"/>
      <c r="AH309" s="8"/>
      <c r="AI309" s="8"/>
      <c r="AJ309" s="8"/>
    </row>
    <row r="310" spans="7:36" ht="15" hidden="1" customHeight="1" x14ac:dyDescent="0.2">
      <c r="G310" s="827"/>
      <c r="H310" s="8"/>
      <c r="I310" s="8"/>
      <c r="J310" s="87"/>
      <c r="K310" s="937"/>
      <c r="M310" s="66"/>
      <c r="N310" s="8"/>
      <c r="O310" s="8"/>
      <c r="P310" s="87"/>
      <c r="Q310" s="937"/>
      <c r="R310" s="67"/>
      <c r="S310" s="67"/>
      <c r="T310" s="67"/>
      <c r="U310" s="67"/>
      <c r="V310" s="67"/>
      <c r="W310" s="67"/>
      <c r="X310" s="67"/>
      <c r="Y310" s="840"/>
      <c r="Z310" s="8"/>
      <c r="AA310" s="8"/>
      <c r="AB310" s="947"/>
      <c r="AC310" s="937"/>
      <c r="AD310" s="67"/>
      <c r="AE310" s="67"/>
      <c r="AF310" s="67"/>
      <c r="AG310" s="67"/>
      <c r="AH310" s="67"/>
      <c r="AI310" s="67"/>
      <c r="AJ310" s="67"/>
    </row>
    <row r="311" spans="7:36" ht="15" hidden="1" customHeight="1" x14ac:dyDescent="0.2">
      <c r="G311" s="827"/>
      <c r="H311" s="8"/>
      <c r="I311" s="934"/>
      <c r="J311" s="934"/>
      <c r="K311" s="938"/>
      <c r="M311" s="8"/>
      <c r="N311" s="8"/>
      <c r="O311" s="934"/>
      <c r="P311" s="934"/>
      <c r="Q311" s="275"/>
      <c r="R311" s="67"/>
      <c r="S311" s="67"/>
      <c r="T311" s="67"/>
      <c r="U311" s="67"/>
      <c r="V311" s="67"/>
      <c r="W311" s="67"/>
      <c r="X311" s="67"/>
      <c r="Y311" s="840"/>
      <c r="Z311" s="8"/>
      <c r="AA311" s="934"/>
      <c r="AB311" s="934"/>
      <c r="AC311" s="948"/>
      <c r="AD311" s="67"/>
      <c r="AE311" s="67"/>
      <c r="AF311" s="67"/>
      <c r="AG311" s="67"/>
      <c r="AH311" s="67"/>
      <c r="AI311" s="67"/>
      <c r="AJ311" s="67"/>
    </row>
    <row r="312" spans="7:36" ht="15" customHeight="1" x14ac:dyDescent="0.2">
      <c r="G312" s="939"/>
      <c r="H312" s="8"/>
      <c r="I312" s="8"/>
      <c r="J312" s="67"/>
      <c r="K312" s="250"/>
      <c r="M312" s="162"/>
      <c r="N312" s="8"/>
      <c r="O312" s="8"/>
      <c r="P312" s="112"/>
      <c r="Q312" s="250"/>
      <c r="R312" s="67"/>
      <c r="S312" s="67"/>
      <c r="T312" s="67"/>
      <c r="U312" s="67"/>
      <c r="V312" s="67"/>
      <c r="W312" s="67"/>
      <c r="X312" s="67"/>
      <c r="Y312" s="933"/>
      <c r="Z312" s="8"/>
      <c r="AA312" s="8"/>
      <c r="AB312" s="67"/>
      <c r="AC312" s="250"/>
      <c r="AD312" s="67"/>
      <c r="AE312" s="67"/>
      <c r="AF312" s="67"/>
      <c r="AG312" s="67"/>
      <c r="AH312" s="67"/>
      <c r="AI312" s="67"/>
      <c r="AJ312" s="67"/>
    </row>
    <row r="313" spans="7:36" ht="15" customHeight="1" x14ac:dyDescent="0.2">
      <c r="G313" s="827"/>
      <c r="H313" s="8"/>
      <c r="I313" s="8"/>
      <c r="J313" s="8"/>
      <c r="K313" s="250"/>
      <c r="M313" s="162"/>
      <c r="N313" s="8"/>
      <c r="O313" s="8"/>
      <c r="P313" s="949"/>
      <c r="Q313" s="250"/>
      <c r="R313" s="9"/>
      <c r="S313" s="8"/>
      <c r="T313" s="8"/>
      <c r="U313" s="8"/>
      <c r="V313" s="8"/>
      <c r="W313" s="8"/>
      <c r="X313" s="8"/>
      <c r="Y313" s="933"/>
      <c r="Z313" s="8"/>
      <c r="AA313" s="8"/>
      <c r="AB313" s="950"/>
      <c r="AC313" s="250"/>
      <c r="AD313" s="8"/>
      <c r="AE313" s="8"/>
      <c r="AF313" s="8"/>
      <c r="AG313" s="8"/>
      <c r="AH313" s="8"/>
      <c r="AI313" s="8"/>
      <c r="AJ313" s="8"/>
    </row>
    <row r="314" spans="7:36" ht="15" customHeight="1" x14ac:dyDescent="0.2">
      <c r="G314" s="827"/>
      <c r="H314" s="8"/>
      <c r="I314" s="8"/>
      <c r="J314" s="8"/>
      <c r="K314" s="250"/>
      <c r="M314" s="66"/>
      <c r="N314" s="8"/>
      <c r="O314" s="8"/>
      <c r="P314" s="8"/>
      <c r="Q314" s="250"/>
      <c r="R314" s="66"/>
      <c r="S314" s="66"/>
      <c r="T314" s="66"/>
      <c r="U314" s="66"/>
      <c r="V314" s="66"/>
      <c r="W314" s="66"/>
      <c r="X314" s="66"/>
      <c r="Y314" s="840"/>
      <c r="Z314" s="8"/>
      <c r="AA314" s="8"/>
      <c r="AB314" s="8"/>
      <c r="AC314" s="250"/>
      <c r="AD314" s="66"/>
      <c r="AE314" s="66"/>
      <c r="AF314" s="66"/>
      <c r="AG314" s="66"/>
      <c r="AH314" s="66"/>
      <c r="AI314" s="66"/>
      <c r="AJ314" s="66"/>
    </row>
    <row r="315" spans="7:36" ht="15" customHeight="1" x14ac:dyDescent="0.2">
      <c r="G315" s="827"/>
      <c r="I315" s="87"/>
      <c r="J315" s="753"/>
      <c r="K315" s="752"/>
      <c r="M315" s="66"/>
      <c r="N315" s="8"/>
      <c r="O315" s="87"/>
      <c r="P315" s="753"/>
      <c r="Q315" s="752"/>
      <c r="R315" s="112"/>
      <c r="S315" s="112"/>
      <c r="T315" s="112"/>
      <c r="U315" s="112"/>
      <c r="V315" s="112"/>
      <c r="W315" s="112"/>
      <c r="X315" s="112"/>
      <c r="Y315" s="840"/>
      <c r="AA315" s="87"/>
      <c r="AB315" s="753"/>
      <c r="AC315" s="752"/>
      <c r="AD315" s="112"/>
      <c r="AE315" s="112"/>
      <c r="AF315" s="112"/>
      <c r="AG315" s="112"/>
      <c r="AH315" s="112"/>
      <c r="AI315" s="112"/>
      <c r="AJ315" s="112"/>
    </row>
    <row r="316" spans="7:36" ht="15" customHeight="1" x14ac:dyDescent="0.2">
      <c r="G316" s="827"/>
      <c r="H316" s="8"/>
      <c r="I316" s="87"/>
      <c r="J316" s="10"/>
      <c r="K316" s="937"/>
      <c r="M316" s="66"/>
      <c r="N316" s="8"/>
      <c r="O316" s="87"/>
      <c r="P316" s="10"/>
      <c r="Q316" s="937"/>
      <c r="R316" s="112"/>
      <c r="S316" s="112"/>
      <c r="T316" s="112"/>
      <c r="U316" s="112"/>
      <c r="V316" s="112"/>
      <c r="W316" s="112"/>
      <c r="X316" s="112"/>
      <c r="Y316" s="840"/>
      <c r="Z316" s="8"/>
      <c r="AA316" s="87"/>
      <c r="AB316" s="10"/>
      <c r="AC316" s="937"/>
      <c r="AD316" s="112"/>
      <c r="AE316" s="112"/>
      <c r="AF316" s="112"/>
      <c r="AG316" s="112"/>
      <c r="AH316" s="112"/>
      <c r="AI316" s="112"/>
      <c r="AJ316" s="112"/>
    </row>
    <row r="317" spans="7:36" ht="15" customHeight="1" x14ac:dyDescent="0.2">
      <c r="G317" s="827"/>
      <c r="H317" s="8"/>
      <c r="I317" s="8"/>
      <c r="J317" s="115"/>
      <c r="K317" s="275"/>
      <c r="M317" s="66"/>
      <c r="N317" s="8"/>
      <c r="O317" s="8"/>
      <c r="P317" s="115"/>
      <c r="Q317" s="275"/>
      <c r="R317" s="112"/>
      <c r="S317" s="112"/>
      <c r="T317" s="112"/>
      <c r="U317" s="112"/>
      <c r="V317" s="112"/>
      <c r="W317" s="112"/>
      <c r="X317" s="112"/>
      <c r="Y317" s="840"/>
      <c r="Z317" s="8"/>
      <c r="AA317" s="951"/>
      <c r="AB317" s="952"/>
      <c r="AC317" s="275"/>
      <c r="AD317" s="112"/>
      <c r="AE317" s="112"/>
      <c r="AF317" s="112"/>
      <c r="AG317" s="112"/>
      <c r="AH317" s="112"/>
      <c r="AI317" s="112"/>
      <c r="AJ317" s="112"/>
    </row>
    <row r="318" spans="7:36" ht="15" customHeight="1" x14ac:dyDescent="0.2">
      <c r="G318" s="827"/>
      <c r="H318" s="8"/>
      <c r="I318" s="8"/>
      <c r="J318" s="87"/>
      <c r="K318" s="275"/>
      <c r="M318" s="66"/>
      <c r="N318" s="8"/>
      <c r="O318" s="8"/>
      <c r="P318" s="87"/>
      <c r="Q318" s="275"/>
      <c r="R318" s="9"/>
      <c r="S318" s="8"/>
      <c r="T318" s="8"/>
      <c r="U318" s="8"/>
      <c r="V318" s="8"/>
      <c r="W318" s="8"/>
      <c r="X318" s="8"/>
      <c r="Y318" s="840"/>
      <c r="Z318" s="8"/>
      <c r="AA318" s="951"/>
      <c r="AB318" s="952"/>
      <c r="AC318" s="275"/>
      <c r="AD318" s="8"/>
      <c r="AE318" s="8"/>
      <c r="AF318" s="8"/>
      <c r="AG318" s="8"/>
      <c r="AH318" s="8"/>
      <c r="AI318" s="8"/>
      <c r="AJ318" s="8"/>
    </row>
    <row r="319" spans="7:36" ht="15" customHeight="1" x14ac:dyDescent="0.2">
      <c r="G319" s="827"/>
      <c r="H319" s="8"/>
      <c r="I319" s="934"/>
      <c r="J319" s="934"/>
      <c r="K319" s="938"/>
      <c r="M319" s="8"/>
      <c r="N319" s="8"/>
      <c r="O319" s="934"/>
      <c r="P319" s="934"/>
      <c r="Q319" s="275"/>
      <c r="R319" s="164"/>
      <c r="S319" s="164"/>
      <c r="T319" s="164"/>
      <c r="U319" s="164"/>
      <c r="V319" s="164"/>
      <c r="W319" s="164"/>
      <c r="X319" s="164"/>
      <c r="Y319" s="840"/>
      <c r="Z319" s="8"/>
      <c r="AA319" s="8"/>
      <c r="AB319" s="953"/>
      <c r="AC319" s="948"/>
      <c r="AD319" s="164"/>
      <c r="AE319" s="164"/>
      <c r="AF319" s="164"/>
      <c r="AG319" s="164"/>
      <c r="AH319" s="164"/>
      <c r="AI319" s="164"/>
      <c r="AJ319" s="164"/>
    </row>
    <row r="320" spans="7:36" ht="15" customHeight="1" x14ac:dyDescent="0.2">
      <c r="L320" s="8"/>
      <c r="M320" s="750"/>
      <c r="N320" s="10"/>
      <c r="O320" s="21"/>
      <c r="P320" s="21"/>
      <c r="Q320" s="250"/>
      <c r="R320" s="165"/>
      <c r="S320" s="165"/>
      <c r="T320" s="165"/>
      <c r="U320" s="165"/>
      <c r="V320" s="165"/>
      <c r="W320" s="165"/>
      <c r="X320" s="165"/>
      <c r="Y320" s="954"/>
      <c r="Z320" s="10"/>
      <c r="AA320" s="10"/>
      <c r="AB320" s="8"/>
      <c r="AC320" s="955"/>
      <c r="AD320" s="165"/>
      <c r="AE320" s="165"/>
      <c r="AF320" s="165"/>
      <c r="AG320" s="165"/>
      <c r="AH320" s="165"/>
      <c r="AI320" s="165"/>
      <c r="AJ320" s="165"/>
    </row>
    <row r="321" spans="7:36" ht="15" customHeight="1" x14ac:dyDescent="0.2">
      <c r="M321" s="66"/>
      <c r="N321" s="8"/>
      <c r="O321" s="8"/>
      <c r="P321" s="754"/>
      <c r="Q321" s="275"/>
      <c r="R321" s="165"/>
      <c r="S321" s="165"/>
      <c r="T321" s="165"/>
      <c r="U321" s="165"/>
      <c r="V321" s="165"/>
      <c r="W321" s="165"/>
      <c r="X321" s="165"/>
      <c r="Y321" s="840"/>
      <c r="Z321" s="8"/>
      <c r="AA321" s="8"/>
      <c r="AB321" s="754"/>
      <c r="AC321" s="275"/>
      <c r="AD321" s="165"/>
      <c r="AE321" s="165"/>
      <c r="AF321" s="165"/>
      <c r="AG321" s="165"/>
      <c r="AH321" s="165"/>
      <c r="AI321" s="165"/>
      <c r="AJ321" s="165"/>
    </row>
    <row r="322" spans="7:36" ht="15" customHeight="1" x14ac:dyDescent="0.2">
      <c r="M322" s="66"/>
      <c r="N322" s="8"/>
      <c r="O322" s="8"/>
      <c r="P322" s="87"/>
      <c r="Q322" s="275"/>
      <c r="R322" s="165"/>
      <c r="S322" s="165"/>
      <c r="T322" s="165"/>
      <c r="U322" s="165"/>
      <c r="V322" s="165"/>
      <c r="W322" s="165"/>
      <c r="X322" s="165"/>
      <c r="Y322" s="840"/>
      <c r="Z322" s="8"/>
      <c r="AA322" s="8"/>
      <c r="AB322" s="87"/>
      <c r="AC322" s="275"/>
      <c r="AD322" s="165"/>
      <c r="AE322" s="165"/>
      <c r="AF322" s="165"/>
      <c r="AG322" s="165"/>
      <c r="AH322" s="165"/>
      <c r="AI322" s="165"/>
      <c r="AJ322" s="165"/>
    </row>
    <row r="323" spans="7:36" ht="15" customHeight="1" x14ac:dyDescent="0.2">
      <c r="Y323" s="932"/>
    </row>
    <row r="324" spans="7:36" ht="15" customHeight="1" x14ac:dyDescent="0.2">
      <c r="M324" s="66"/>
      <c r="N324" s="8"/>
      <c r="O324" s="8"/>
      <c r="P324" s="87"/>
      <c r="Q324" s="275"/>
      <c r="Y324" s="840"/>
      <c r="Z324" s="8"/>
      <c r="AA324" s="8"/>
      <c r="AB324" s="87"/>
      <c r="AC324" s="275"/>
    </row>
    <row r="325" spans="7:36" ht="15" customHeight="1" x14ac:dyDescent="0.2">
      <c r="M325" s="8"/>
      <c r="N325" s="8"/>
      <c r="O325" s="8"/>
      <c r="P325" s="8"/>
      <c r="Q325" s="250"/>
      <c r="R325" s="9"/>
      <c r="S325" s="8"/>
      <c r="T325" s="8"/>
      <c r="U325" s="8"/>
      <c r="V325" s="8"/>
      <c r="W325" s="8"/>
      <c r="X325" s="8"/>
      <c r="Y325" s="840"/>
      <c r="Z325" s="8"/>
      <c r="AA325" s="8"/>
      <c r="AB325" s="8"/>
      <c r="AC325" s="250"/>
      <c r="AD325" s="8"/>
      <c r="AE325" s="8"/>
      <c r="AF325" s="8"/>
      <c r="AG325" s="8"/>
      <c r="AH325" s="8"/>
      <c r="AI325" s="8"/>
      <c r="AJ325" s="8"/>
    </row>
    <row r="326" spans="7:36" ht="15" customHeight="1" x14ac:dyDescent="0.2">
      <c r="M326" s="66"/>
      <c r="N326" s="8"/>
      <c r="O326" s="8"/>
      <c r="P326" s="754"/>
      <c r="Q326" s="275"/>
      <c r="R326" s="67"/>
      <c r="S326" s="67"/>
      <c r="T326" s="67"/>
      <c r="U326" s="67"/>
      <c r="V326" s="67"/>
      <c r="W326" s="67"/>
      <c r="X326" s="67"/>
      <c r="Y326" s="840"/>
      <c r="Z326" s="10"/>
      <c r="AA326" s="8"/>
      <c r="AB326" s="754"/>
      <c r="AC326" s="275"/>
      <c r="AD326" s="67"/>
      <c r="AE326" s="67"/>
      <c r="AF326" s="67"/>
      <c r="AG326" s="67"/>
      <c r="AH326" s="67"/>
      <c r="AI326" s="67"/>
      <c r="AJ326" s="67"/>
    </row>
    <row r="327" spans="7:36" ht="15" customHeight="1" x14ac:dyDescent="0.2">
      <c r="M327" s="66"/>
      <c r="N327" s="10"/>
      <c r="O327" s="8"/>
      <c r="P327" s="87"/>
      <c r="Q327" s="275"/>
      <c r="R327" s="67"/>
      <c r="S327" s="67"/>
      <c r="T327" s="67"/>
      <c r="U327" s="67"/>
      <c r="V327" s="67"/>
      <c r="W327" s="67"/>
      <c r="X327" s="67"/>
      <c r="Y327" s="840"/>
      <c r="Z327" s="8"/>
      <c r="AA327" s="8"/>
      <c r="AB327" s="87"/>
      <c r="AC327" s="275"/>
      <c r="AD327" s="67"/>
      <c r="AE327" s="67"/>
      <c r="AF327" s="67"/>
      <c r="AG327" s="67"/>
      <c r="AH327" s="67"/>
      <c r="AI327" s="67"/>
      <c r="AJ327" s="67"/>
    </row>
    <row r="328" spans="7:36" ht="15" customHeight="1" x14ac:dyDescent="0.2">
      <c r="R328" s="67"/>
      <c r="S328" s="67"/>
      <c r="T328" s="67"/>
      <c r="U328" s="67"/>
      <c r="V328" s="67"/>
      <c r="W328" s="67"/>
      <c r="X328" s="67"/>
      <c r="Y328" s="932"/>
      <c r="AD328" s="67"/>
      <c r="AE328" s="67"/>
      <c r="AF328" s="67"/>
      <c r="AG328" s="67"/>
      <c r="AH328" s="67"/>
      <c r="AI328" s="67"/>
      <c r="AJ328" s="67"/>
    </row>
    <row r="329" spans="7:36" ht="15" customHeight="1" x14ac:dyDescent="0.2">
      <c r="L329" s="529"/>
      <c r="M329" s="250"/>
      <c r="N329" s="250"/>
      <c r="O329" s="250"/>
      <c r="P329" s="250"/>
      <c r="Q329" s="250"/>
      <c r="R329" s="9"/>
      <c r="S329" s="8"/>
      <c r="T329" s="8"/>
      <c r="U329" s="8"/>
      <c r="V329" s="8"/>
      <c r="W329" s="8"/>
      <c r="X329" s="8"/>
      <c r="Y329" s="840"/>
      <c r="Z329" s="10"/>
      <c r="AA329" s="8"/>
      <c r="AB329" s="8"/>
      <c r="AC329" s="10"/>
      <c r="AD329" s="8"/>
      <c r="AE329" s="8"/>
      <c r="AF329" s="8"/>
      <c r="AG329" s="8"/>
      <c r="AH329" s="8"/>
      <c r="AI329" s="8"/>
      <c r="AJ329" s="8"/>
    </row>
    <row r="330" spans="7:36" ht="15" customHeight="1" x14ac:dyDescent="0.2">
      <c r="R330" s="66"/>
      <c r="S330" s="66"/>
      <c r="T330" s="66"/>
      <c r="U330" s="66"/>
      <c r="V330" s="66"/>
      <c r="W330" s="66"/>
      <c r="X330" s="66"/>
      <c r="Y330" s="932"/>
      <c r="AD330" s="66"/>
      <c r="AE330" s="66"/>
      <c r="AF330" s="66"/>
      <c r="AG330" s="66"/>
      <c r="AH330" s="66"/>
      <c r="AI330" s="66"/>
      <c r="AJ330" s="66"/>
    </row>
    <row r="331" spans="7:36" ht="15" customHeight="1" x14ac:dyDescent="0.2">
      <c r="L331" s="529"/>
      <c r="M331" s="946"/>
      <c r="N331" s="529"/>
      <c r="O331" s="529"/>
      <c r="P331" s="529"/>
      <c r="Q331" s="275"/>
      <c r="R331" s="112"/>
      <c r="S331" s="112"/>
      <c r="T331" s="112"/>
      <c r="U331" s="112"/>
      <c r="V331" s="112"/>
      <c r="W331" s="112"/>
      <c r="X331" s="112"/>
      <c r="Y331" s="946"/>
      <c r="Z331" s="529"/>
      <c r="AA331" s="529"/>
      <c r="AB331" s="529"/>
      <c r="AC331" s="275"/>
      <c r="AD331" s="112"/>
      <c r="AE331" s="112"/>
      <c r="AF331" s="112"/>
      <c r="AG331" s="112"/>
      <c r="AH331" s="112"/>
      <c r="AI331" s="112"/>
      <c r="AJ331" s="112"/>
    </row>
    <row r="332" spans="7:36" ht="15" customHeight="1" x14ac:dyDescent="0.2">
      <c r="L332" s="529"/>
      <c r="M332" s="946"/>
      <c r="N332" s="529"/>
      <c r="O332" s="529"/>
      <c r="P332" s="529"/>
      <c r="Q332" s="275"/>
      <c r="R332" s="112"/>
      <c r="S332" s="112"/>
      <c r="T332" s="112"/>
      <c r="U332" s="112"/>
      <c r="V332" s="112"/>
      <c r="W332" s="112"/>
      <c r="X332" s="112"/>
      <c r="Y332" s="946"/>
      <c r="Z332" s="529"/>
      <c r="AA332" s="529"/>
      <c r="AB332" s="529"/>
      <c r="AC332" s="275"/>
      <c r="AD332" s="112"/>
      <c r="AE332" s="112"/>
      <c r="AF332" s="112"/>
      <c r="AG332" s="112"/>
      <c r="AH332" s="112"/>
      <c r="AI332" s="112"/>
      <c r="AJ332" s="112"/>
    </row>
    <row r="333" spans="7:36" ht="15" customHeight="1" x14ac:dyDescent="0.2">
      <c r="L333" s="529"/>
      <c r="M333" s="946"/>
      <c r="N333" s="250"/>
      <c r="O333" s="250"/>
      <c r="P333" s="250"/>
      <c r="Q333" s="275"/>
      <c r="R333" s="112"/>
      <c r="S333" s="112"/>
      <c r="T333" s="112"/>
      <c r="U333" s="112"/>
      <c r="V333" s="112"/>
      <c r="W333" s="112"/>
      <c r="X333" s="112"/>
      <c r="Y333" s="946"/>
      <c r="Z333" s="250"/>
      <c r="AA333" s="250"/>
      <c r="AB333" s="250"/>
      <c r="AC333" s="275"/>
      <c r="AD333" s="112"/>
      <c r="AE333" s="112"/>
      <c r="AF333" s="112"/>
      <c r="AG333" s="112"/>
      <c r="AH333" s="112"/>
      <c r="AI333" s="112"/>
      <c r="AJ333" s="112"/>
    </row>
    <row r="334" spans="7:36" ht="15" customHeight="1" x14ac:dyDescent="0.2">
      <c r="L334" s="529"/>
      <c r="M334" s="946"/>
      <c r="N334" s="250"/>
      <c r="O334" s="250"/>
      <c r="P334" s="250"/>
      <c r="Q334" s="937"/>
      <c r="R334" s="9"/>
      <c r="S334" s="8"/>
      <c r="T334" s="8"/>
      <c r="U334" s="8"/>
      <c r="V334" s="8"/>
      <c r="W334" s="8"/>
      <c r="X334" s="8"/>
      <c r="Y334" s="946"/>
      <c r="Z334" s="250"/>
      <c r="AA334" s="250"/>
      <c r="AB334" s="250"/>
      <c r="AC334" s="937"/>
      <c r="AD334" s="8"/>
      <c r="AE334" s="8"/>
      <c r="AF334" s="8"/>
      <c r="AG334" s="8"/>
      <c r="AH334" s="8"/>
      <c r="AI334" s="8"/>
      <c r="AJ334" s="8"/>
    </row>
    <row r="335" spans="7:36" ht="15" customHeight="1" x14ac:dyDescent="0.2">
      <c r="L335" s="529"/>
      <c r="M335" s="946"/>
      <c r="N335" s="250"/>
      <c r="O335" s="250"/>
      <c r="P335" s="250"/>
      <c r="Q335" s="937"/>
      <c r="R335" s="164"/>
      <c r="S335" s="164"/>
      <c r="T335" s="164"/>
      <c r="U335" s="164"/>
      <c r="V335" s="164"/>
      <c r="W335" s="164"/>
      <c r="X335" s="164"/>
      <c r="Y335" s="946"/>
      <c r="Z335" s="250"/>
      <c r="AA335" s="250"/>
      <c r="AB335" s="250"/>
      <c r="AC335" s="937"/>
      <c r="AD335" s="164"/>
      <c r="AE335" s="164"/>
      <c r="AF335" s="164"/>
      <c r="AG335" s="164"/>
      <c r="AH335" s="164"/>
      <c r="AI335" s="164"/>
      <c r="AJ335" s="164"/>
    </row>
    <row r="336" spans="7:36" ht="15" customHeight="1" x14ac:dyDescent="0.2">
      <c r="G336" s="164"/>
      <c r="H336" s="164"/>
      <c r="I336" s="164"/>
      <c r="J336" s="164"/>
      <c r="K336" s="99"/>
      <c r="L336" s="99"/>
      <c r="M336" s="99"/>
      <c r="N336" s="99"/>
      <c r="O336" s="99"/>
      <c r="P336" s="99"/>
      <c r="Q336" s="99"/>
      <c r="R336" s="99"/>
      <c r="S336" s="99"/>
      <c r="T336" s="99"/>
      <c r="U336" s="99"/>
      <c r="V336" s="99"/>
      <c r="W336" s="99"/>
      <c r="X336" s="99"/>
      <c r="Y336" s="99"/>
      <c r="Z336" s="99"/>
      <c r="AA336" s="99"/>
      <c r="AB336" s="99"/>
      <c r="AC336" s="99"/>
      <c r="AD336" s="99"/>
      <c r="AE336" s="99"/>
      <c r="AF336" s="99"/>
      <c r="AG336" s="99"/>
      <c r="AH336" s="99"/>
      <c r="AI336" s="99"/>
      <c r="AJ336" s="99"/>
    </row>
    <row r="337" spans="7:36" ht="15" customHeight="1" x14ac:dyDescent="0.2">
      <c r="G337" s="164"/>
      <c r="H337" s="164"/>
      <c r="I337" s="164"/>
      <c r="J337" s="164"/>
      <c r="K337" s="99"/>
      <c r="L337" s="99"/>
      <c r="M337" s="99"/>
      <c r="N337" s="99"/>
      <c r="O337" s="99"/>
      <c r="P337" s="99"/>
      <c r="Q337" s="99"/>
      <c r="R337" s="99"/>
      <c r="S337" s="99"/>
      <c r="T337" s="99"/>
      <c r="U337" s="99"/>
      <c r="V337" s="99"/>
      <c r="W337" s="99"/>
      <c r="X337" s="99"/>
      <c r="Y337" s="99"/>
      <c r="Z337" s="99"/>
      <c r="AA337" s="99"/>
      <c r="AB337" s="99"/>
      <c r="AC337" s="99"/>
      <c r="AD337" s="99"/>
      <c r="AE337" s="99"/>
      <c r="AF337" s="99"/>
      <c r="AG337" s="99"/>
      <c r="AH337" s="99"/>
      <c r="AI337" s="99"/>
      <c r="AJ337" s="99"/>
    </row>
    <row r="338" spans="7:36" ht="15" customHeight="1" x14ac:dyDescent="0.2">
      <c r="G338" s="164"/>
      <c r="H338" s="164"/>
      <c r="I338" s="164"/>
      <c r="J338" s="164"/>
      <c r="K338" s="99"/>
      <c r="L338" s="99"/>
      <c r="M338" s="99"/>
      <c r="N338" s="99"/>
      <c r="O338" s="99"/>
      <c r="P338" s="99"/>
      <c r="Q338" s="99"/>
      <c r="R338" s="99"/>
      <c r="S338" s="99"/>
      <c r="T338" s="99"/>
      <c r="U338" s="99"/>
      <c r="V338" s="99"/>
      <c r="W338" s="99"/>
      <c r="X338" s="99"/>
      <c r="Y338" s="99"/>
      <c r="Z338" s="99"/>
      <c r="AA338" s="99"/>
      <c r="AB338" s="99"/>
      <c r="AC338" s="99"/>
      <c r="AD338" s="99"/>
      <c r="AE338" s="99"/>
      <c r="AF338" s="99"/>
      <c r="AG338" s="99"/>
      <c r="AH338" s="99"/>
      <c r="AI338" s="99"/>
      <c r="AJ338" s="99"/>
    </row>
  </sheetData>
  <mergeCells count="5">
    <mergeCell ref="B31:D31"/>
    <mergeCell ref="A1:E3"/>
    <mergeCell ref="B7:D7"/>
    <mergeCell ref="G5:H7"/>
    <mergeCell ref="S10:W10"/>
  </mergeCells>
  <conditionalFormatting sqref="G10">
    <cfRule type="expression" dxfId="325" priority="156">
      <formula>#REF!="No"</formula>
    </cfRule>
  </conditionalFormatting>
  <conditionalFormatting sqref="G12">
    <cfRule type="expression" dxfId="324" priority="198">
      <formula>#REF!="No"</formula>
    </cfRule>
  </conditionalFormatting>
  <conditionalFormatting sqref="G41">
    <cfRule type="expression" dxfId="323" priority="81">
      <formula>#REF!="No"</formula>
    </cfRule>
  </conditionalFormatting>
  <conditionalFormatting sqref="G44">
    <cfRule type="expression" dxfId="322" priority="216">
      <formula>#REF!="No"</formula>
    </cfRule>
  </conditionalFormatting>
  <conditionalFormatting sqref="G46">
    <cfRule type="expression" dxfId="321" priority="82">
      <formula>#REF!="No"</formula>
    </cfRule>
  </conditionalFormatting>
  <conditionalFormatting sqref="G51:G55">
    <cfRule type="expression" dxfId="320" priority="64">
      <formula>#REF!="No"</formula>
    </cfRule>
  </conditionalFormatting>
  <conditionalFormatting sqref="G90">
    <cfRule type="expression" dxfId="319" priority="20">
      <formula>#REF!="No"</formula>
    </cfRule>
  </conditionalFormatting>
  <conditionalFormatting sqref="G114">
    <cfRule type="expression" dxfId="318" priority="13">
      <formula>#REF!="No"</formula>
    </cfRule>
  </conditionalFormatting>
  <conditionalFormatting sqref="G138">
    <cfRule type="expression" dxfId="317" priority="12">
      <formula>#REF!="No"</formula>
    </cfRule>
  </conditionalFormatting>
  <conditionalFormatting sqref="G163">
    <cfRule type="expression" dxfId="316" priority="19">
      <formula>#REF!="No"</formula>
    </cfRule>
  </conditionalFormatting>
  <conditionalFormatting sqref="G187">
    <cfRule type="expression" dxfId="315" priority="18">
      <formula>#REF!="No"</formula>
    </cfRule>
  </conditionalFormatting>
  <conditionalFormatting sqref="G211">
    <cfRule type="expression" dxfId="314" priority="17">
      <formula>#REF!="No"</formula>
    </cfRule>
  </conditionalFormatting>
  <conditionalFormatting sqref="G236">
    <cfRule type="expression" dxfId="313" priority="14">
      <formula>#REF!="No"</formula>
    </cfRule>
  </conditionalFormatting>
  <conditionalFormatting sqref="G260">
    <cfRule type="expression" dxfId="312" priority="15">
      <formula>#REF!="No"</formula>
    </cfRule>
  </conditionalFormatting>
  <conditionalFormatting sqref="G284">
    <cfRule type="expression" dxfId="311" priority="16">
      <formula>#REF!="No"</formula>
    </cfRule>
  </conditionalFormatting>
  <conditionalFormatting sqref="G23:K24">
    <cfRule type="expression" dxfId="310" priority="38">
      <formula>$I$20="No"</formula>
    </cfRule>
  </conditionalFormatting>
  <conditionalFormatting sqref="G25:K39">
    <cfRule type="expression" dxfId="309" priority="37">
      <formula>$I$20="Yes"</formula>
    </cfRule>
  </conditionalFormatting>
  <conditionalFormatting sqref="I308 J310">
    <cfRule type="expression" dxfId="308" priority="302">
      <formula>$I$20="Yes"</formula>
    </cfRule>
  </conditionalFormatting>
  <conditionalFormatting sqref="J32">
    <cfRule type="expression" dxfId="306" priority="36">
      <formula>NOT($I$32="User defined")</formula>
    </cfRule>
  </conditionalFormatting>
  <conditionalFormatting sqref="M10">
    <cfRule type="expression" dxfId="305" priority="83">
      <formula>#REF!="No"</formula>
    </cfRule>
  </conditionalFormatting>
  <conditionalFormatting sqref="M12">
    <cfRule type="expression" dxfId="304" priority="219">
      <formula>#REF!="No"</formula>
    </cfRule>
    <cfRule type="expression" dxfId="303" priority="222">
      <formula>#REF!="No"</formula>
    </cfRule>
  </conditionalFormatting>
  <conditionalFormatting sqref="M41">
    <cfRule type="expression" dxfId="302" priority="33">
      <formula>#REF!="No"</formula>
    </cfRule>
  </conditionalFormatting>
  <conditionalFormatting sqref="M44">
    <cfRule type="expression" dxfId="301" priority="35">
      <formula>#REF!="No"</formula>
    </cfRule>
  </conditionalFormatting>
  <conditionalFormatting sqref="M46">
    <cfRule type="expression" dxfId="300" priority="34">
      <formula>#REF!="No"</formula>
    </cfRule>
  </conditionalFormatting>
  <conditionalFormatting sqref="M51:M55">
    <cfRule type="expression" dxfId="299" priority="32">
      <formula>#REF!="No"</formula>
    </cfRule>
  </conditionalFormatting>
  <conditionalFormatting sqref="M23:Q24">
    <cfRule type="expression" dxfId="298" priority="31">
      <formula>$O$20="No"</formula>
    </cfRule>
  </conditionalFormatting>
  <conditionalFormatting sqref="M25:Q39">
    <cfRule type="expression" dxfId="297" priority="30">
      <formula>$O$20="Yes"</formula>
    </cfRule>
  </conditionalFormatting>
  <conditionalFormatting sqref="P32">
    <cfRule type="expression" dxfId="295" priority="29">
      <formula>NOT($O$32="User defined")</formula>
    </cfRule>
  </conditionalFormatting>
  <conditionalFormatting sqref="S10">
    <cfRule type="expression" dxfId="294" priority="63">
      <formula>#REF!="No"</formula>
    </cfRule>
  </conditionalFormatting>
  <conditionalFormatting sqref="S41:S43">
    <cfRule type="expression" dxfId="293" priority="67">
      <formula>#REF!="No"</formula>
    </cfRule>
  </conditionalFormatting>
  <conditionalFormatting sqref="T41">
    <cfRule type="expression" dxfId="292" priority="132">
      <formula>#REF!="No"</formula>
    </cfRule>
  </conditionalFormatting>
  <conditionalFormatting sqref="V42">
    <cfRule type="expression" dxfId="291" priority="130">
      <formula>#REF!="No"</formula>
    </cfRule>
  </conditionalFormatting>
  <conditionalFormatting sqref="W42:W43">
    <cfRule type="expression" dxfId="290" priority="66">
      <formula>#REF!="No"</formula>
    </cfRule>
  </conditionalFormatting>
  <conditionalFormatting sqref="Y10">
    <cfRule type="expression" dxfId="289" priority="68">
      <formula>#REF!="No"</formula>
    </cfRule>
  </conditionalFormatting>
  <conditionalFormatting sqref="Y12">
    <cfRule type="expression" dxfId="288" priority="223">
      <formula>#REF!="No"</formula>
    </cfRule>
  </conditionalFormatting>
  <conditionalFormatting sqref="Y15">
    <cfRule type="expression" dxfId="287" priority="143">
      <formula>#REF!="No"</formula>
    </cfRule>
  </conditionalFormatting>
  <conditionalFormatting sqref="Y41">
    <cfRule type="expression" dxfId="286" priority="26">
      <formula>#REF!="No"</formula>
    </cfRule>
  </conditionalFormatting>
  <conditionalFormatting sqref="Y44">
    <cfRule type="expression" dxfId="285" priority="28">
      <formula>#REF!="No"</formula>
    </cfRule>
  </conditionalFormatting>
  <conditionalFormatting sqref="Y46">
    <cfRule type="expression" dxfId="284" priority="27">
      <formula>#REF!="No"</formula>
    </cfRule>
  </conditionalFormatting>
  <conditionalFormatting sqref="Y51:Y55">
    <cfRule type="expression" dxfId="283" priority="25">
      <formula>#REF!="No"</formula>
    </cfRule>
  </conditionalFormatting>
  <conditionalFormatting sqref="Y23:AC24">
    <cfRule type="expression" dxfId="282" priority="24">
      <formula>$AA$20="No"</formula>
    </cfRule>
  </conditionalFormatting>
  <conditionalFormatting sqref="Y25:AC39">
    <cfRule type="expression" dxfId="281" priority="23">
      <formula>$AA$20="Yes"</formula>
    </cfRule>
  </conditionalFormatting>
  <conditionalFormatting sqref="AB32">
    <cfRule type="expression" dxfId="279" priority="8">
      <formula>NOT($AA$32="User defined")</formula>
    </cfRule>
  </conditionalFormatting>
  <conditionalFormatting sqref="AF70">
    <cfRule type="expression" dxfId="278" priority="21">
      <formula>#REF!="No"</formula>
    </cfRule>
  </conditionalFormatting>
  <dataValidations count="2">
    <dataValidation type="list" allowBlank="1" showInputMessage="1" showErrorMessage="1" sqref="AA316 O316" xr:uid="{00000000-0002-0000-0700-000000000000}">
      <formula1>"Variable speed fans, Damper control"</formula1>
    </dataValidation>
    <dataValidation type="list" allowBlank="1" showInputMessage="1" showErrorMessage="1" sqref="I20 O20 AA20 I33 O33 AA33" xr:uid="{00000000-0002-0000-0700-000001000000}">
      <formula1>"Yes, No"</formula1>
    </dataValidation>
  </dataValidations>
  <hyperlinks>
    <hyperlink ref="G5:H7" location="SimpleStep2!A1" display="Done" xr:uid="{00000000-0004-0000-0700-000000000000}"/>
  </hyperlinks>
  <pageMargins left="0.25" right="0.25" top="0.75" bottom="0.75" header="0.3" footer="0.3"/>
  <pageSetup paperSize="9" scale="10" orientation="landscape" r:id="rId1"/>
  <rowBreaks count="1" manualBreakCount="1">
    <brk id="307" max="36"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7" id="{62B9DD20-E549-4C71-9DF5-DE79325743B1}">
            <xm:f>J11&gt;(Step1!$K$24*Step1!$K$35)</xm:f>
            <x14:dxf>
              <font>
                <b/>
                <i val="0"/>
                <color theme="0"/>
              </font>
              <fill>
                <patternFill>
                  <bgColor rgb="FFFF0000"/>
                </patternFill>
              </fill>
            </x14:dxf>
          </x14:cfRule>
          <xm:sqref>J11</xm:sqref>
        </x14:conditionalFormatting>
        <x14:conditionalFormatting xmlns:xm="http://schemas.microsoft.com/office/excel/2006/main">
          <x14:cfRule type="expression" priority="2" id="{08B0D190-D361-4C45-8462-0280F1C7C53A}">
            <xm:f>P11&gt;(Step1!$K$24*Step1!$K$35)</xm:f>
            <x14:dxf>
              <font>
                <b/>
                <i val="0"/>
                <color theme="0"/>
              </font>
              <fill>
                <patternFill>
                  <bgColor rgb="FFFF0000"/>
                </patternFill>
              </fill>
            </x14:dxf>
          </x14:cfRule>
          <xm:sqref>P11</xm:sqref>
        </x14:conditionalFormatting>
        <x14:conditionalFormatting xmlns:xm="http://schemas.microsoft.com/office/excel/2006/main">
          <x14:cfRule type="expression" priority="1" id="{EE31D2A9-2EE8-418F-9223-CDC2A49ADFC6}">
            <xm:f>AB11&gt;(Step1!$K$24*Step1!$K$35)</xm:f>
            <x14:dxf>
              <font>
                <b/>
                <i val="0"/>
                <color theme="0"/>
              </font>
              <fill>
                <patternFill>
                  <bgColor rgb="FFFF0000"/>
                </patternFill>
              </fill>
            </x14:dxf>
          </x14:cfRule>
          <xm:sqref>AB11</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00000000-0002-0000-0700-000002000000}">
          <x14:formula1>
            <xm:f>Data!$G$162:$G$165</xm:f>
          </x14:formula1>
          <xm:sqref>AA308 O308</xm:sqref>
        </x14:dataValidation>
        <x14:dataValidation type="list" allowBlank="1" showInputMessage="1" showErrorMessage="1" xr:uid="{00000000-0002-0000-0700-000003000000}">
          <x14:formula1>
            <xm:f>Data!$G$156:$G$159</xm:f>
          </x14:formula1>
          <xm:sqref>I32 AA315 O315 O32 AA32</xm:sqref>
        </x14:dataValidation>
        <x14:dataValidation type="list" allowBlank="1" showInputMessage="1" showErrorMessage="1" xr:uid="{00000000-0002-0000-0700-000004000000}">
          <x14:formula1>
            <xm:f>Data!$G$164:$G$165</xm:f>
          </x14:formula1>
          <xm:sqref>I23 O23 AA23</xm:sqref>
        </x14:dataValidation>
        <x14:dataValidation type="list" allowBlank="1" showInputMessage="1" showErrorMessage="1" xr:uid="{00000000-0002-0000-0700-000005000000}">
          <x14:formula1>
            <xm:f>Data!$G$162:$G$163</xm:f>
          </x14:formula1>
          <xm:sqref>I25 O25 AA25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A1:AL341"/>
  <sheetViews>
    <sheetView showGridLines="0" zoomScale="55" zoomScaleNormal="55" zoomScaleSheetLayoutView="50" workbookViewId="0">
      <selection sqref="A1:E3"/>
    </sheetView>
  </sheetViews>
  <sheetFormatPr defaultColWidth="8.7109375" defaultRowHeight="15" customHeight="1" x14ac:dyDescent="0.2"/>
  <cols>
    <col min="1" max="1" width="3.7109375" style="110" customWidth="1"/>
    <col min="2" max="2" width="8.85546875" style="142" customWidth="1"/>
    <col min="3" max="3" width="8.7109375" style="558" customWidth="1"/>
    <col min="4" max="4" width="8.7109375" style="138" customWidth="1"/>
    <col min="5" max="5" width="3.7109375" style="137" customWidth="1"/>
    <col min="6" max="6" width="8.7109375" style="1"/>
    <col min="7" max="7" width="8.7109375" style="1" customWidth="1"/>
    <col min="8" max="8" width="8.7109375" style="1"/>
    <col min="9" max="9" width="25.7109375" style="1" customWidth="1"/>
    <col min="10" max="11" width="12.7109375" style="1" customWidth="1"/>
    <col min="12" max="14" width="8.7109375" style="1" customWidth="1"/>
    <col min="15" max="15" width="25.7109375" style="1" customWidth="1"/>
    <col min="16" max="17" width="12.7109375" style="1" customWidth="1"/>
    <col min="18" max="18" width="8.7109375" style="5" customWidth="1"/>
    <col min="19" max="26" width="8.7109375" style="1" customWidth="1"/>
    <col min="27" max="27" width="25.7109375" style="1" customWidth="1"/>
    <col min="28" max="29" width="12.7109375" style="1" customWidth="1"/>
    <col min="30" max="36" width="8.7109375" style="1" customWidth="1"/>
    <col min="37" max="37" width="8.7109375" style="1"/>
    <col min="38" max="38" width="8.7109375" style="986"/>
    <col min="39" max="16384" width="8.7109375" style="1"/>
  </cols>
  <sheetData>
    <row r="1" spans="1:36" ht="15" customHeight="1" x14ac:dyDescent="0.2">
      <c r="A1" s="1064"/>
      <c r="B1" s="1064"/>
      <c r="C1" s="1064"/>
      <c r="D1" s="1064"/>
      <c r="E1" s="1064"/>
    </row>
    <row r="2" spans="1:36" ht="15" customHeight="1" x14ac:dyDescent="0.2">
      <c r="A2" s="1064"/>
      <c r="B2" s="1064"/>
      <c r="C2" s="1064"/>
      <c r="D2" s="1064"/>
      <c r="E2" s="1064"/>
      <c r="H2" s="2"/>
      <c r="I2" s="2"/>
      <c r="J2" s="2"/>
      <c r="K2" s="3"/>
      <c r="L2" s="70"/>
      <c r="M2" s="3"/>
      <c r="N2" s="2"/>
      <c r="O2" s="2"/>
      <c r="P2" s="2"/>
      <c r="Q2" s="4"/>
    </row>
    <row r="3" spans="1:36" ht="15" customHeight="1" x14ac:dyDescent="0.2">
      <c r="A3" s="1064"/>
      <c r="B3" s="1064"/>
      <c r="C3" s="1064"/>
      <c r="D3" s="1064"/>
      <c r="E3" s="1064"/>
    </row>
    <row r="4" spans="1:36" ht="15" customHeight="1" x14ac:dyDescent="0.2">
      <c r="A4" s="621"/>
      <c r="C4" s="621"/>
      <c r="D4" s="621"/>
      <c r="E4" s="621"/>
    </row>
    <row r="5" spans="1:36" ht="15" customHeight="1" x14ac:dyDescent="0.2">
      <c r="A5" s="670"/>
      <c r="B5" s="142" t="s">
        <v>251</v>
      </c>
      <c r="C5" s="670"/>
      <c r="D5" s="670"/>
      <c r="E5" s="670"/>
      <c r="G5" s="1020" t="s">
        <v>201</v>
      </c>
      <c r="H5" s="1020"/>
    </row>
    <row r="6" spans="1:36" ht="15" customHeight="1" x14ac:dyDescent="0.2">
      <c r="A6" s="670"/>
      <c r="C6" s="137"/>
      <c r="E6" s="670"/>
      <c r="G6" s="1020"/>
      <c r="H6" s="1020"/>
      <c r="I6" s="8"/>
      <c r="J6" s="8"/>
      <c r="K6" s="8"/>
      <c r="L6" s="8"/>
      <c r="M6" s="8"/>
      <c r="N6" s="8"/>
      <c r="O6" s="8"/>
      <c r="P6" s="8"/>
      <c r="Q6" s="9"/>
      <c r="R6" s="555"/>
      <c r="U6" s="8"/>
      <c r="V6" s="8"/>
      <c r="Y6" s="8"/>
      <c r="Z6" s="8"/>
      <c r="AA6" s="8"/>
      <c r="AB6" s="8"/>
      <c r="AC6" s="8"/>
      <c r="AD6" s="8"/>
      <c r="AE6" s="8"/>
      <c r="AF6" s="8"/>
      <c r="AG6" s="8"/>
      <c r="AH6" s="8"/>
      <c r="AI6" s="8"/>
      <c r="AJ6" s="8"/>
    </row>
    <row r="7" spans="1:36" ht="15" customHeight="1" x14ac:dyDescent="0.2">
      <c r="A7" s="670"/>
      <c r="B7" s="1066" t="str">
        <f>IF(Step1!K12="New building",Step1!Q12,Step1!K15)</f>
        <v>1-19 Torrington Place</v>
      </c>
      <c r="C7" s="1066"/>
      <c r="D7" s="1066"/>
      <c r="E7" s="670"/>
      <c r="G7" s="1020"/>
      <c r="H7" s="1020"/>
      <c r="I7" s="22"/>
      <c r="J7" s="22"/>
      <c r="K7" s="8"/>
      <c r="L7" s="8"/>
      <c r="M7" s="8"/>
      <c r="N7" s="8"/>
      <c r="O7" s="8"/>
      <c r="P7" s="8"/>
      <c r="Q7" s="9"/>
      <c r="U7" s="8"/>
      <c r="V7" s="8"/>
      <c r="Y7" s="8"/>
      <c r="Z7" s="8"/>
      <c r="AA7" s="8"/>
      <c r="AB7" s="8"/>
      <c r="AC7" s="8"/>
      <c r="AD7" s="8"/>
      <c r="AE7" s="8"/>
      <c r="AF7" s="8"/>
      <c r="AG7" s="8"/>
      <c r="AH7" s="8"/>
      <c r="AI7" s="8"/>
      <c r="AJ7" s="8"/>
    </row>
    <row r="8" spans="1:36" ht="15" customHeight="1" x14ac:dyDescent="0.2">
      <c r="B8" s="136"/>
      <c r="C8" s="137"/>
      <c r="I8" s="22"/>
      <c r="J8" s="22"/>
      <c r="K8" s="8"/>
      <c r="L8" s="8"/>
      <c r="M8" s="8"/>
      <c r="N8" s="8"/>
      <c r="O8" s="8"/>
      <c r="P8" s="8"/>
      <c r="Q8" s="8"/>
      <c r="R8" s="9"/>
      <c r="S8" s="498"/>
      <c r="T8" s="498"/>
      <c r="U8" s="8"/>
      <c r="V8" s="8"/>
      <c r="W8" s="8"/>
      <c r="X8" s="8"/>
      <c r="Y8" s="8"/>
      <c r="Z8" s="8"/>
      <c r="AA8" s="8"/>
      <c r="AB8" s="8"/>
      <c r="AC8" s="8"/>
      <c r="AD8" s="8"/>
      <c r="AE8" s="8"/>
      <c r="AF8" s="8"/>
      <c r="AG8" s="8"/>
      <c r="AH8" s="8"/>
      <c r="AI8" s="8"/>
      <c r="AJ8" s="8"/>
    </row>
    <row r="9" spans="1:36" ht="15" customHeight="1" thickBot="1" x14ac:dyDescent="0.25">
      <c r="B9" s="136"/>
      <c r="C9" s="137"/>
      <c r="I9" s="22"/>
      <c r="J9" s="22"/>
      <c r="K9" s="8"/>
      <c r="L9" s="8"/>
      <c r="M9" s="8"/>
      <c r="N9" s="8"/>
      <c r="O9" s="8"/>
      <c r="P9" s="8"/>
      <c r="Q9" s="8"/>
      <c r="R9" s="9"/>
      <c r="S9" s="498"/>
      <c r="T9" s="498"/>
      <c r="U9" s="8"/>
      <c r="V9" s="8"/>
      <c r="W9" s="8"/>
      <c r="X9" s="8"/>
      <c r="Y9" s="8"/>
      <c r="Z9" s="8"/>
      <c r="AA9" s="8"/>
      <c r="AB9" s="8"/>
      <c r="AC9" s="8"/>
      <c r="AD9" s="8"/>
      <c r="AE9" s="8"/>
      <c r="AF9" s="8"/>
      <c r="AG9" s="8"/>
      <c r="AH9" s="8"/>
      <c r="AI9" s="8"/>
      <c r="AJ9" s="8"/>
    </row>
    <row r="10" spans="1:36" ht="15" customHeight="1" thickBot="1" x14ac:dyDescent="0.25">
      <c r="B10" s="556"/>
      <c r="C10" s="137"/>
      <c r="G10" s="817" t="s">
        <v>573</v>
      </c>
      <c r="H10" s="297"/>
      <c r="I10" s="297"/>
      <c r="J10" s="297"/>
      <c r="K10" s="298"/>
      <c r="M10" s="339" t="s">
        <v>525</v>
      </c>
      <c r="N10" s="299"/>
      <c r="O10" s="299"/>
      <c r="P10" s="299"/>
      <c r="Q10" s="300"/>
      <c r="R10" s="9"/>
      <c r="S10" s="1019" t="s">
        <v>496</v>
      </c>
      <c r="T10" s="1019"/>
      <c r="U10" s="1019"/>
      <c r="V10" s="1019"/>
      <c r="W10" s="1019"/>
      <c r="X10" s="8"/>
      <c r="Y10" s="873" t="s">
        <v>530</v>
      </c>
      <c r="Z10" s="301"/>
      <c r="AA10" s="301"/>
      <c r="AB10" s="301"/>
      <c r="AC10" s="298"/>
      <c r="AD10" s="8"/>
      <c r="AE10" s="8"/>
    </row>
    <row r="11" spans="1:36" ht="15" customHeight="1" thickBot="1" x14ac:dyDescent="0.25">
      <c r="B11" s="139"/>
      <c r="C11" s="137"/>
      <c r="G11" s="818" t="s">
        <v>448</v>
      </c>
      <c r="H11" s="220"/>
      <c r="I11" s="220"/>
      <c r="J11" s="998">
        <f>SimpleStep3!N73</f>
        <v>0</v>
      </c>
      <c r="K11" s="296"/>
      <c r="M11" s="232" t="s">
        <v>448</v>
      </c>
      <c r="N11" s="60"/>
      <c r="O11" s="60"/>
      <c r="P11" s="276" t="e">
        <f>Q12+Q13</f>
        <v>#DIV/0!</v>
      </c>
      <c r="Q11" s="60"/>
      <c r="Y11" s="830" t="s">
        <v>448</v>
      </c>
      <c r="Z11" s="69"/>
      <c r="AA11" s="69"/>
      <c r="AB11" s="1000" t="e">
        <f>AC12+AC13</f>
        <v>#DIV/0!</v>
      </c>
      <c r="AC11" s="60"/>
    </row>
    <row r="12" spans="1:36" ht="15" customHeight="1" thickBot="1" x14ac:dyDescent="0.25">
      <c r="B12" s="557"/>
      <c r="G12" s="872"/>
      <c r="H12" s="60"/>
      <c r="I12" s="60"/>
      <c r="J12" s="60"/>
      <c r="K12" s="60"/>
      <c r="L12" s="426"/>
      <c r="M12" s="170" t="s">
        <v>423</v>
      </c>
      <c r="N12" s="188"/>
      <c r="O12" s="188"/>
      <c r="P12" s="60"/>
      <c r="Q12" s="247">
        <f>J11-K22</f>
        <v>0</v>
      </c>
      <c r="R12" s="90"/>
      <c r="S12" s="86"/>
      <c r="T12" s="86"/>
      <c r="U12" s="91"/>
      <c r="V12" s="86"/>
      <c r="W12" s="86"/>
      <c r="X12" s="86"/>
      <c r="Y12" s="837" t="s">
        <v>423</v>
      </c>
      <c r="Z12" s="188"/>
      <c r="AA12" s="188"/>
      <c r="AB12" s="864"/>
      <c r="AC12" s="246">
        <f>J11-K22</f>
        <v>0</v>
      </c>
      <c r="AD12" s="86"/>
      <c r="AE12" s="86"/>
    </row>
    <row r="13" spans="1:36" ht="15" customHeight="1" thickBot="1" x14ac:dyDescent="0.25">
      <c r="B13" s="139"/>
      <c r="C13" s="140"/>
      <c r="G13" s="819" t="s">
        <v>424</v>
      </c>
      <c r="H13" s="211"/>
      <c r="I13" s="212"/>
      <c r="J13" s="212"/>
      <c r="K13" s="255">
        <f>K22</f>
        <v>0</v>
      </c>
      <c r="L13" s="91"/>
      <c r="M13" s="170" t="s">
        <v>424</v>
      </c>
      <c r="N13" s="60"/>
      <c r="O13" s="60"/>
      <c r="P13" s="60"/>
      <c r="Q13" s="247" t="e">
        <f>IF($O$18="Natural Gas",((($K$22*($K$32/100))/($Q$32/100))/$K$23)*Q23,0)</f>
        <v>#DIV/0!</v>
      </c>
      <c r="R13" s="427"/>
      <c r="S13" s="426"/>
      <c r="T13" s="426"/>
      <c r="U13" s="426"/>
      <c r="V13" s="426"/>
      <c r="W13" s="426"/>
      <c r="X13" s="426"/>
      <c r="Y13" s="837" t="s">
        <v>424</v>
      </c>
      <c r="Z13" s="60"/>
      <c r="AA13" s="60"/>
      <c r="AB13" s="864"/>
      <c r="AC13" s="246" t="e">
        <f>IF($AA$18="Natural Gas",((($K$22*($K$32/100))/($AC$32/100))/$K$23)*AC23,0)</f>
        <v>#DIV/0!</v>
      </c>
      <c r="AD13" s="426"/>
      <c r="AE13" s="426"/>
    </row>
    <row r="14" spans="1:36" ht="15" customHeight="1" thickBot="1" x14ac:dyDescent="0.25">
      <c r="B14" s="556"/>
      <c r="C14" s="137"/>
      <c r="G14" s="872"/>
      <c r="H14" s="60"/>
      <c r="I14" s="60"/>
      <c r="J14" s="60"/>
      <c r="K14" s="525"/>
      <c r="M14" s="167" t="s">
        <v>421</v>
      </c>
      <c r="N14" s="188"/>
      <c r="O14" s="188"/>
      <c r="P14" s="262">
        <f>IF($O$18="District heating",((($K$22*($K$32/100))/($Q$32/100))/$K$23)*Q23,0)</f>
        <v>0</v>
      </c>
      <c r="Q14" s="247">
        <f>P14</f>
        <v>0</v>
      </c>
      <c r="R14" s="92"/>
      <c r="S14" s="92"/>
      <c r="T14" s="92"/>
      <c r="U14" s="92"/>
      <c r="V14" s="92"/>
      <c r="W14" s="92"/>
      <c r="X14" s="92"/>
      <c r="Y14" s="832" t="s">
        <v>421</v>
      </c>
      <c r="Z14" s="188"/>
      <c r="AA14" s="188"/>
      <c r="AB14" s="1001">
        <f>IF($AA$18="District heating",((($K$22*($K$32/100))/($AC$32/100))/$K$23)*AC23,0)</f>
        <v>0</v>
      </c>
      <c r="AC14" s="628">
        <f>AB14</f>
        <v>0</v>
      </c>
      <c r="AD14" s="92"/>
      <c r="AE14" s="92"/>
    </row>
    <row r="15" spans="1:36" ht="15" customHeight="1" thickBot="1" x14ac:dyDescent="0.25">
      <c r="B15" s="141"/>
      <c r="C15" s="137"/>
      <c r="G15" s="819"/>
      <c r="H15" s="60"/>
      <c r="I15" s="60"/>
      <c r="J15" s="169"/>
      <c r="K15" s="271"/>
      <c r="M15" s="167" t="s">
        <v>437</v>
      </c>
      <c r="N15" s="188"/>
      <c r="O15" s="60"/>
      <c r="P15" s="262">
        <f>IF($O$18="Grid electricity",((($K$22*($K$32/100))/($Q$32/100))/$K$23)*Q23,0)</f>
        <v>0</v>
      </c>
      <c r="Q15" s="247">
        <f>P15</f>
        <v>0</v>
      </c>
      <c r="Y15" s="832" t="s">
        <v>437</v>
      </c>
      <c r="Z15" s="188"/>
      <c r="AA15" s="547"/>
      <c r="AB15" s="1001">
        <f>IF($AA$18="Grid electricity",((($K$22*($K$32/100))/($AC$32/100))/$K$23)*AC23,0)</f>
        <v>0</v>
      </c>
      <c r="AC15" s="628">
        <f>AB15</f>
        <v>0</v>
      </c>
    </row>
    <row r="16" spans="1:36" ht="15" customHeight="1" thickBot="1" x14ac:dyDescent="0.25">
      <c r="B16" s="141"/>
      <c r="C16" s="137"/>
      <c r="G16" s="819"/>
      <c r="H16" s="310"/>
      <c r="I16" s="310"/>
      <c r="J16" s="169"/>
      <c r="K16" s="522"/>
      <c r="M16" s="251"/>
      <c r="N16" s="251"/>
      <c r="O16" s="310"/>
      <c r="P16" s="251"/>
      <c r="Q16" s="522"/>
      <c r="Y16" s="837"/>
      <c r="Z16" s="547"/>
      <c r="AA16" s="547"/>
      <c r="AB16" s="547"/>
      <c r="AC16" s="522"/>
    </row>
    <row r="17" spans="2:31" ht="15" customHeight="1" thickBot="1" x14ac:dyDescent="0.25">
      <c r="B17" s="141"/>
      <c r="C17" s="137"/>
      <c r="G17" s="820"/>
      <c r="H17" s="523"/>
      <c r="I17" s="523"/>
      <c r="J17" s="365"/>
      <c r="K17" s="524"/>
      <c r="M17" s="362"/>
      <c r="N17" s="362"/>
      <c r="O17" s="523"/>
      <c r="P17" s="362"/>
      <c r="Q17" s="524"/>
      <c r="Y17" s="862"/>
      <c r="Z17" s="548"/>
      <c r="AA17" s="547"/>
      <c r="AB17" s="548"/>
      <c r="AC17" s="524"/>
    </row>
    <row r="18" spans="2:31" ht="15" customHeight="1" thickBot="1" x14ac:dyDescent="0.25">
      <c r="B18" s="141"/>
      <c r="C18" s="137"/>
      <c r="G18" s="821" t="s">
        <v>283</v>
      </c>
      <c r="H18" s="310"/>
      <c r="I18" s="348" t="s">
        <v>19</v>
      </c>
      <c r="J18" s="310"/>
      <c r="K18" s="528"/>
      <c r="M18" s="226" t="s">
        <v>283</v>
      </c>
      <c r="N18" s="310"/>
      <c r="O18" s="369" t="s">
        <v>284</v>
      </c>
      <c r="P18" s="310"/>
      <c r="Q18" s="528"/>
      <c r="Y18" s="861" t="s">
        <v>283</v>
      </c>
      <c r="Z18" s="550"/>
      <c r="AA18" s="647" t="s">
        <v>284</v>
      </c>
      <c r="AB18" s="550"/>
      <c r="AC18" s="528"/>
    </row>
    <row r="19" spans="2:31" ht="15" customHeight="1" x14ac:dyDescent="0.2">
      <c r="B19" s="141"/>
      <c r="C19" s="137"/>
      <c r="G19" s="879"/>
      <c r="H19" s="523"/>
      <c r="I19" s="523"/>
      <c r="J19" s="523"/>
      <c r="K19" s="524"/>
      <c r="M19" s="361"/>
      <c r="N19" s="523"/>
      <c r="O19" s="523"/>
      <c r="P19" s="523"/>
      <c r="Q19" s="524"/>
      <c r="Y19" s="862"/>
      <c r="Z19" s="548"/>
      <c r="AA19" s="548"/>
      <c r="AB19" s="548"/>
      <c r="AC19" s="524"/>
    </row>
    <row r="20" spans="2:31" ht="15" customHeight="1" thickBot="1" x14ac:dyDescent="0.25">
      <c r="B20" s="141"/>
      <c r="C20" s="137"/>
      <c r="G20" s="818" t="s">
        <v>641</v>
      </c>
      <c r="H20" s="220"/>
      <c r="I20" s="220"/>
      <c r="J20" s="220"/>
      <c r="K20" s="244"/>
      <c r="M20" s="232" t="s">
        <v>641</v>
      </c>
      <c r="N20" s="220"/>
      <c r="O20" s="220"/>
      <c r="P20" s="220"/>
      <c r="Q20" s="244"/>
      <c r="Y20" s="830" t="s">
        <v>641</v>
      </c>
      <c r="Z20" s="905"/>
      <c r="AA20" s="905"/>
      <c r="AB20" s="905"/>
      <c r="AC20" s="902"/>
    </row>
    <row r="21" spans="2:31" ht="15" customHeight="1" x14ac:dyDescent="0.2">
      <c r="B21" s="141"/>
      <c r="C21" s="137"/>
      <c r="G21" s="900"/>
      <c r="H21" s="901"/>
      <c r="I21" s="901"/>
      <c r="J21" s="901"/>
      <c r="K21" s="902"/>
      <c r="M21" s="903"/>
      <c r="N21" s="901"/>
      <c r="O21" s="901"/>
      <c r="P21" s="901"/>
      <c r="Q21" s="902"/>
      <c r="Y21" s="904"/>
      <c r="Z21" s="905"/>
      <c r="AA21" s="905"/>
      <c r="AB21" s="905"/>
      <c r="AC21" s="902"/>
    </row>
    <row r="22" spans="2:31" ht="15" customHeight="1" thickBot="1" x14ac:dyDescent="0.25">
      <c r="B22" s="141"/>
      <c r="C22" s="137"/>
      <c r="G22" s="867" t="s">
        <v>431</v>
      </c>
      <c r="H22" s="220"/>
      <c r="I22" s="310"/>
      <c r="J22" s="236">
        <v>100</v>
      </c>
      <c r="K22" s="244">
        <f>(J22/100)*J11</f>
        <v>0</v>
      </c>
      <c r="L22" s="91"/>
      <c r="M22" s="310"/>
      <c r="N22" s="310"/>
      <c r="O22" s="310"/>
      <c r="P22" s="310"/>
      <c r="Q22" s="528"/>
      <c r="U22" s="8"/>
      <c r="V22" s="8"/>
      <c r="Y22" s="861"/>
      <c r="Z22" s="550"/>
      <c r="AA22" s="550"/>
      <c r="AB22" s="550"/>
      <c r="AC22" s="528"/>
    </row>
    <row r="23" spans="2:31" ht="15" customHeight="1" thickBot="1" x14ac:dyDescent="0.25">
      <c r="B23" s="141"/>
      <c r="C23" s="137"/>
      <c r="G23" s="819" t="s">
        <v>430</v>
      </c>
      <c r="H23" s="171"/>
      <c r="I23" s="171"/>
      <c r="J23" s="182">
        <v>100</v>
      </c>
      <c r="K23" s="247">
        <f>(J23/100)*Step1!$K$24</f>
        <v>17317</v>
      </c>
      <c r="M23" s="170" t="s">
        <v>642</v>
      </c>
      <c r="N23" s="171"/>
      <c r="O23" s="171"/>
      <c r="P23" s="242">
        <v>0</v>
      </c>
      <c r="Q23" s="247">
        <f>K23+P23</f>
        <v>17317</v>
      </c>
      <c r="Y23" s="837" t="s">
        <v>428</v>
      </c>
      <c r="Z23" s="181"/>
      <c r="AA23" s="181"/>
      <c r="AB23" s="242">
        <v>0</v>
      </c>
      <c r="AC23" s="247">
        <f>IF(ISBLANK(AB23),Q23,K23+AB23)</f>
        <v>17317</v>
      </c>
    </row>
    <row r="24" spans="2:31" ht="15" customHeight="1" x14ac:dyDescent="0.2">
      <c r="G24" s="820"/>
      <c r="H24" s="342"/>
      <c r="I24" s="342"/>
      <c r="J24" s="342"/>
      <c r="K24" s="360"/>
      <c r="M24" s="342"/>
      <c r="N24" s="342"/>
      <c r="O24" s="342"/>
      <c r="P24" s="342"/>
      <c r="Q24" s="360"/>
      <c r="U24" s="8"/>
      <c r="V24" s="8"/>
      <c r="Y24" s="862"/>
      <c r="Z24" s="353"/>
      <c r="AA24" s="559"/>
      <c r="AB24" s="548"/>
      <c r="AC24" s="360"/>
    </row>
    <row r="25" spans="2:31" ht="15" customHeight="1" thickBot="1" x14ac:dyDescent="0.25">
      <c r="G25" s="867" t="s">
        <v>230</v>
      </c>
      <c r="H25" s="220"/>
      <c r="I25" s="220"/>
      <c r="J25" s="242">
        <v>0</v>
      </c>
      <c r="K25" s="245">
        <f>J25</f>
        <v>0</v>
      </c>
      <c r="M25" s="226" t="str">
        <f>IF(O18="Grid electricity","COP (%):","Heating system efficiency (%)")</f>
        <v>Heating system efficiency (%)</v>
      </c>
      <c r="N25" s="220"/>
      <c r="O25" s="220"/>
      <c r="P25" s="242">
        <v>0</v>
      </c>
      <c r="Q25" s="269">
        <f>IF(O18="District heating",100,P25)</f>
        <v>0</v>
      </c>
      <c r="U25" s="8"/>
      <c r="V25" s="8"/>
      <c r="Y25" s="874" t="s">
        <v>230</v>
      </c>
      <c r="Z25" s="229"/>
      <c r="AA25" s="390"/>
      <c r="AB25" s="242">
        <v>0</v>
      </c>
      <c r="AC25" s="269">
        <f>IF(AA18="District heating",100,AB25)</f>
        <v>0</v>
      </c>
    </row>
    <row r="26" spans="2:31" ht="15" customHeight="1" x14ac:dyDescent="0.2">
      <c r="B26" s="139"/>
      <c r="C26" s="140"/>
      <c r="G26" s="879"/>
      <c r="H26" s="523"/>
      <c r="I26" s="523"/>
      <c r="J26" s="523"/>
      <c r="K26" s="560"/>
      <c r="M26" s="363"/>
      <c r="N26" s="523"/>
      <c r="O26" s="523"/>
      <c r="P26" s="523"/>
      <c r="Q26" s="560"/>
      <c r="Y26" s="875"/>
      <c r="Z26" s="548"/>
      <c r="AA26" s="548"/>
      <c r="AB26" s="551"/>
      <c r="AC26" s="524"/>
    </row>
    <row r="27" spans="2:31" ht="15" customHeight="1" thickBot="1" x14ac:dyDescent="0.25">
      <c r="B27" s="556"/>
      <c r="C27" s="140"/>
      <c r="G27" s="880" t="s">
        <v>644</v>
      </c>
      <c r="H27" s="371"/>
      <c r="I27" s="371"/>
      <c r="J27" s="371"/>
      <c r="K27" s="372"/>
      <c r="L27" s="12"/>
      <c r="M27" s="370" t="s">
        <v>419</v>
      </c>
      <c r="N27" s="371"/>
      <c r="O27" s="371"/>
      <c r="P27" s="371"/>
      <c r="Q27" s="372"/>
      <c r="R27" s="12"/>
      <c r="S27" s="8"/>
      <c r="T27" s="8"/>
      <c r="U27" s="10"/>
      <c r="V27" s="8"/>
      <c r="W27" s="10"/>
      <c r="X27" s="8"/>
      <c r="Y27" s="876" t="s">
        <v>419</v>
      </c>
      <c r="Z27" s="371"/>
      <c r="AA27" s="371"/>
      <c r="AB27" s="371"/>
      <c r="AC27" s="372"/>
      <c r="AD27" s="8"/>
      <c r="AE27" s="8"/>
    </row>
    <row r="28" spans="2:31" ht="15" customHeight="1" thickBot="1" x14ac:dyDescent="0.25">
      <c r="B28" s="136"/>
      <c r="C28" s="137"/>
      <c r="G28" s="881" t="str">
        <f>Data!G84</f>
        <v>TRVs + Room thermostats</v>
      </c>
      <c r="H28" s="328"/>
      <c r="I28" s="326"/>
      <c r="J28" s="382" t="s">
        <v>255</v>
      </c>
      <c r="K28" s="374">
        <f>IF(J28="Yes",Data!$P$84,0)</f>
        <v>0</v>
      </c>
      <c r="M28" s="373" t="str">
        <f>Data!G84</f>
        <v>TRVs + Room thermostats</v>
      </c>
      <c r="N28" s="328"/>
      <c r="O28" s="326"/>
      <c r="P28" s="382" t="s">
        <v>255</v>
      </c>
      <c r="Q28" s="374">
        <f>IF(P28="Yes",Data!$P$84,0)</f>
        <v>0</v>
      </c>
      <c r="U28" s="8"/>
      <c r="V28" s="8"/>
      <c r="Y28" s="877" t="str">
        <f>Data!G84</f>
        <v>TRVs + Room thermostats</v>
      </c>
      <c r="Z28" s="328"/>
      <c r="AA28" s="326"/>
      <c r="AB28" s="382" t="s">
        <v>255</v>
      </c>
      <c r="AC28" s="374">
        <f>IF(AB28="Yes",Data!$P$84,0)</f>
        <v>0</v>
      </c>
    </row>
    <row r="29" spans="2:31" ht="15" customHeight="1" thickBot="1" x14ac:dyDescent="0.25">
      <c r="B29" s="136"/>
      <c r="C29" s="137"/>
      <c r="G29" s="881" t="str">
        <f>Data!G85</f>
        <v>Weather compensation</v>
      </c>
      <c r="H29" s="326"/>
      <c r="I29" s="375"/>
      <c r="J29" s="383" t="s">
        <v>255</v>
      </c>
      <c r="K29" s="374">
        <f>IF(J29="Yes",Data!$P$85,0)</f>
        <v>0</v>
      </c>
      <c r="M29" s="373" t="str">
        <f>Data!G85</f>
        <v>Weather compensation</v>
      </c>
      <c r="N29" s="326"/>
      <c r="O29" s="375"/>
      <c r="P29" s="383" t="s">
        <v>255</v>
      </c>
      <c r="Q29" s="374">
        <f>IF(P29="Yes",Data!$P$85,0)</f>
        <v>0</v>
      </c>
      <c r="U29" s="8"/>
      <c r="V29" s="8"/>
      <c r="Y29" s="877" t="str">
        <f>Data!G85</f>
        <v>Weather compensation</v>
      </c>
      <c r="Z29" s="326"/>
      <c r="AA29" s="375"/>
      <c r="AB29" s="383" t="s">
        <v>255</v>
      </c>
      <c r="AC29" s="374">
        <f>IF(AB29="Yes",Data!$P$85,0)</f>
        <v>0</v>
      </c>
    </row>
    <row r="30" spans="2:31" ht="15" customHeight="1" thickBot="1" x14ac:dyDescent="0.25">
      <c r="B30" s="136"/>
      <c r="C30" s="137"/>
      <c r="G30" s="881" t="str">
        <f>Data!G86</f>
        <v>Optimised start/stop</v>
      </c>
      <c r="H30" s="326"/>
      <c r="I30" s="375"/>
      <c r="J30" s="383" t="s">
        <v>255</v>
      </c>
      <c r="K30" s="374">
        <f>IF(J30="Yes",Data!$P$86,0)</f>
        <v>0</v>
      </c>
      <c r="M30" s="373" t="str">
        <f>Data!G86</f>
        <v>Optimised start/stop</v>
      </c>
      <c r="N30" s="326"/>
      <c r="O30" s="375"/>
      <c r="P30" s="383" t="s">
        <v>255</v>
      </c>
      <c r="Q30" s="374">
        <f>IF(P30="Yes",Data!$P$86,0)</f>
        <v>0</v>
      </c>
      <c r="U30" s="8"/>
      <c r="V30" s="8"/>
      <c r="Y30" s="877" t="str">
        <f>Data!G86</f>
        <v>Optimised start/stop</v>
      </c>
      <c r="Z30" s="913"/>
      <c r="AA30" s="914"/>
      <c r="AB30" s="383" t="s">
        <v>255</v>
      </c>
      <c r="AC30" s="374">
        <f>IF(AB30="Yes",Data!$P$86,0)</f>
        <v>0</v>
      </c>
    </row>
    <row r="31" spans="2:31" ht="15" customHeight="1" thickBot="1" x14ac:dyDescent="0.25">
      <c r="B31" s="136"/>
      <c r="C31" s="137"/>
      <c r="G31" s="881" t="str">
        <f>Data!G87</f>
        <v>Full BMS</v>
      </c>
      <c r="H31" s="326"/>
      <c r="I31" s="375"/>
      <c r="J31" s="384" t="s">
        <v>255</v>
      </c>
      <c r="K31" s="374">
        <f>IF(J31="Yes",Data!$P$87,0)</f>
        <v>0</v>
      </c>
      <c r="M31" s="373" t="str">
        <f>Data!G87</f>
        <v>Full BMS</v>
      </c>
      <c r="N31" s="375"/>
      <c r="O31" s="375"/>
      <c r="P31" s="384" t="s">
        <v>255</v>
      </c>
      <c r="Q31" s="374">
        <f>IF(P31="Yes",Data!$P$87,0)</f>
        <v>0</v>
      </c>
      <c r="U31" s="8"/>
      <c r="V31" s="8"/>
      <c r="Y31" s="877" t="str">
        <f>Data!G87</f>
        <v>Full BMS</v>
      </c>
      <c r="Z31" s="375"/>
      <c r="AA31" s="375"/>
      <c r="AB31" s="912" t="s">
        <v>255</v>
      </c>
      <c r="AC31" s="374">
        <f>IF(AB31="Yes",Data!$P$87,0)</f>
        <v>0</v>
      </c>
    </row>
    <row r="32" spans="2:31" ht="15" hidden="1" customHeight="1" thickBot="1" x14ac:dyDescent="0.25">
      <c r="C32" s="137"/>
      <c r="G32" s="881" t="s">
        <v>429</v>
      </c>
      <c r="H32" s="326"/>
      <c r="I32" s="326"/>
      <c r="J32" s="376">
        <f>K32</f>
        <v>0</v>
      </c>
      <c r="K32" s="377">
        <f>IF(OR(I18="Grid electricity",I18="District heating"),K25,K25+SUM(K28:K31))</f>
        <v>0</v>
      </c>
      <c r="M32" s="373" t="s">
        <v>429</v>
      </c>
      <c r="N32" s="326"/>
      <c r="O32" s="326"/>
      <c r="P32" s="376">
        <f>Q32</f>
        <v>0</v>
      </c>
      <c r="Q32" s="377">
        <f>IF(OR(O18="Grid electricity",O18="District heating"),Q25,Q25+SUM(Q28:Q31))</f>
        <v>0</v>
      </c>
      <c r="U32" s="8"/>
      <c r="V32" s="8"/>
      <c r="Y32" s="877" t="s">
        <v>429</v>
      </c>
      <c r="Z32" s="915"/>
      <c r="AA32" s="915"/>
      <c r="AB32" s="376">
        <f>AC32</f>
        <v>0</v>
      </c>
      <c r="AC32" s="377">
        <f>IF(OR(AA18="Grid electricity",AA18="District heating"),AC25,AC25+SUM(AC28:AC31))</f>
        <v>0</v>
      </c>
    </row>
    <row r="33" spans="2:31" ht="15" customHeight="1" x14ac:dyDescent="0.2">
      <c r="B33" s="1065"/>
      <c r="C33" s="1065"/>
      <c r="D33" s="1065"/>
      <c r="G33" s="882"/>
      <c r="H33" s="379"/>
      <c r="I33" s="380"/>
      <c r="J33" s="380"/>
      <c r="K33" s="381"/>
      <c r="M33" s="378"/>
      <c r="N33" s="379"/>
      <c r="O33" s="380"/>
      <c r="P33" s="380"/>
      <c r="Q33" s="381"/>
      <c r="U33" s="8"/>
      <c r="V33" s="8"/>
      <c r="Y33" s="878"/>
      <c r="Z33" s="379"/>
      <c r="AA33" s="380"/>
      <c r="AB33" s="380"/>
      <c r="AC33" s="381"/>
    </row>
    <row r="34" spans="2:31" ht="15" customHeight="1" thickBot="1" x14ac:dyDescent="0.25">
      <c r="C34" s="137"/>
      <c r="E34" s="143"/>
      <c r="G34" s="883" t="s">
        <v>443</v>
      </c>
      <c r="H34" s="13"/>
      <c r="I34" s="13"/>
      <c r="J34" s="999">
        <f>((K23*K37)*(K40*K41*K42))/1000</f>
        <v>0</v>
      </c>
      <c r="K34" s="996" t="str">
        <f>IF(J34&gt;(Step1!$K$24*Step1!$K$43),"Warning!","")</f>
        <v/>
      </c>
      <c r="M34" s="15" t="s">
        <v>443</v>
      </c>
      <c r="N34" s="13"/>
      <c r="O34" s="13"/>
      <c r="P34" s="35">
        <f>IF(OR(O18="Grid electricity",O18="District heating"),0,((Q23*Q37)*(Q40*Q41*Q42))/1000)</f>
        <v>0</v>
      </c>
      <c r="Q34" s="997" t="str">
        <f>IF(P34&gt;(Step1!$K$24*Step1!$K$43),"Warning!","")</f>
        <v/>
      </c>
      <c r="U34" s="8"/>
      <c r="V34" s="8"/>
      <c r="Y34" s="859" t="s">
        <v>443</v>
      </c>
      <c r="Z34" s="18"/>
      <c r="AA34" s="60"/>
      <c r="AB34" s="917">
        <f>IF(OR(AA18="Grid electricity",AA18="District heating"),0,((AC23*AC37)*(AC40*AC41*AC42))/1000)</f>
        <v>0</v>
      </c>
      <c r="AC34" s="997" t="str">
        <f>IF(AB34&gt;(Step1!$K$24*Step1!$K$43),"Warning!","")</f>
        <v/>
      </c>
      <c r="AD34" s="8"/>
    </row>
    <row r="35" spans="2:31" ht="15" customHeight="1" thickBot="1" x14ac:dyDescent="0.25">
      <c r="C35" s="137"/>
      <c r="G35" s="826"/>
      <c r="H35" s="13"/>
      <c r="I35" s="13"/>
      <c r="J35" s="13"/>
      <c r="K35" s="252"/>
      <c r="M35" s="15" t="s">
        <v>387</v>
      </c>
      <c r="N35" s="13"/>
      <c r="O35" s="113"/>
      <c r="P35" s="113" t="e">
        <f>1-(P34/J34)</f>
        <v>#DIV/0!</v>
      </c>
      <c r="Q35" s="243"/>
      <c r="U35" s="8"/>
      <c r="V35" s="8"/>
      <c r="Y35" s="859" t="s">
        <v>387</v>
      </c>
      <c r="Z35" s="18"/>
      <c r="AA35" s="18"/>
      <c r="AB35" s="1002" t="e">
        <f>1-(AB34/J34)</f>
        <v>#DIV/0!</v>
      </c>
      <c r="AC35" s="243"/>
      <c r="AD35" s="8"/>
    </row>
    <row r="36" spans="2:31" ht="15" customHeight="1" thickBot="1" x14ac:dyDescent="0.25">
      <c r="C36" s="137"/>
      <c r="G36" s="872"/>
      <c r="H36" s="60"/>
      <c r="I36" s="60"/>
      <c r="J36" s="60"/>
      <c r="K36" s="931" t="s">
        <v>214</v>
      </c>
      <c r="M36" s="60"/>
      <c r="N36" s="60"/>
      <c r="O36" s="60"/>
      <c r="P36" s="60"/>
      <c r="Q36" s="60"/>
      <c r="Y36" s="864"/>
      <c r="Z36" s="60"/>
      <c r="AA36" s="60"/>
      <c r="AB36" s="60"/>
      <c r="AC36" s="60"/>
    </row>
    <row r="37" spans="2:31" ht="15" customHeight="1" thickBot="1" x14ac:dyDescent="0.25">
      <c r="C37" s="561"/>
      <c r="D37" s="561"/>
      <c r="G37" s="819" t="s">
        <v>646</v>
      </c>
      <c r="H37" s="176"/>
      <c r="I37" s="218" t="s">
        <v>309</v>
      </c>
      <c r="J37" s="650"/>
      <c r="K37" s="254">
        <f>IF(I37="User defined",J37,VLOOKUP(I37,Data!$G$91:$P$94,10,FALSE))</f>
        <v>0</v>
      </c>
      <c r="M37" s="170" t="s">
        <v>646</v>
      </c>
      <c r="N37" s="176"/>
      <c r="O37" s="218" t="s">
        <v>309</v>
      </c>
      <c r="P37" s="650"/>
      <c r="Q37" s="254">
        <f>IF(O37="User defined",P37,VLOOKUP(O37,Data!$G$91:$P$94,10,FALSE))</f>
        <v>0</v>
      </c>
      <c r="U37" s="8"/>
      <c r="V37" s="8"/>
      <c r="Y37" s="837" t="s">
        <v>646</v>
      </c>
      <c r="Z37" s="181"/>
      <c r="AA37" s="218" t="s">
        <v>309</v>
      </c>
      <c r="AB37" s="650"/>
      <c r="AC37" s="254">
        <f>IF(AA37="User defined",AB37,VLOOKUP(AA37,Data!$G$91:$P$94,10,FALSE))</f>
        <v>0</v>
      </c>
    </row>
    <row r="38" spans="2:31" ht="15" customHeight="1" thickBot="1" x14ac:dyDescent="0.25">
      <c r="C38" s="562"/>
      <c r="E38" s="143"/>
      <c r="G38" s="819"/>
      <c r="H38" s="176"/>
      <c r="I38" s="171"/>
      <c r="J38" s="171"/>
      <c r="K38" s="243"/>
      <c r="M38" s="170"/>
      <c r="N38" s="176"/>
      <c r="O38" s="171"/>
      <c r="P38" s="171"/>
      <c r="Q38" s="243"/>
      <c r="U38" s="8"/>
      <c r="V38" s="8"/>
      <c r="Y38" s="837"/>
      <c r="Z38" s="181"/>
      <c r="AA38" s="181"/>
      <c r="AB38" s="181"/>
      <c r="AC38" s="243"/>
    </row>
    <row r="39" spans="2:31" ht="15" customHeight="1" thickBot="1" x14ac:dyDescent="0.25">
      <c r="C39" s="562"/>
      <c r="E39" s="143"/>
      <c r="G39" s="865" t="s">
        <v>647</v>
      </c>
      <c r="H39" s="176"/>
      <c r="I39" s="171"/>
      <c r="J39" s="171"/>
      <c r="K39" s="243"/>
      <c r="M39" s="167" t="s">
        <v>647</v>
      </c>
      <c r="N39" s="176"/>
      <c r="O39" s="171"/>
      <c r="P39" s="171"/>
      <c r="Q39" s="243"/>
      <c r="U39" s="8"/>
      <c r="V39" s="8"/>
      <c r="Y39" s="832" t="s">
        <v>647</v>
      </c>
      <c r="Z39" s="181"/>
      <c r="AA39" s="181"/>
      <c r="AB39" s="229"/>
      <c r="AC39" s="243"/>
    </row>
    <row r="40" spans="2:31" ht="15" customHeight="1" thickBot="1" x14ac:dyDescent="0.25">
      <c r="C40" s="143"/>
      <c r="G40" s="819" t="s">
        <v>217</v>
      </c>
      <c r="H40" s="171"/>
      <c r="I40" s="171"/>
      <c r="J40" s="172">
        <v>8</v>
      </c>
      <c r="K40" s="243">
        <f>J40</f>
        <v>8</v>
      </c>
      <c r="M40" s="170" t="s">
        <v>217</v>
      </c>
      <c r="N40" s="171"/>
      <c r="O40" s="171"/>
      <c r="P40" s="172">
        <v>8</v>
      </c>
      <c r="Q40" s="243">
        <f>P40</f>
        <v>8</v>
      </c>
      <c r="U40" s="8"/>
      <c r="V40" s="8"/>
      <c r="Y40" s="837" t="s">
        <v>217</v>
      </c>
      <c r="Z40" s="181"/>
      <c r="AA40" s="181"/>
      <c r="AB40" s="647">
        <v>8</v>
      </c>
      <c r="AC40" s="247">
        <f>IF(ISBLANK(AB40),Q40,AB40)</f>
        <v>8</v>
      </c>
    </row>
    <row r="41" spans="2:31" ht="15" customHeight="1" thickBot="1" x14ac:dyDescent="0.25">
      <c r="C41" s="137"/>
      <c r="G41" s="819" t="s">
        <v>222</v>
      </c>
      <c r="H41" s="171"/>
      <c r="I41" s="171"/>
      <c r="J41" s="172">
        <v>5</v>
      </c>
      <c r="K41" s="243">
        <f>J41</f>
        <v>5</v>
      </c>
      <c r="M41" s="170" t="s">
        <v>222</v>
      </c>
      <c r="N41" s="171"/>
      <c r="O41" s="171"/>
      <c r="P41" s="172">
        <v>5</v>
      </c>
      <c r="Q41" s="243">
        <f>P41</f>
        <v>5</v>
      </c>
      <c r="Y41" s="837" t="s">
        <v>222</v>
      </c>
      <c r="Z41" s="181"/>
      <c r="AA41" s="181"/>
      <c r="AB41" s="647">
        <v>5</v>
      </c>
      <c r="AC41" s="247">
        <f>IF(ISBLANK(AB41),Q41,AB41)</f>
        <v>5</v>
      </c>
    </row>
    <row r="42" spans="2:31" ht="15" customHeight="1" thickBot="1" x14ac:dyDescent="0.25">
      <c r="C42" s="561"/>
      <c r="D42" s="561"/>
      <c r="G42" s="819" t="s">
        <v>206</v>
      </c>
      <c r="H42" s="171"/>
      <c r="I42" s="171"/>
      <c r="J42" s="174">
        <v>40</v>
      </c>
      <c r="K42" s="243">
        <f>J42</f>
        <v>40</v>
      </c>
      <c r="M42" s="170" t="s">
        <v>206</v>
      </c>
      <c r="N42" s="171"/>
      <c r="O42" s="171"/>
      <c r="P42" s="174">
        <v>40</v>
      </c>
      <c r="Q42" s="243">
        <f>P42</f>
        <v>40</v>
      </c>
      <c r="S42" s="899" t="s">
        <v>316</v>
      </c>
      <c r="T42" s="664"/>
      <c r="U42" s="665"/>
      <c r="V42" s="659"/>
      <c r="W42" s="659"/>
      <c r="Y42" s="837" t="s">
        <v>206</v>
      </c>
      <c r="Z42" s="181"/>
      <c r="AA42" s="181"/>
      <c r="AB42" s="647">
        <v>40</v>
      </c>
      <c r="AC42" s="247">
        <f>IF(ISBLANK(AB42),Q42,AB42)</f>
        <v>40</v>
      </c>
    </row>
    <row r="43" spans="2:31" ht="15" customHeight="1" x14ac:dyDescent="0.2">
      <c r="B43" s="136"/>
      <c r="C43" s="137"/>
      <c r="G43" s="820"/>
      <c r="H43" s="342"/>
      <c r="I43" s="342"/>
      <c r="J43" s="342"/>
      <c r="K43" s="360"/>
      <c r="M43" s="342"/>
      <c r="N43" s="342"/>
      <c r="O43" s="342"/>
      <c r="P43" s="342"/>
      <c r="Q43" s="360"/>
      <c r="S43" s="532" t="s">
        <v>541</v>
      </c>
      <c r="T43" s="60"/>
      <c r="U43" s="13"/>
      <c r="V43" s="661" t="e">
        <f>J75</f>
        <v>#N/A</v>
      </c>
      <c r="W43" s="662" t="s">
        <v>542</v>
      </c>
      <c r="Y43" s="862"/>
      <c r="Z43" s="353"/>
      <c r="AA43" s="353"/>
      <c r="AB43" s="353"/>
      <c r="AC43" s="360"/>
    </row>
    <row r="44" spans="2:31" ht="15" customHeight="1" thickBot="1" x14ac:dyDescent="0.25">
      <c r="C44" s="137"/>
      <c r="G44" s="823" t="s">
        <v>386</v>
      </c>
      <c r="H44" s="223"/>
      <c r="I44" s="220"/>
      <c r="J44" s="224"/>
      <c r="K44" s="245"/>
      <c r="L44" s="8"/>
      <c r="M44" s="225" t="s">
        <v>386</v>
      </c>
      <c r="N44" s="223"/>
      <c r="O44" s="220"/>
      <c r="P44" s="224"/>
      <c r="Q44" s="245"/>
      <c r="R44" s="9"/>
      <c r="S44" s="906" t="s">
        <v>594</v>
      </c>
      <c r="T44" s="864"/>
      <c r="U44" s="864"/>
      <c r="V44" s="907" t="e">
        <f>J76</f>
        <v>#N/A</v>
      </c>
      <c r="W44" s="908" t="s">
        <v>542</v>
      </c>
      <c r="X44" s="8"/>
      <c r="Y44" s="838" t="s">
        <v>386</v>
      </c>
      <c r="Z44" s="223"/>
      <c r="AA44" s="220"/>
      <c r="AB44" s="220"/>
      <c r="AC44" s="264"/>
      <c r="AD44" s="8"/>
      <c r="AE44" s="8"/>
    </row>
    <row r="45" spans="2:31" ht="15" customHeight="1" thickBot="1" x14ac:dyDescent="0.25">
      <c r="C45" s="137"/>
      <c r="G45" s="819" t="s">
        <v>205</v>
      </c>
      <c r="H45" s="171"/>
      <c r="I45" s="175"/>
      <c r="J45" s="184">
        <v>0</v>
      </c>
      <c r="K45" s="247">
        <f>J45</f>
        <v>0</v>
      </c>
      <c r="M45" s="170" t="s">
        <v>205</v>
      </c>
      <c r="N45" s="171"/>
      <c r="O45" s="171"/>
      <c r="P45" s="184">
        <v>0</v>
      </c>
      <c r="Q45" s="247">
        <f>P45</f>
        <v>0</v>
      </c>
      <c r="Y45" s="837" t="s">
        <v>205</v>
      </c>
      <c r="Z45" s="181"/>
      <c r="AA45" s="181"/>
      <c r="AB45" s="184">
        <v>0</v>
      </c>
      <c r="AC45" s="247">
        <f>AB45</f>
        <v>0</v>
      </c>
    </row>
    <row r="46" spans="2:31" ht="15" customHeight="1" thickBot="1" x14ac:dyDescent="0.25">
      <c r="C46" s="561"/>
      <c r="D46" s="561"/>
      <c r="G46" s="819" t="s">
        <v>537</v>
      </c>
      <c r="H46" s="171"/>
      <c r="I46" s="175"/>
      <c r="J46" s="184">
        <v>0</v>
      </c>
      <c r="K46" s="247">
        <f t="shared" ref="K46:K51" si="0">J46</f>
        <v>0</v>
      </c>
      <c r="M46" s="170" t="s">
        <v>537</v>
      </c>
      <c r="N46" s="171"/>
      <c r="O46" s="171"/>
      <c r="P46" s="184">
        <v>0</v>
      </c>
      <c r="Q46" s="247">
        <f>P46</f>
        <v>0</v>
      </c>
      <c r="Y46" s="837" t="s">
        <v>537</v>
      </c>
      <c r="Z46" s="181"/>
      <c r="AA46" s="181"/>
      <c r="AB46" s="184">
        <v>0</v>
      </c>
      <c r="AC46" s="247">
        <f t="shared" ref="AC46:AC51" si="1">AB46</f>
        <v>0</v>
      </c>
    </row>
    <row r="47" spans="2:31" ht="15" customHeight="1" thickBot="1" x14ac:dyDescent="0.25">
      <c r="B47" s="136"/>
      <c r="C47" s="137"/>
      <c r="G47" s="872"/>
      <c r="H47" s="60"/>
      <c r="I47" s="60"/>
      <c r="J47" s="60"/>
      <c r="K47" s="247"/>
      <c r="M47" s="60"/>
      <c r="N47" s="60"/>
      <c r="O47" s="60"/>
      <c r="P47" s="60"/>
      <c r="Q47" s="247"/>
      <c r="U47" s="8"/>
      <c r="V47" s="8"/>
      <c r="Y47" s="864"/>
      <c r="Z47" s="60"/>
      <c r="AA47" s="60"/>
      <c r="AB47" s="60"/>
      <c r="AC47" s="247"/>
    </row>
    <row r="48" spans="2:31" ht="15" customHeight="1" thickBot="1" x14ac:dyDescent="0.25">
      <c r="B48" s="136"/>
      <c r="C48" s="137"/>
      <c r="G48" s="819" t="s">
        <v>200</v>
      </c>
      <c r="H48" s="171"/>
      <c r="I48" s="177"/>
      <c r="J48" s="184">
        <v>0</v>
      </c>
      <c r="K48" s="247">
        <f t="shared" si="0"/>
        <v>0</v>
      </c>
      <c r="M48" s="170" t="s">
        <v>16</v>
      </c>
      <c r="N48" s="171"/>
      <c r="O48" s="171"/>
      <c r="P48" s="184">
        <v>0</v>
      </c>
      <c r="Q48" s="247">
        <f>P48</f>
        <v>0</v>
      </c>
      <c r="R48" s="1"/>
      <c r="Y48" s="837" t="s">
        <v>16</v>
      </c>
      <c r="Z48" s="181"/>
      <c r="AA48" s="181"/>
      <c r="AB48" s="184">
        <v>0</v>
      </c>
      <c r="AC48" s="247">
        <f t="shared" si="1"/>
        <v>0</v>
      </c>
      <c r="AD48" s="8"/>
    </row>
    <row r="49" spans="2:36" ht="15" customHeight="1" thickBot="1" x14ac:dyDescent="0.25">
      <c r="B49" s="136"/>
      <c r="C49" s="137"/>
      <c r="G49" s="884"/>
      <c r="H49" s="198"/>
      <c r="I49" s="198"/>
      <c r="J49" s="198"/>
      <c r="K49" s="247"/>
      <c r="M49" s="171"/>
      <c r="N49" s="171"/>
      <c r="O49" s="171"/>
      <c r="P49" s="171"/>
      <c r="Q49" s="247"/>
      <c r="Y49" s="837"/>
      <c r="Z49" s="181"/>
      <c r="AA49" s="181"/>
      <c r="AB49" s="181"/>
      <c r="AC49" s="247"/>
    </row>
    <row r="50" spans="2:36" ht="15" customHeight="1" thickBot="1" x14ac:dyDescent="0.25">
      <c r="G50" s="867" t="s">
        <v>385</v>
      </c>
      <c r="H50" s="223"/>
      <c r="I50" s="356"/>
      <c r="J50" s="184">
        <v>0</v>
      </c>
      <c r="K50" s="247">
        <f t="shared" si="0"/>
        <v>0</v>
      </c>
      <c r="M50" s="170" t="s">
        <v>385</v>
      </c>
      <c r="N50" s="223"/>
      <c r="O50" s="356"/>
      <c r="P50" s="184">
        <v>0</v>
      </c>
      <c r="Q50" s="247">
        <f t="shared" ref="Q50" si="2">P50</f>
        <v>0</v>
      </c>
      <c r="R50" s="1"/>
      <c r="Y50" s="861" t="s">
        <v>385</v>
      </c>
      <c r="Z50" s="223"/>
      <c r="AA50" s="356"/>
      <c r="AB50" s="184">
        <v>0</v>
      </c>
      <c r="AC50" s="247">
        <f t="shared" si="1"/>
        <v>0</v>
      </c>
      <c r="AD50" s="8"/>
    </row>
    <row r="51" spans="2:36" ht="15" customHeight="1" thickBot="1" x14ac:dyDescent="0.25">
      <c r="G51" s="819" t="s">
        <v>532</v>
      </c>
      <c r="H51" s="176"/>
      <c r="I51" s="340"/>
      <c r="J51" s="184">
        <v>0</v>
      </c>
      <c r="K51" s="247">
        <f t="shared" si="0"/>
        <v>0</v>
      </c>
      <c r="M51" s="170" t="s">
        <v>532</v>
      </c>
      <c r="N51" s="171"/>
      <c r="O51" s="171"/>
      <c r="P51" s="184">
        <v>0</v>
      </c>
      <c r="Q51" s="247">
        <f>P51</f>
        <v>0</v>
      </c>
      <c r="R51" s="1"/>
      <c r="Y51" s="837" t="s">
        <v>532</v>
      </c>
      <c r="Z51" s="181"/>
      <c r="AA51" s="181"/>
      <c r="AB51" s="184">
        <v>0</v>
      </c>
      <c r="AC51" s="247">
        <f t="shared" si="1"/>
        <v>0</v>
      </c>
      <c r="AD51" s="8"/>
    </row>
    <row r="52" spans="2:36" ht="15" customHeight="1" x14ac:dyDescent="0.2">
      <c r="G52" s="8"/>
      <c r="H52" s="8"/>
      <c r="I52" s="8"/>
      <c r="J52" s="8"/>
      <c r="K52" s="8"/>
      <c r="L52" s="8"/>
      <c r="M52" s="8"/>
      <c r="N52" s="8"/>
      <c r="O52" s="8"/>
      <c r="P52" s="8"/>
      <c r="Q52" s="8"/>
      <c r="R52" s="9"/>
      <c r="S52" s="8"/>
      <c r="T52" s="8"/>
      <c r="U52" s="8"/>
      <c r="V52" s="8"/>
      <c r="W52" s="8"/>
      <c r="X52" s="8"/>
      <c r="Y52" s="10"/>
      <c r="Z52" s="10"/>
      <c r="AA52" s="27"/>
      <c r="AB52" s="8"/>
      <c r="AC52" s="21"/>
      <c r="AD52" s="8"/>
      <c r="AE52" s="8"/>
      <c r="AF52" s="8"/>
      <c r="AG52" s="8"/>
      <c r="AH52" s="8"/>
      <c r="AI52" s="8"/>
      <c r="AJ52" s="8"/>
    </row>
    <row r="53" spans="2:36" ht="15" customHeight="1" x14ac:dyDescent="0.2">
      <c r="G53" s="8"/>
      <c r="H53" s="8"/>
      <c r="I53" s="8"/>
      <c r="J53" s="8"/>
      <c r="K53" s="8"/>
      <c r="L53" s="8"/>
      <c r="M53" s="8"/>
      <c r="N53" s="8"/>
      <c r="O53" s="8"/>
      <c r="P53" s="8"/>
      <c r="Q53" s="8"/>
      <c r="R53" s="9"/>
      <c r="S53" s="8"/>
      <c r="T53" s="8"/>
      <c r="U53" s="8"/>
      <c r="V53" s="8"/>
      <c r="W53" s="8"/>
      <c r="X53" s="8"/>
      <c r="Y53" s="10"/>
      <c r="Z53" s="10"/>
      <c r="AA53" s="27"/>
      <c r="AB53" s="8"/>
      <c r="AC53" s="21"/>
      <c r="AD53" s="8"/>
      <c r="AE53" s="8"/>
      <c r="AF53" s="8"/>
      <c r="AG53" s="8"/>
      <c r="AH53" s="8"/>
      <c r="AI53" s="8"/>
      <c r="AJ53" s="8"/>
    </row>
    <row r="54" spans="2:36" ht="15" customHeight="1" x14ac:dyDescent="0.2">
      <c r="G54" s="8"/>
      <c r="H54" s="8"/>
      <c r="I54" s="8"/>
      <c r="J54" s="8"/>
      <c r="K54" s="8"/>
      <c r="L54" s="8"/>
      <c r="M54" s="8"/>
      <c r="N54" s="8"/>
      <c r="O54" s="8"/>
      <c r="P54" s="8"/>
      <c r="Q54" s="8"/>
      <c r="R54" s="9"/>
      <c r="S54" s="8"/>
      <c r="T54" s="8"/>
      <c r="U54" s="8"/>
      <c r="V54" s="8"/>
      <c r="W54" s="8"/>
      <c r="X54" s="8"/>
      <c r="Y54" s="10"/>
      <c r="Z54" s="10"/>
      <c r="AA54" s="27"/>
      <c r="AB54" s="8"/>
      <c r="AC54" s="21"/>
      <c r="AD54" s="8"/>
      <c r="AE54" s="8"/>
      <c r="AF54" s="8"/>
      <c r="AG54" s="8"/>
      <c r="AH54" s="8"/>
      <c r="AI54" s="8"/>
      <c r="AJ54" s="8"/>
    </row>
    <row r="55" spans="2:36" ht="15" customHeight="1" x14ac:dyDescent="0.2">
      <c r="G55" s="8"/>
      <c r="H55" s="8"/>
      <c r="I55" s="8"/>
      <c r="J55" s="8"/>
      <c r="K55" s="8"/>
      <c r="L55" s="8"/>
      <c r="M55" s="8"/>
      <c r="N55" s="8"/>
      <c r="O55" s="8"/>
      <c r="P55" s="8"/>
      <c r="Q55" s="8"/>
      <c r="R55" s="9"/>
      <c r="S55" s="8"/>
      <c r="T55" s="8"/>
      <c r="U55" s="8"/>
      <c r="V55" s="8"/>
      <c r="W55" s="8"/>
      <c r="X55" s="8"/>
      <c r="Y55" s="10"/>
      <c r="Z55" s="10"/>
      <c r="AA55" s="27"/>
      <c r="AB55" s="8"/>
      <c r="AC55" s="21"/>
      <c r="AD55" s="8"/>
      <c r="AE55" s="8"/>
      <c r="AF55" s="8"/>
      <c r="AG55" s="8"/>
      <c r="AH55" s="8"/>
      <c r="AI55" s="8"/>
      <c r="AJ55" s="8"/>
    </row>
    <row r="56" spans="2:36" ht="15" customHeight="1" x14ac:dyDescent="0.2">
      <c r="G56" s="8"/>
      <c r="H56" s="8"/>
      <c r="I56" s="8"/>
      <c r="J56" s="8"/>
      <c r="K56" s="8"/>
      <c r="L56" s="8"/>
      <c r="M56" s="8"/>
      <c r="N56" s="8"/>
      <c r="O56" s="8"/>
      <c r="P56" s="8"/>
      <c r="Q56" s="8"/>
      <c r="R56" s="9"/>
      <c r="S56" s="8"/>
      <c r="T56" s="8"/>
      <c r="U56" s="8"/>
      <c r="V56" s="8"/>
      <c r="W56" s="8"/>
      <c r="X56" s="8"/>
      <c r="Y56" s="10"/>
      <c r="Z56" s="10"/>
      <c r="AA56" s="27"/>
      <c r="AB56" s="8"/>
      <c r="AC56" s="21"/>
      <c r="AD56" s="8"/>
      <c r="AE56" s="8"/>
      <c r="AF56" s="8"/>
      <c r="AG56" s="8"/>
      <c r="AH56" s="8"/>
      <c r="AI56" s="8"/>
      <c r="AJ56" s="8"/>
    </row>
    <row r="57" spans="2:36" ht="15" customHeight="1" x14ac:dyDescent="0.2">
      <c r="G57" s="8"/>
      <c r="H57" s="8"/>
      <c r="I57" s="8"/>
      <c r="J57" s="8"/>
      <c r="K57" s="8"/>
      <c r="L57" s="8"/>
      <c r="M57" s="8"/>
      <c r="N57" s="8"/>
      <c r="O57" s="8"/>
      <c r="P57" s="8"/>
      <c r="Q57" s="8"/>
      <c r="R57" s="9"/>
      <c r="S57" s="8"/>
      <c r="T57" s="8"/>
      <c r="U57" s="8"/>
      <c r="V57" s="8"/>
      <c r="W57" s="8"/>
      <c r="X57" s="8"/>
      <c r="Y57" s="10"/>
      <c r="Z57" s="10"/>
      <c r="AA57" s="27"/>
      <c r="AB57" s="8"/>
      <c r="AC57" s="21"/>
      <c r="AD57" s="8"/>
      <c r="AE57" s="8"/>
      <c r="AF57" s="8"/>
      <c r="AG57" s="8"/>
      <c r="AH57" s="8"/>
      <c r="AI57" s="8"/>
      <c r="AJ57" s="8"/>
    </row>
    <row r="58" spans="2:36" ht="15" customHeight="1" x14ac:dyDescent="0.2">
      <c r="G58" s="8"/>
      <c r="H58" s="8"/>
      <c r="I58" s="8"/>
      <c r="J58" s="8"/>
      <c r="K58" s="8"/>
      <c r="L58" s="8"/>
      <c r="M58" s="8"/>
      <c r="N58" s="8"/>
      <c r="O58" s="8"/>
      <c r="P58" s="8"/>
      <c r="Q58" s="8"/>
      <c r="R58" s="9"/>
      <c r="S58" s="8"/>
      <c r="T58" s="8"/>
      <c r="U58" s="8"/>
      <c r="V58" s="8"/>
      <c r="W58" s="8"/>
      <c r="X58" s="8"/>
      <c r="Y58" s="10"/>
      <c r="Z58" s="10"/>
      <c r="AA58" s="27"/>
      <c r="AB58" s="8"/>
      <c r="AC58" s="21"/>
      <c r="AD58" s="8"/>
      <c r="AE58" s="8"/>
      <c r="AF58" s="8"/>
      <c r="AG58" s="8"/>
      <c r="AH58" s="8"/>
      <c r="AI58" s="8"/>
      <c r="AJ58" s="8"/>
    </row>
    <row r="59" spans="2:36" ht="15" customHeight="1" x14ac:dyDescent="0.2">
      <c r="G59" s="8"/>
      <c r="H59" s="8"/>
      <c r="I59" s="8"/>
      <c r="J59" s="8"/>
      <c r="K59" s="8"/>
      <c r="L59" s="8"/>
      <c r="M59" s="8"/>
      <c r="N59" s="8"/>
      <c r="O59" s="8"/>
      <c r="P59" s="8"/>
      <c r="Q59" s="8"/>
      <c r="R59" s="9"/>
      <c r="S59" s="8"/>
      <c r="T59" s="8"/>
      <c r="U59" s="8"/>
      <c r="V59" s="8"/>
      <c r="W59" s="8"/>
      <c r="X59" s="8"/>
      <c r="Y59" s="10"/>
      <c r="Z59" s="10"/>
      <c r="AA59" s="27"/>
      <c r="AB59" s="8"/>
      <c r="AC59" s="21"/>
      <c r="AD59" s="8"/>
      <c r="AE59" s="8"/>
      <c r="AF59" s="8"/>
      <c r="AG59" s="8"/>
      <c r="AH59" s="8"/>
      <c r="AI59" s="8"/>
      <c r="AJ59" s="8"/>
    </row>
    <row r="60" spans="2:36" ht="15" customHeight="1" x14ac:dyDescent="0.2">
      <c r="G60" s="8"/>
      <c r="H60" s="8"/>
      <c r="I60" s="8"/>
      <c r="J60" s="8"/>
      <c r="K60" s="8"/>
      <c r="L60" s="8"/>
      <c r="M60" s="8"/>
      <c r="N60" s="8"/>
      <c r="O60" s="8"/>
      <c r="P60" s="8"/>
      <c r="Q60" s="8"/>
      <c r="R60" s="9"/>
      <c r="S60" s="8"/>
      <c r="T60" s="8"/>
      <c r="U60" s="8"/>
      <c r="V60" s="8"/>
      <c r="W60" s="8"/>
      <c r="X60" s="8"/>
      <c r="Y60" s="10"/>
      <c r="Z60" s="10"/>
      <c r="AA60" s="27"/>
      <c r="AB60" s="8"/>
      <c r="AC60" s="21"/>
      <c r="AD60" s="8"/>
      <c r="AE60" s="8"/>
      <c r="AF60" s="8"/>
      <c r="AG60" s="8"/>
      <c r="AH60" s="8"/>
      <c r="AI60" s="8"/>
      <c r="AJ60" s="8"/>
    </row>
    <row r="61" spans="2:36" ht="15" customHeight="1" x14ac:dyDescent="0.2">
      <c r="G61" s="8"/>
      <c r="H61" s="8"/>
      <c r="I61" s="8"/>
      <c r="J61" s="8"/>
      <c r="K61" s="8"/>
      <c r="L61" s="8"/>
      <c r="M61" s="8"/>
      <c r="N61" s="8"/>
      <c r="O61" s="8"/>
      <c r="P61" s="8"/>
      <c r="Q61" s="8"/>
      <c r="R61" s="9"/>
      <c r="S61" s="8"/>
      <c r="T61" s="8"/>
      <c r="U61" s="8"/>
      <c r="V61" s="8"/>
      <c r="W61" s="8"/>
      <c r="X61" s="8"/>
      <c r="Y61" s="10"/>
      <c r="Z61" s="10"/>
      <c r="AA61" s="27"/>
      <c r="AB61" s="8"/>
      <c r="AC61" s="21"/>
      <c r="AD61" s="8"/>
      <c r="AE61" s="8"/>
      <c r="AF61" s="8"/>
      <c r="AG61" s="8"/>
      <c r="AH61" s="8"/>
      <c r="AI61" s="8"/>
      <c r="AJ61" s="8"/>
    </row>
    <row r="62" spans="2:36" ht="15" customHeight="1" x14ac:dyDescent="0.2">
      <c r="G62" s="8"/>
      <c r="H62" s="8"/>
      <c r="I62" s="8"/>
      <c r="J62" s="8"/>
      <c r="K62" s="8"/>
      <c r="L62" s="8"/>
      <c r="M62" s="8"/>
      <c r="N62" s="8"/>
      <c r="O62" s="8"/>
      <c r="P62" s="8"/>
      <c r="Q62" s="8"/>
      <c r="R62" s="9"/>
      <c r="S62" s="8"/>
      <c r="T62" s="8"/>
      <c r="U62" s="8"/>
      <c r="V62" s="8"/>
      <c r="W62" s="8"/>
      <c r="X62" s="8"/>
      <c r="Y62" s="10"/>
      <c r="Z62" s="10"/>
      <c r="AA62" s="27"/>
      <c r="AB62" s="8"/>
      <c r="AC62" s="21"/>
      <c r="AD62" s="8"/>
      <c r="AE62" s="8"/>
      <c r="AF62" s="8"/>
      <c r="AG62" s="8"/>
      <c r="AH62" s="8"/>
      <c r="AI62" s="8"/>
      <c r="AJ62" s="8"/>
    </row>
    <row r="63" spans="2:36" ht="15" customHeight="1" x14ac:dyDescent="0.2">
      <c r="G63" s="8"/>
      <c r="H63" s="8"/>
      <c r="I63" s="8"/>
      <c r="J63" s="8"/>
      <c r="K63" s="8"/>
      <c r="L63" s="8"/>
      <c r="M63" s="8"/>
      <c r="N63" s="8"/>
      <c r="O63" s="8"/>
      <c r="P63" s="8"/>
      <c r="Q63" s="8"/>
      <c r="R63" s="9"/>
      <c r="S63" s="8"/>
      <c r="T63" s="8"/>
      <c r="U63" s="8"/>
      <c r="V63" s="8"/>
      <c r="W63" s="8"/>
      <c r="X63" s="8"/>
      <c r="Y63" s="10"/>
      <c r="Z63" s="10"/>
      <c r="AA63" s="27"/>
      <c r="AB63" s="8"/>
      <c r="AC63" s="21"/>
      <c r="AD63" s="8"/>
      <c r="AE63" s="8"/>
      <c r="AF63" s="8"/>
      <c r="AG63" s="8"/>
      <c r="AH63" s="8"/>
      <c r="AI63" s="8"/>
      <c r="AJ63" s="8"/>
    </row>
    <row r="64" spans="2:36" ht="15" customHeight="1" x14ac:dyDescent="0.2">
      <c r="G64" s="8"/>
      <c r="H64" s="8"/>
      <c r="I64" s="8"/>
      <c r="J64" s="8"/>
      <c r="K64" s="8"/>
      <c r="L64" s="8"/>
      <c r="M64" s="8"/>
      <c r="N64" s="8"/>
      <c r="O64" s="8"/>
      <c r="P64" s="8"/>
      <c r="Q64" s="8"/>
      <c r="R64" s="9"/>
      <c r="S64" s="8"/>
      <c r="T64" s="8"/>
      <c r="U64" s="8"/>
      <c r="V64" s="8"/>
      <c r="W64" s="8"/>
      <c r="X64" s="8"/>
      <c r="Y64" s="10"/>
      <c r="Z64" s="10"/>
      <c r="AA64" s="27"/>
      <c r="AB64" s="8"/>
      <c r="AC64" s="21"/>
      <c r="AD64" s="8"/>
      <c r="AE64" s="8"/>
      <c r="AF64" s="8"/>
      <c r="AG64" s="8"/>
      <c r="AH64" s="8"/>
      <c r="AI64" s="8"/>
      <c r="AJ64" s="8"/>
    </row>
    <row r="65" spans="7:36" ht="15" customHeight="1" x14ac:dyDescent="0.2">
      <c r="G65" s="8"/>
      <c r="H65" s="8"/>
      <c r="I65" s="8"/>
      <c r="J65" s="8"/>
      <c r="K65" s="8"/>
      <c r="L65" s="8"/>
      <c r="M65" s="8"/>
      <c r="N65" s="8"/>
      <c r="O65" s="8"/>
      <c r="P65" s="8"/>
      <c r="Q65" s="8"/>
      <c r="R65" s="9"/>
      <c r="S65" s="8"/>
      <c r="T65" s="8"/>
      <c r="U65" s="8"/>
      <c r="V65" s="8"/>
      <c r="W65" s="8"/>
      <c r="X65" s="8"/>
      <c r="Y65" s="10"/>
      <c r="Z65" s="10"/>
      <c r="AA65" s="27"/>
      <c r="AB65" s="8"/>
      <c r="AC65" s="21"/>
      <c r="AD65" s="8"/>
      <c r="AE65" s="8"/>
      <c r="AF65" s="8"/>
      <c r="AG65" s="8"/>
      <c r="AH65" s="8"/>
      <c r="AI65" s="8"/>
      <c r="AJ65" s="8"/>
    </row>
    <row r="66" spans="7:36" ht="15" customHeight="1" x14ac:dyDescent="0.2">
      <c r="G66" s="8"/>
      <c r="H66" s="8"/>
      <c r="I66" s="8"/>
      <c r="J66" s="8"/>
      <c r="K66" s="8"/>
      <c r="L66" s="8"/>
      <c r="M66" s="8"/>
      <c r="N66" s="8"/>
      <c r="O66" s="8"/>
      <c r="P66" s="8"/>
      <c r="Q66" s="8"/>
      <c r="R66" s="9"/>
      <c r="S66" s="8"/>
      <c r="T66" s="8"/>
      <c r="U66" s="8"/>
      <c r="V66" s="8"/>
      <c r="W66" s="8"/>
      <c r="X66" s="8"/>
      <c r="Y66" s="10"/>
      <c r="Z66" s="10"/>
      <c r="AA66" s="27"/>
      <c r="AB66" s="8"/>
      <c r="AC66" s="21"/>
      <c r="AD66" s="8"/>
      <c r="AE66" s="8"/>
      <c r="AF66" s="8"/>
      <c r="AG66" s="8"/>
      <c r="AH66" s="8"/>
      <c r="AI66" s="8"/>
      <c r="AJ66" s="8"/>
    </row>
    <row r="67" spans="7:36" ht="15" customHeight="1" x14ac:dyDescent="0.2">
      <c r="G67" s="8"/>
      <c r="H67" s="8"/>
      <c r="I67" s="8"/>
      <c r="J67" s="8"/>
      <c r="K67" s="8"/>
      <c r="L67" s="8"/>
      <c r="M67" s="8"/>
      <c r="N67" s="8"/>
      <c r="O67" s="8"/>
      <c r="P67" s="8"/>
      <c r="Q67" s="8"/>
      <c r="R67" s="9"/>
      <c r="S67" s="8"/>
      <c r="T67" s="8"/>
      <c r="U67" s="8"/>
      <c r="V67" s="8"/>
      <c r="W67" s="8"/>
      <c r="X67" s="8"/>
      <c r="Y67" s="10"/>
      <c r="Z67" s="10"/>
      <c r="AA67" s="27"/>
      <c r="AB67" s="8"/>
      <c r="AC67" s="21"/>
      <c r="AD67" s="8"/>
      <c r="AE67" s="8"/>
      <c r="AF67" s="8"/>
      <c r="AG67" s="8"/>
      <c r="AH67" s="8"/>
      <c r="AI67" s="8"/>
      <c r="AJ67" s="8"/>
    </row>
    <row r="68" spans="7:36" ht="15" customHeight="1" x14ac:dyDescent="0.2">
      <c r="G68" s="8"/>
      <c r="H68" s="8"/>
      <c r="I68" s="8"/>
      <c r="J68" s="8"/>
      <c r="K68" s="8"/>
      <c r="L68" s="8"/>
      <c r="M68" s="8"/>
      <c r="N68" s="8"/>
      <c r="O68" s="8"/>
      <c r="P68" s="8"/>
      <c r="Q68" s="8"/>
      <c r="R68" s="9"/>
      <c r="S68" s="8"/>
      <c r="T68" s="8"/>
      <c r="U68" s="8"/>
      <c r="V68" s="8"/>
      <c r="W68" s="8"/>
      <c r="X68" s="8"/>
      <c r="Y68" s="10"/>
      <c r="Z68" s="10"/>
      <c r="AA68" s="27"/>
      <c r="AB68" s="8"/>
      <c r="AC68" s="21"/>
      <c r="AD68" s="8"/>
      <c r="AE68" s="8"/>
      <c r="AF68" s="8"/>
      <c r="AG68" s="8"/>
      <c r="AH68" s="8"/>
      <c r="AI68" s="8"/>
      <c r="AJ68" s="8"/>
    </row>
    <row r="69" spans="7:36" ht="15" customHeight="1" x14ac:dyDescent="0.2">
      <c r="G69" s="8"/>
      <c r="H69" s="8"/>
      <c r="I69" s="8"/>
      <c r="J69" s="8"/>
      <c r="K69" s="8"/>
      <c r="L69" s="8"/>
      <c r="M69" s="8"/>
      <c r="N69" s="8"/>
      <c r="O69" s="8"/>
      <c r="P69" s="8"/>
      <c r="Q69" s="8"/>
      <c r="R69" s="9"/>
      <c r="S69" s="8"/>
      <c r="T69" s="8"/>
      <c r="U69" s="8"/>
      <c r="V69" s="8"/>
      <c r="W69" s="8"/>
      <c r="X69" s="8"/>
      <c r="Y69" s="10"/>
      <c r="Z69" s="10"/>
      <c r="AA69" s="27"/>
      <c r="AB69" s="8"/>
      <c r="AC69" s="21"/>
      <c r="AD69" s="8"/>
      <c r="AE69" s="8"/>
      <c r="AF69" s="8"/>
      <c r="AG69" s="8"/>
      <c r="AH69" s="8"/>
      <c r="AI69" s="8"/>
      <c r="AJ69" s="8"/>
    </row>
    <row r="70" spans="7:36" ht="15" customHeight="1" x14ac:dyDescent="0.2">
      <c r="G70" s="8"/>
      <c r="H70" s="8"/>
      <c r="I70" s="8"/>
      <c r="J70" s="8"/>
      <c r="K70" s="8"/>
      <c r="L70" s="8"/>
      <c r="M70" s="8"/>
      <c r="N70" s="8"/>
      <c r="O70" s="8"/>
      <c r="P70" s="8"/>
      <c r="Q70" s="8"/>
      <c r="R70" s="9"/>
      <c r="S70" s="8"/>
      <c r="T70" s="8"/>
      <c r="U70" s="8"/>
      <c r="V70" s="8"/>
      <c r="W70" s="8"/>
      <c r="X70" s="8"/>
      <c r="Y70" s="10"/>
      <c r="Z70" s="10"/>
      <c r="AA70" s="27"/>
      <c r="AB70" s="8"/>
      <c r="AC70" s="21"/>
      <c r="AD70" s="8"/>
      <c r="AE70" s="8"/>
      <c r="AF70" s="8"/>
      <c r="AG70" s="8"/>
      <c r="AH70" s="8"/>
      <c r="AI70" s="8"/>
      <c r="AJ70" s="8"/>
    </row>
    <row r="71" spans="7:36" ht="15" customHeight="1" x14ac:dyDescent="0.2">
      <c r="G71" s="8"/>
      <c r="H71" s="8"/>
      <c r="I71" s="8"/>
      <c r="J71" s="8"/>
      <c r="K71" s="8"/>
      <c r="L71" s="8"/>
      <c r="M71" s="8"/>
      <c r="N71" s="8"/>
      <c r="O71" s="8"/>
      <c r="P71" s="8"/>
      <c r="Q71" s="8"/>
      <c r="R71" s="9"/>
      <c r="S71" s="8"/>
      <c r="T71" s="8"/>
      <c r="U71" s="8"/>
      <c r="V71" s="8"/>
      <c r="W71" s="8"/>
      <c r="X71" s="8"/>
      <c r="Y71" s="10"/>
      <c r="Z71" s="10"/>
      <c r="AA71" s="27"/>
      <c r="AB71" s="8"/>
      <c r="AC71" s="21"/>
      <c r="AD71" s="8"/>
      <c r="AE71" s="8"/>
      <c r="AF71" s="8"/>
      <c r="AG71" s="8"/>
      <c r="AH71" s="8"/>
      <c r="AI71" s="8"/>
      <c r="AJ71" s="8"/>
    </row>
    <row r="72" spans="7:36" ht="15" customHeight="1" x14ac:dyDescent="0.2">
      <c r="G72" s="8"/>
      <c r="H72" s="8"/>
      <c r="I72" s="8"/>
      <c r="J72" s="8"/>
      <c r="K72" s="8"/>
      <c r="L72" s="8"/>
      <c r="M72" s="8"/>
      <c r="N72" s="8"/>
      <c r="O72" s="8"/>
      <c r="P72" s="8"/>
      <c r="Q72" s="8"/>
      <c r="R72" s="9"/>
      <c r="S72" s="8"/>
      <c r="T72" s="8"/>
      <c r="U72" s="8"/>
      <c r="V72" s="8"/>
      <c r="W72" s="8"/>
      <c r="X72" s="8"/>
      <c r="Y72" s="10"/>
      <c r="Z72" s="10"/>
      <c r="AA72" s="27"/>
      <c r="AB72" s="8"/>
      <c r="AC72" s="21"/>
      <c r="AD72" s="8"/>
      <c r="AE72" s="8"/>
      <c r="AF72" s="8"/>
      <c r="AG72" s="8"/>
      <c r="AH72" s="8"/>
      <c r="AI72" s="8"/>
      <c r="AJ72" s="8"/>
    </row>
    <row r="73" spans="7:36" ht="15" hidden="1" customHeight="1" x14ac:dyDescent="0.2">
      <c r="G73" s="14"/>
      <c r="H73" s="14"/>
      <c r="I73" s="13"/>
      <c r="J73" s="13"/>
      <c r="K73" s="40">
        <v>0</v>
      </c>
      <c r="L73" s="40">
        <v>1</v>
      </c>
      <c r="M73" s="40">
        <v>2</v>
      </c>
      <c r="N73" s="40">
        <v>3</v>
      </c>
      <c r="O73" s="40">
        <v>4</v>
      </c>
      <c r="P73" s="40">
        <v>5</v>
      </c>
      <c r="Q73" s="40">
        <v>6</v>
      </c>
      <c r="R73" s="40">
        <v>7</v>
      </c>
      <c r="S73" s="40">
        <v>8</v>
      </c>
      <c r="T73" s="40">
        <v>9</v>
      </c>
      <c r="U73" s="40">
        <v>10</v>
      </c>
      <c r="V73" s="40">
        <v>11</v>
      </c>
      <c r="W73" s="40">
        <v>12</v>
      </c>
      <c r="X73" s="40">
        <v>13</v>
      </c>
      <c r="Y73" s="40">
        <v>14</v>
      </c>
      <c r="Z73" s="40">
        <v>15</v>
      </c>
      <c r="AA73" s="40">
        <v>16</v>
      </c>
      <c r="AB73" s="40">
        <v>17</v>
      </c>
      <c r="AC73" s="40">
        <v>18</v>
      </c>
      <c r="AD73" s="40">
        <v>19</v>
      </c>
      <c r="AE73" s="40">
        <v>20</v>
      </c>
      <c r="AF73" s="40">
        <v>21</v>
      </c>
      <c r="AG73" s="40">
        <v>22</v>
      </c>
      <c r="AH73" s="40">
        <v>23</v>
      </c>
      <c r="AI73" s="40">
        <v>24</v>
      </c>
      <c r="AJ73" s="40">
        <v>25</v>
      </c>
    </row>
    <row r="74" spans="7:36" ht="15" hidden="1" customHeight="1" x14ac:dyDescent="0.2">
      <c r="G74" s="14" t="s">
        <v>183</v>
      </c>
      <c r="H74" s="14"/>
      <c r="I74" s="13"/>
      <c r="J74" s="13"/>
      <c r="K74" s="41">
        <v>1</v>
      </c>
      <c r="L74" s="41">
        <f>K74+1</f>
        <v>2</v>
      </c>
      <c r="M74" s="41">
        <f t="shared" ref="M74:AH74" si="3">L74+1</f>
        <v>3</v>
      </c>
      <c r="N74" s="41">
        <f t="shared" si="3"/>
        <v>4</v>
      </c>
      <c r="O74" s="41">
        <f t="shared" si="3"/>
        <v>5</v>
      </c>
      <c r="P74" s="41">
        <f t="shared" si="3"/>
        <v>6</v>
      </c>
      <c r="Q74" s="41">
        <f t="shared" si="3"/>
        <v>7</v>
      </c>
      <c r="R74" s="41">
        <f t="shared" si="3"/>
        <v>8</v>
      </c>
      <c r="S74" s="41">
        <f t="shared" si="3"/>
        <v>9</v>
      </c>
      <c r="T74" s="41">
        <f t="shared" si="3"/>
        <v>10</v>
      </c>
      <c r="U74" s="41">
        <f t="shared" si="3"/>
        <v>11</v>
      </c>
      <c r="V74" s="41">
        <f t="shared" si="3"/>
        <v>12</v>
      </c>
      <c r="W74" s="41">
        <f t="shared" si="3"/>
        <v>13</v>
      </c>
      <c r="X74" s="41">
        <f t="shared" si="3"/>
        <v>14</v>
      </c>
      <c r="Y74" s="41">
        <f t="shared" si="3"/>
        <v>15</v>
      </c>
      <c r="Z74" s="41">
        <f t="shared" si="3"/>
        <v>16</v>
      </c>
      <c r="AA74" s="41">
        <f t="shared" si="3"/>
        <v>17</v>
      </c>
      <c r="AB74" s="41">
        <f t="shared" si="3"/>
        <v>18</v>
      </c>
      <c r="AC74" s="41">
        <f t="shared" si="3"/>
        <v>19</v>
      </c>
      <c r="AD74" s="41">
        <f t="shared" si="3"/>
        <v>20</v>
      </c>
      <c r="AE74" s="41">
        <f t="shared" si="3"/>
        <v>21</v>
      </c>
      <c r="AF74" s="41">
        <f t="shared" si="3"/>
        <v>22</v>
      </c>
      <c r="AG74" s="41">
        <f t="shared" si="3"/>
        <v>23</v>
      </c>
      <c r="AH74" s="41">
        <f t="shared" si="3"/>
        <v>24</v>
      </c>
      <c r="AI74" s="41">
        <f>AH74+1</f>
        <v>25</v>
      </c>
      <c r="AJ74" s="41">
        <f>AI74+1</f>
        <v>26</v>
      </c>
    </row>
    <row r="75" spans="7:36" ht="15" hidden="1" customHeight="1" x14ac:dyDescent="0.2">
      <c r="G75" s="14" t="s">
        <v>548</v>
      </c>
      <c r="H75" s="69"/>
      <c r="I75" s="69"/>
      <c r="J75" s="742" t="e">
        <f>INDEX(K$73:AJ$73,MATCH(TRUE,INDEX(K75:AJ75&lt;&gt;0,),0))</f>
        <v>#N/A</v>
      </c>
      <c r="K75" s="69" t="e">
        <f>IF(K73&lt;$Q$46,0,IF(K139&lt;K115,1,0))</f>
        <v>#DIV/0!</v>
      </c>
      <c r="L75" s="69" t="e">
        <f t="shared" ref="L75:AI75" si="4">IF(L73&lt;$Q$46,0,IF(L139&lt;L115,1,0))</f>
        <v>#DIV/0!</v>
      </c>
      <c r="M75" s="69" t="e">
        <f t="shared" si="4"/>
        <v>#DIV/0!</v>
      </c>
      <c r="N75" s="69" t="e">
        <f t="shared" si="4"/>
        <v>#DIV/0!</v>
      </c>
      <c r="O75" s="69" t="e">
        <f t="shared" si="4"/>
        <v>#DIV/0!</v>
      </c>
      <c r="P75" s="69" t="e">
        <f t="shared" si="4"/>
        <v>#DIV/0!</v>
      </c>
      <c r="Q75" s="69" t="e">
        <f t="shared" si="4"/>
        <v>#DIV/0!</v>
      </c>
      <c r="R75" s="69" t="e">
        <f t="shared" si="4"/>
        <v>#DIV/0!</v>
      </c>
      <c r="S75" s="69" t="e">
        <f t="shared" si="4"/>
        <v>#DIV/0!</v>
      </c>
      <c r="T75" s="69" t="e">
        <f t="shared" si="4"/>
        <v>#DIV/0!</v>
      </c>
      <c r="U75" s="69" t="e">
        <f t="shared" si="4"/>
        <v>#DIV/0!</v>
      </c>
      <c r="V75" s="69" t="e">
        <f t="shared" si="4"/>
        <v>#DIV/0!</v>
      </c>
      <c r="W75" s="69" t="e">
        <f t="shared" si="4"/>
        <v>#DIV/0!</v>
      </c>
      <c r="X75" s="69" t="e">
        <f t="shared" si="4"/>
        <v>#DIV/0!</v>
      </c>
      <c r="Y75" s="69" t="e">
        <f t="shared" si="4"/>
        <v>#DIV/0!</v>
      </c>
      <c r="Z75" s="69" t="e">
        <f t="shared" si="4"/>
        <v>#DIV/0!</v>
      </c>
      <c r="AA75" s="69" t="e">
        <f t="shared" si="4"/>
        <v>#DIV/0!</v>
      </c>
      <c r="AB75" s="69" t="e">
        <f t="shared" si="4"/>
        <v>#DIV/0!</v>
      </c>
      <c r="AC75" s="69" t="e">
        <f t="shared" si="4"/>
        <v>#DIV/0!</v>
      </c>
      <c r="AD75" s="69" t="e">
        <f t="shared" si="4"/>
        <v>#DIV/0!</v>
      </c>
      <c r="AE75" s="69" t="e">
        <f t="shared" si="4"/>
        <v>#DIV/0!</v>
      </c>
      <c r="AF75" s="69" t="e">
        <f t="shared" si="4"/>
        <v>#DIV/0!</v>
      </c>
      <c r="AG75" s="69" t="e">
        <f t="shared" si="4"/>
        <v>#DIV/0!</v>
      </c>
      <c r="AH75" s="69" t="e">
        <f t="shared" si="4"/>
        <v>#DIV/0!</v>
      </c>
      <c r="AI75" s="69" t="e">
        <f t="shared" si="4"/>
        <v>#DIV/0!</v>
      </c>
      <c r="AJ75" s="69" t="e">
        <f>IF(AJ73&lt;$Q$46,0,IF(AJ139&lt;AJ115,1,0))</f>
        <v>#DIV/0!</v>
      </c>
    </row>
    <row r="76" spans="7:36" ht="15" hidden="1" customHeight="1" x14ac:dyDescent="0.2">
      <c r="G76" s="445" t="s">
        <v>592</v>
      </c>
      <c r="H76" s="741"/>
      <c r="I76" s="741"/>
      <c r="J76" s="742" t="e">
        <f>INDEX(K$73:AJ$73,MATCH(TRUE,INDEX(K76:AJ76&lt;&gt;0,),0))</f>
        <v>#N/A</v>
      </c>
      <c r="K76" s="741" t="e">
        <f>IF(K74&lt;$AC$46,0,IF(K163&lt;K115,1,0))</f>
        <v>#DIV/0!</v>
      </c>
      <c r="L76" s="741" t="e">
        <f t="shared" ref="L76:AI76" si="5">IF(L74&lt;$AC$46,0,IF(L163&lt;L115,1,0))</f>
        <v>#DIV/0!</v>
      </c>
      <c r="M76" s="741" t="e">
        <f t="shared" si="5"/>
        <v>#DIV/0!</v>
      </c>
      <c r="N76" s="741" t="e">
        <f t="shared" si="5"/>
        <v>#DIV/0!</v>
      </c>
      <c r="O76" s="741" t="e">
        <f t="shared" si="5"/>
        <v>#DIV/0!</v>
      </c>
      <c r="P76" s="741" t="e">
        <f t="shared" si="5"/>
        <v>#DIV/0!</v>
      </c>
      <c r="Q76" s="741" t="e">
        <f t="shared" si="5"/>
        <v>#DIV/0!</v>
      </c>
      <c r="R76" s="741" t="e">
        <f t="shared" si="5"/>
        <v>#DIV/0!</v>
      </c>
      <c r="S76" s="741" t="e">
        <f t="shared" si="5"/>
        <v>#DIV/0!</v>
      </c>
      <c r="T76" s="741" t="e">
        <f t="shared" si="5"/>
        <v>#DIV/0!</v>
      </c>
      <c r="U76" s="741" t="e">
        <f t="shared" si="5"/>
        <v>#DIV/0!</v>
      </c>
      <c r="V76" s="741" t="e">
        <f t="shared" si="5"/>
        <v>#DIV/0!</v>
      </c>
      <c r="W76" s="741" t="e">
        <f t="shared" si="5"/>
        <v>#DIV/0!</v>
      </c>
      <c r="X76" s="741" t="e">
        <f t="shared" si="5"/>
        <v>#DIV/0!</v>
      </c>
      <c r="Y76" s="741" t="e">
        <f t="shared" si="5"/>
        <v>#DIV/0!</v>
      </c>
      <c r="Z76" s="741" t="e">
        <f t="shared" si="5"/>
        <v>#DIV/0!</v>
      </c>
      <c r="AA76" s="741" t="e">
        <f t="shared" si="5"/>
        <v>#DIV/0!</v>
      </c>
      <c r="AB76" s="741" t="e">
        <f t="shared" si="5"/>
        <v>#DIV/0!</v>
      </c>
      <c r="AC76" s="741" t="e">
        <f t="shared" si="5"/>
        <v>#DIV/0!</v>
      </c>
      <c r="AD76" s="741" t="e">
        <f t="shared" si="5"/>
        <v>#DIV/0!</v>
      </c>
      <c r="AE76" s="741" t="e">
        <f t="shared" si="5"/>
        <v>#DIV/0!</v>
      </c>
      <c r="AF76" s="741" t="e">
        <f t="shared" si="5"/>
        <v>#DIV/0!</v>
      </c>
      <c r="AG76" s="741" t="e">
        <f t="shared" si="5"/>
        <v>#DIV/0!</v>
      </c>
      <c r="AH76" s="741" t="e">
        <f t="shared" si="5"/>
        <v>#DIV/0!</v>
      </c>
      <c r="AI76" s="741" t="e">
        <f t="shared" si="5"/>
        <v>#DIV/0!</v>
      </c>
      <c r="AJ76" s="741" t="e">
        <f>IF(AJ74&lt;$AC$46,0,IF(AJ163&lt;AJ115,1,0))</f>
        <v>#DIV/0!</v>
      </c>
    </row>
    <row r="77" spans="7:36" ht="15" hidden="1" customHeight="1" x14ac:dyDescent="0.2">
      <c r="G77" s="14"/>
      <c r="H77" s="69"/>
      <c r="I77" s="69"/>
      <c r="J77" s="196"/>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row>
    <row r="78" spans="7:36" ht="15" hidden="1" customHeight="1" x14ac:dyDescent="0.2">
      <c r="G78" s="14" t="s">
        <v>309</v>
      </c>
      <c r="H78" s="69"/>
      <c r="I78" s="69"/>
      <c r="J78" s="196"/>
      <c r="K78" s="394">
        <f>Data!$P$170</f>
        <v>0</v>
      </c>
      <c r="L78" s="103">
        <f>K78*(1+(Data!$P$196/100))</f>
        <v>0</v>
      </c>
      <c r="M78" s="103">
        <f>L78*(1+(Data!$P$196/100))</f>
        <v>0</v>
      </c>
      <c r="N78" s="103">
        <f>M78*(1+(Data!$P$196/100))</f>
        <v>0</v>
      </c>
      <c r="O78" s="103">
        <f>N78*(1+(Data!$P$196/100))</f>
        <v>0</v>
      </c>
      <c r="P78" s="103">
        <f>O78*(1+(Data!$P$196/100))</f>
        <v>0</v>
      </c>
      <c r="Q78" s="103">
        <f>P78*(1+(Data!$P$196/100))</f>
        <v>0</v>
      </c>
      <c r="R78" s="103">
        <f>Q78*(1+(Data!$P$196/100))</f>
        <v>0</v>
      </c>
      <c r="S78" s="103">
        <f>R78*(1+(Data!$P$196/100))</f>
        <v>0</v>
      </c>
      <c r="T78" s="103">
        <f>S78*(1+(Data!$P$196/100))</f>
        <v>0</v>
      </c>
      <c r="U78" s="103">
        <f>T78*(1+(Data!$P$196/100))</f>
        <v>0</v>
      </c>
      <c r="V78" s="103">
        <f>U78*(1+(Data!$P$196/100))</f>
        <v>0</v>
      </c>
      <c r="W78" s="103">
        <f>V78*(1+(Data!$P$196/100))</f>
        <v>0</v>
      </c>
      <c r="X78" s="103">
        <f>W78*(1+(Data!$P$196/100))</f>
        <v>0</v>
      </c>
      <c r="Y78" s="103">
        <f>X78*(1+(Data!$P$196/100))</f>
        <v>0</v>
      </c>
      <c r="Z78" s="103">
        <f>Y78*(1+(Data!$P$196/100))</f>
        <v>0</v>
      </c>
      <c r="AA78" s="103">
        <f>Z78*(1+(Data!$P$196/100))</f>
        <v>0</v>
      </c>
      <c r="AB78" s="103">
        <f>AA78*(1+(Data!$P$196/100))</f>
        <v>0</v>
      </c>
      <c r="AC78" s="103">
        <f>AB78*(1+(Data!$P$196/100))</f>
        <v>0</v>
      </c>
      <c r="AD78" s="103">
        <f>AC78*(1+(Data!$P$196/100))</f>
        <v>0</v>
      </c>
      <c r="AE78" s="103">
        <f>AD78*(1+(Data!$P$196/100))</f>
        <v>0</v>
      </c>
      <c r="AF78" s="103">
        <f>AE78*(1+(Data!$P$196/100))</f>
        <v>0</v>
      </c>
      <c r="AG78" s="103">
        <f>AF78*(1+(Data!$P$196/100))</f>
        <v>0</v>
      </c>
      <c r="AH78" s="103">
        <f>AG78*(1+(Data!$P$196/100))</f>
        <v>0</v>
      </c>
      <c r="AI78" s="103">
        <f>AH78*(1+(Data!$P$196/100))</f>
        <v>0</v>
      </c>
      <c r="AJ78" s="103">
        <f>AI78*(1+(Data!$P$196/100))</f>
        <v>0</v>
      </c>
    </row>
    <row r="79" spans="7:36" ht="15" hidden="1" customHeight="1" x14ac:dyDescent="0.2">
      <c r="G79" s="14" t="s">
        <v>284</v>
      </c>
      <c r="H79" s="14"/>
      <c r="I79" s="14"/>
      <c r="J79" s="14"/>
      <c r="K79" s="103">
        <f>Data!$P$171</f>
        <v>0.184</v>
      </c>
      <c r="L79" s="103">
        <f>K79*(1+(Data!$P$197/100))</f>
        <v>0.184</v>
      </c>
      <c r="M79" s="103">
        <f>L79*(1+(Data!$P$197/100))</f>
        <v>0.184</v>
      </c>
      <c r="N79" s="103">
        <f>M79*(1+(Data!$P$197/100))</f>
        <v>0.184</v>
      </c>
      <c r="O79" s="103">
        <f>N79*(1+(Data!$P$197/100))</f>
        <v>0.184</v>
      </c>
      <c r="P79" s="103">
        <f>O79*(1+(Data!$P$197/100))</f>
        <v>0.184</v>
      </c>
      <c r="Q79" s="103">
        <f>P79*(1+(Data!$P$197/100))</f>
        <v>0.184</v>
      </c>
      <c r="R79" s="103">
        <f>Q79*(1+(Data!$P$197/100))</f>
        <v>0.184</v>
      </c>
      <c r="S79" s="103">
        <f>R79*(1+(Data!$P$197/100))</f>
        <v>0.184</v>
      </c>
      <c r="T79" s="103">
        <f>S79*(1+(Data!$P$197/100))</f>
        <v>0.184</v>
      </c>
      <c r="U79" s="103">
        <f>T79*(1+(Data!$P$197/100))</f>
        <v>0.184</v>
      </c>
      <c r="V79" s="103">
        <f>U79*(1+(Data!$P$197/100))</f>
        <v>0.184</v>
      </c>
      <c r="W79" s="103">
        <f>V79*(1+(Data!$P$197/100))</f>
        <v>0.184</v>
      </c>
      <c r="X79" s="103">
        <f>W79*(1+(Data!$P$197/100))</f>
        <v>0.184</v>
      </c>
      <c r="Y79" s="103">
        <f>X79*(1+(Data!$P$197/100))</f>
        <v>0.184</v>
      </c>
      <c r="Z79" s="103">
        <f>Y79*(1+(Data!$P$197/100))</f>
        <v>0.184</v>
      </c>
      <c r="AA79" s="103">
        <f>Z79*(1+(Data!$P$197/100))</f>
        <v>0.184</v>
      </c>
      <c r="AB79" s="103">
        <f>AA79*(1+(Data!$P$197/100))</f>
        <v>0.184</v>
      </c>
      <c r="AC79" s="103">
        <f>AB79*(1+(Data!$P$197/100))</f>
        <v>0.184</v>
      </c>
      <c r="AD79" s="103">
        <f>AC79*(1+(Data!$P$197/100))</f>
        <v>0.184</v>
      </c>
      <c r="AE79" s="103">
        <f>AD79*(1+(Data!$P$197/100))</f>
        <v>0.184</v>
      </c>
      <c r="AF79" s="103">
        <f>AE79*(1+(Data!$P$197/100))</f>
        <v>0.184</v>
      </c>
      <c r="AG79" s="103">
        <f>AF79*(1+(Data!$P$197/100))</f>
        <v>0.184</v>
      </c>
      <c r="AH79" s="103">
        <f>AG79*(1+(Data!$P$197/100))</f>
        <v>0.184</v>
      </c>
      <c r="AI79" s="103">
        <f>AH79*(1+(Data!$P$197/100))</f>
        <v>0.184</v>
      </c>
      <c r="AJ79" s="103">
        <f>AI79*(1+(Data!$P$197/100))</f>
        <v>0.184</v>
      </c>
    </row>
    <row r="80" spans="7:36" ht="15" hidden="1" customHeight="1" x14ac:dyDescent="0.2">
      <c r="G80" s="14" t="s">
        <v>259</v>
      </c>
      <c r="H80" s="14"/>
      <c r="I80" s="14"/>
      <c r="J80" s="14"/>
      <c r="K80" s="103">
        <f>Data!$P$172</f>
        <v>0.17072999999999999</v>
      </c>
      <c r="L80" s="103">
        <f>K80*(1+(Data!$P$198/100))</f>
        <v>0.17072999999999999</v>
      </c>
      <c r="M80" s="103">
        <f>L80*(1+(Data!$P$198/100))</f>
        <v>0.17072999999999999</v>
      </c>
      <c r="N80" s="103">
        <f>M80*(1+(Data!$P$198/100))</f>
        <v>0.17072999999999999</v>
      </c>
      <c r="O80" s="103">
        <f>N80*(1+(Data!$P$198/100))</f>
        <v>0.17072999999999999</v>
      </c>
      <c r="P80" s="103">
        <f>O80*(1+(Data!$P$198/100))</f>
        <v>0.17072999999999999</v>
      </c>
      <c r="Q80" s="103">
        <f>P80*(1+(Data!$P$198/100))</f>
        <v>0.17072999999999999</v>
      </c>
      <c r="R80" s="103">
        <f>Q80*(1+(Data!$P$198/100))</f>
        <v>0.17072999999999999</v>
      </c>
      <c r="S80" s="103">
        <f>R80*(1+(Data!$P$198/100))</f>
        <v>0.17072999999999999</v>
      </c>
      <c r="T80" s="103">
        <f>S80*(1+(Data!$P$198/100))</f>
        <v>0.17072999999999999</v>
      </c>
      <c r="U80" s="103">
        <f>T80*(1+(Data!$P$198/100))</f>
        <v>0.17072999999999999</v>
      </c>
      <c r="V80" s="103">
        <f>U80*(1+(Data!$P$198/100))</f>
        <v>0.17072999999999999</v>
      </c>
      <c r="W80" s="103">
        <f>V80*(1+(Data!$P$198/100))</f>
        <v>0.17072999999999999</v>
      </c>
      <c r="X80" s="103">
        <f>W80*(1+(Data!$P$198/100))</f>
        <v>0.17072999999999999</v>
      </c>
      <c r="Y80" s="103">
        <f>X80*(1+(Data!$P$198/100))</f>
        <v>0.17072999999999999</v>
      </c>
      <c r="Z80" s="103">
        <f>Y80*(1+(Data!$P$198/100))</f>
        <v>0.17072999999999999</v>
      </c>
      <c r="AA80" s="103">
        <f>Z80*(1+(Data!$P$198/100))</f>
        <v>0.17072999999999999</v>
      </c>
      <c r="AB80" s="103">
        <f>AA80*(1+(Data!$P$198/100))</f>
        <v>0.17072999999999999</v>
      </c>
      <c r="AC80" s="103">
        <f>AB80*(1+(Data!$P$198/100))</f>
        <v>0.17072999999999999</v>
      </c>
      <c r="AD80" s="103">
        <f>AC80*(1+(Data!$P$198/100))</f>
        <v>0.17072999999999999</v>
      </c>
      <c r="AE80" s="103">
        <f>AD80*(1+(Data!$P$198/100))</f>
        <v>0.17072999999999999</v>
      </c>
      <c r="AF80" s="103">
        <f>AE80*(1+(Data!$P$198/100))</f>
        <v>0.17072999999999999</v>
      </c>
      <c r="AG80" s="103">
        <f>AF80*(1+(Data!$P$198/100))</f>
        <v>0.17072999999999999</v>
      </c>
      <c r="AH80" s="103">
        <f>AG80*(1+(Data!$P$198/100))</f>
        <v>0.17072999999999999</v>
      </c>
      <c r="AI80" s="103">
        <f>AH80*(1+(Data!$P$198/100))</f>
        <v>0.17072999999999999</v>
      </c>
      <c r="AJ80" s="103">
        <f>AI80*(1+(Data!$P$198/100))</f>
        <v>0.17072999999999999</v>
      </c>
    </row>
    <row r="81" spans="7:36" ht="15" hidden="1" customHeight="1" x14ac:dyDescent="0.2">
      <c r="G81" s="14" t="s">
        <v>320</v>
      </c>
      <c r="H81" s="14"/>
      <c r="I81" s="14"/>
      <c r="J81" s="14"/>
      <c r="K81" s="103">
        <f>Data!$P$173</f>
        <v>0.17072999999999999</v>
      </c>
      <c r="L81" s="103">
        <f>K81*(1+(Data!$P$199/100))</f>
        <v>0.17072999999999999</v>
      </c>
      <c r="M81" s="103">
        <f>L81*(1+(Data!$P$199/100))</f>
        <v>0.17072999999999999</v>
      </c>
      <c r="N81" s="103">
        <f>M81*(1+(Data!$P$199/100))</f>
        <v>0.17072999999999999</v>
      </c>
      <c r="O81" s="103">
        <f>N81*(1+(Data!$P$199/100))</f>
        <v>0.17072999999999999</v>
      </c>
      <c r="P81" s="103">
        <f>O81*(1+(Data!$P$199/100))</f>
        <v>0.17072999999999999</v>
      </c>
      <c r="Q81" s="103">
        <f>P81*(1+(Data!$P$199/100))</f>
        <v>0.17072999999999999</v>
      </c>
      <c r="R81" s="103">
        <f>Q81*(1+(Data!$P$199/100))</f>
        <v>0.17072999999999999</v>
      </c>
      <c r="S81" s="103">
        <f>R81*(1+(Data!$P$199/100))</f>
        <v>0.17072999999999999</v>
      </c>
      <c r="T81" s="103">
        <f>S81*(1+(Data!$P$199/100))</f>
        <v>0.17072999999999999</v>
      </c>
      <c r="U81" s="103">
        <f>T81*(1+(Data!$P$199/100))</f>
        <v>0.17072999999999999</v>
      </c>
      <c r="V81" s="103">
        <f>U81*(1+(Data!$P$199/100))</f>
        <v>0.17072999999999999</v>
      </c>
      <c r="W81" s="103">
        <f>V81*(1+(Data!$P$199/100))</f>
        <v>0.17072999999999999</v>
      </c>
      <c r="X81" s="103">
        <f>W81*(1+(Data!$P$199/100))</f>
        <v>0.17072999999999999</v>
      </c>
      <c r="Y81" s="103">
        <f>X81*(1+(Data!$P$199/100))</f>
        <v>0.17072999999999999</v>
      </c>
      <c r="Z81" s="103">
        <f>Y81*(1+(Data!$P$199/100))</f>
        <v>0.17072999999999999</v>
      </c>
      <c r="AA81" s="103">
        <f>Z81*(1+(Data!$P$199/100))</f>
        <v>0.17072999999999999</v>
      </c>
      <c r="AB81" s="103">
        <f>AA81*(1+(Data!$P$199/100))</f>
        <v>0.17072999999999999</v>
      </c>
      <c r="AC81" s="103">
        <f>AB81*(1+(Data!$P$199/100))</f>
        <v>0.17072999999999999</v>
      </c>
      <c r="AD81" s="103">
        <f>AC81*(1+(Data!$P$199/100))</f>
        <v>0.17072999999999999</v>
      </c>
      <c r="AE81" s="103">
        <f>AD81*(1+(Data!$P$199/100))</f>
        <v>0.17072999999999999</v>
      </c>
      <c r="AF81" s="103">
        <f>AE81*(1+(Data!$P$199/100))</f>
        <v>0.17072999999999999</v>
      </c>
      <c r="AG81" s="103">
        <f>AF81*(1+(Data!$P$199/100))</f>
        <v>0.17072999999999999</v>
      </c>
      <c r="AH81" s="103">
        <f>AG81*(1+(Data!$P$199/100))</f>
        <v>0.17072999999999999</v>
      </c>
      <c r="AI81" s="103">
        <f>AH81*(1+(Data!$P$199/100))</f>
        <v>0.17072999999999999</v>
      </c>
      <c r="AJ81" s="103">
        <f>AI81*(1+(Data!$P$199/100))</f>
        <v>0.17072999999999999</v>
      </c>
    </row>
    <row r="82" spans="7:36" ht="15" hidden="1" customHeight="1" x14ac:dyDescent="0.2">
      <c r="G82" s="14" t="s">
        <v>252</v>
      </c>
      <c r="H82" s="14"/>
      <c r="I82" s="14"/>
      <c r="J82" s="14"/>
      <c r="K82" s="103">
        <f>Data!$P$174</f>
        <v>0.19338</v>
      </c>
      <c r="L82" s="103">
        <f>K82*(1+(Data!$P$200/100))</f>
        <v>0.18757859999999998</v>
      </c>
      <c r="M82" s="103">
        <f>L82*(1+(Data!$P$200/100))</f>
        <v>0.18195124199999999</v>
      </c>
      <c r="N82" s="103">
        <f>M82*(1+(Data!$P$200/100))</f>
        <v>0.17649270473999998</v>
      </c>
      <c r="O82" s="103">
        <f>N82*(1+(Data!$P$200/100))</f>
        <v>0.17119792359779998</v>
      </c>
      <c r="P82" s="103">
        <f>O82*(1+(Data!$P$200/100))</f>
        <v>0.16606198588986598</v>
      </c>
      <c r="Q82" s="103">
        <f>P82*(1+(Data!$P$200/100))</f>
        <v>0.16108012631317001</v>
      </c>
      <c r="R82" s="103">
        <f>Q82*(1+(Data!$P$200/100))</f>
        <v>0.15624772252377489</v>
      </c>
      <c r="S82" s="103">
        <f>R82*(1+(Data!$P$200/100))</f>
        <v>0.15156029084806164</v>
      </c>
      <c r="T82" s="103">
        <f>S82*(1+(Data!$P$200/100))</f>
        <v>0.14701348212261978</v>
      </c>
      <c r="U82" s="103">
        <f>T82*(1+(Data!$P$200/100))</f>
        <v>0.14260307765894117</v>
      </c>
      <c r="V82" s="103">
        <f>U82*(1+(Data!$P$200/100))</f>
        <v>0.13832498532917292</v>
      </c>
      <c r="W82" s="103">
        <f>V82*(1+(Data!$P$200/100))</f>
        <v>0.13417523576929774</v>
      </c>
      <c r="X82" s="103">
        <f>W82*(1+(Data!$P$200/100))</f>
        <v>0.1301499786962188</v>
      </c>
      <c r="Y82" s="103">
        <f>X82*(1+(Data!$P$200/100))</f>
        <v>0.12624547933533223</v>
      </c>
      <c r="Z82" s="103">
        <f>Y82*(1+(Data!$P$200/100))</f>
        <v>0.12245811495527226</v>
      </c>
      <c r="AA82" s="103">
        <f>Z82*(1+(Data!$P$200/100))</f>
        <v>0.11878437150661408</v>
      </c>
      <c r="AB82" s="103">
        <f>AA82*(1+(Data!$P$200/100))</f>
        <v>0.11522084036141565</v>
      </c>
      <c r="AC82" s="103">
        <f>AB82*(1+(Data!$P$200/100))</f>
        <v>0.11176421515057318</v>
      </c>
      <c r="AD82" s="103">
        <f>AC82*(1+(Data!$P$200/100))</f>
        <v>0.10841128869605599</v>
      </c>
      <c r="AE82" s="103">
        <f>AD82*(1+(Data!$P$200/100))</f>
        <v>0.10515895003517431</v>
      </c>
      <c r="AF82" s="103">
        <f>AE82*(1+(Data!$P$200/100))</f>
        <v>0.10200418153411908</v>
      </c>
      <c r="AG82" s="103">
        <f>AF82*(1+(Data!$P$200/100))</f>
        <v>9.8944056088095506E-2</v>
      </c>
      <c r="AH82" s="103">
        <f>AG82*(1+(Data!$P$200/100))</f>
        <v>9.5975734405452637E-2</v>
      </c>
      <c r="AI82" s="103">
        <f>AH82*(1+(Data!$P$200/100))</f>
        <v>9.3096462373289057E-2</v>
      </c>
      <c r="AJ82" s="103">
        <f>AI82*(1+(Data!$P$200/100))</f>
        <v>9.0303568502090384E-2</v>
      </c>
    </row>
    <row r="83" spans="7:36" ht="15" hidden="1" customHeight="1" x14ac:dyDescent="0.2">
      <c r="G83" s="14"/>
      <c r="H83" s="69"/>
      <c r="I83" s="69"/>
      <c r="J83" s="196"/>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row>
    <row r="84" spans="7:36" ht="15" hidden="1" customHeight="1" x14ac:dyDescent="0.2">
      <c r="G84" s="14" t="s">
        <v>309</v>
      </c>
      <c r="H84" s="69"/>
      <c r="I84" s="69"/>
      <c r="J84" s="196"/>
      <c r="K84" s="394">
        <f>Data!$P$177</f>
        <v>0</v>
      </c>
      <c r="L84" s="103">
        <f>K84*(1+(Data!$P$188/100))</f>
        <v>0</v>
      </c>
      <c r="M84" s="103">
        <f>L84*(1+(Data!$P$188/100))</f>
        <v>0</v>
      </c>
      <c r="N84" s="103">
        <f>M84*(1+(Data!$P$188/100))</f>
        <v>0</v>
      </c>
      <c r="O84" s="103">
        <f>N84*(1+(Data!$P$188/100))</f>
        <v>0</v>
      </c>
      <c r="P84" s="103">
        <f>O84*(1+(Data!$P$188/100))</f>
        <v>0</v>
      </c>
      <c r="Q84" s="103">
        <f>P84*(1+(Data!$P$188/100))</f>
        <v>0</v>
      </c>
      <c r="R84" s="103">
        <f>Q84*(1+(Data!$P$188/100))</f>
        <v>0</v>
      </c>
      <c r="S84" s="103">
        <f>R84*(1+(Data!$P$188/100))</f>
        <v>0</v>
      </c>
      <c r="T84" s="103">
        <f>S84*(1+(Data!$P$188/100))</f>
        <v>0</v>
      </c>
      <c r="U84" s="103">
        <f>T84*(1+(Data!$P$188/100))</f>
        <v>0</v>
      </c>
      <c r="V84" s="103">
        <f>U84*(1+(Data!$P$188/100))</f>
        <v>0</v>
      </c>
      <c r="W84" s="103">
        <f>V84*(1+(Data!$P$188/100))</f>
        <v>0</v>
      </c>
      <c r="X84" s="103">
        <f>W84*(1+(Data!$P$188/100))</f>
        <v>0</v>
      </c>
      <c r="Y84" s="103">
        <f>X84*(1+(Data!$P$188/100))</f>
        <v>0</v>
      </c>
      <c r="Z84" s="103">
        <f>Y84*(1+(Data!$P$188/100))</f>
        <v>0</v>
      </c>
      <c r="AA84" s="103">
        <f>Z84*(1+(Data!$P$188/100))</f>
        <v>0</v>
      </c>
      <c r="AB84" s="103">
        <f>AA84*(1+(Data!$P$188/100))</f>
        <v>0</v>
      </c>
      <c r="AC84" s="103">
        <f>AB84*(1+(Data!$P$188/100))</f>
        <v>0</v>
      </c>
      <c r="AD84" s="103">
        <f>AC84*(1+(Data!$P$188/100))</f>
        <v>0</v>
      </c>
      <c r="AE84" s="103">
        <f>AD84*(1+(Data!$P$188/100))</f>
        <v>0</v>
      </c>
      <c r="AF84" s="103">
        <f>AE84*(1+(Data!$P$188/100))</f>
        <v>0</v>
      </c>
      <c r="AG84" s="103">
        <f>AF84*(1+(Data!$P$188/100))</f>
        <v>0</v>
      </c>
      <c r="AH84" s="103">
        <f>AG84*(1+(Data!$P$188/100))</f>
        <v>0</v>
      </c>
      <c r="AI84" s="103">
        <f>AH84*(1+(Data!$P$188/100))</f>
        <v>0</v>
      </c>
      <c r="AJ84" s="103">
        <f>AI84*(1+(Data!$P$188/100))</f>
        <v>0</v>
      </c>
    </row>
    <row r="85" spans="7:36" ht="15" hidden="1" customHeight="1" x14ac:dyDescent="0.2">
      <c r="G85" s="14" t="s">
        <v>284</v>
      </c>
      <c r="H85" s="69"/>
      <c r="I85" s="69"/>
      <c r="J85" s="196"/>
      <c r="K85" s="392">
        <f>Data!$P$178</f>
        <v>0.09</v>
      </c>
      <c r="L85" s="103">
        <f>K85*(1+(Data!$P$189/100))</f>
        <v>9.5399999999999999E-2</v>
      </c>
      <c r="M85" s="103">
        <f>L85*(1+(Data!$P$189/100))</f>
        <v>0.10112400000000001</v>
      </c>
      <c r="N85" s="103">
        <f>M85*(1+(Data!$P$189/100))</f>
        <v>0.10719144000000001</v>
      </c>
      <c r="O85" s="103">
        <f>N85*(1+(Data!$P$189/100))</f>
        <v>0.11362292640000002</v>
      </c>
      <c r="P85" s="103">
        <f>O85*(1+(Data!$P$189/100))</f>
        <v>0.12044030198400002</v>
      </c>
      <c r="Q85" s="103">
        <f>P85*(1+(Data!$P$189/100))</f>
        <v>0.12766672010304003</v>
      </c>
      <c r="R85" s="103">
        <f>Q85*(1+(Data!$P$189/100))</f>
        <v>0.13532672330922244</v>
      </c>
      <c r="S85" s="103">
        <f>R85*(1+(Data!$P$189/100))</f>
        <v>0.1434463267077758</v>
      </c>
      <c r="T85" s="103">
        <f>S85*(1+(Data!$P$189/100))</f>
        <v>0.15205310631024235</v>
      </c>
      <c r="U85" s="103">
        <f>T85*(1+(Data!$P$189/100))</f>
        <v>0.16117629268885691</v>
      </c>
      <c r="V85" s="103">
        <f>U85*(1+(Data!$P$189/100))</f>
        <v>0.17084687025018833</v>
      </c>
      <c r="W85" s="103">
        <f>V85*(1+(Data!$P$189/100))</f>
        <v>0.18109768246519964</v>
      </c>
      <c r="X85" s="103">
        <f>W85*(1+(Data!$P$189/100))</f>
        <v>0.19196354341311161</v>
      </c>
      <c r="Y85" s="103">
        <f>X85*(1+(Data!$P$189/100))</f>
        <v>0.20348135601789832</v>
      </c>
      <c r="Z85" s="103">
        <f>Y85*(1+(Data!$P$189/100))</f>
        <v>0.21569023737897222</v>
      </c>
      <c r="AA85" s="103">
        <f>Z85*(1+(Data!$P$189/100))</f>
        <v>0.22863165162171056</v>
      </c>
      <c r="AB85" s="103">
        <f>AA85*(1+(Data!$P$189/100))</f>
        <v>0.24234955071901321</v>
      </c>
      <c r="AC85" s="103">
        <f>AB85*(1+(Data!$P$189/100))</f>
        <v>0.25689052376215399</v>
      </c>
      <c r="AD85" s="103">
        <f>AC85*(1+(Data!$P$189/100))</f>
        <v>0.27230395518788325</v>
      </c>
      <c r="AE85" s="103">
        <f>AD85*(1+(Data!$P$189/100))</f>
        <v>0.28864219249915624</v>
      </c>
      <c r="AF85" s="103">
        <f>AE85*(1+(Data!$P$189/100))</f>
        <v>0.30596072404910563</v>
      </c>
      <c r="AG85" s="103">
        <f>AF85*(1+(Data!$P$189/100))</f>
        <v>0.32431836749205201</v>
      </c>
      <c r="AH85" s="103">
        <f>AG85*(1+(Data!$P$189/100))</f>
        <v>0.34377746954157512</v>
      </c>
      <c r="AI85" s="103">
        <f>AH85*(1+(Data!$P$189/100))</f>
        <v>0.36440411771406966</v>
      </c>
      <c r="AJ85" s="103">
        <f>AI85*(1+(Data!$P$189/100))</f>
        <v>0.38626836477691384</v>
      </c>
    </row>
    <row r="86" spans="7:36" ht="15" hidden="1" customHeight="1" x14ac:dyDescent="0.2">
      <c r="G86" s="14" t="s">
        <v>259</v>
      </c>
      <c r="H86" s="69"/>
      <c r="I86" s="69"/>
      <c r="J86" s="196"/>
      <c r="K86" s="392">
        <f>Data!$P$179</f>
        <v>0.09</v>
      </c>
      <c r="L86" s="103">
        <f>K86*(1+(Data!$P$190/100))</f>
        <v>9.5399999999999999E-2</v>
      </c>
      <c r="M86" s="103">
        <f>L86*(1+(Data!$P$190/100))</f>
        <v>0.10112400000000001</v>
      </c>
      <c r="N86" s="103">
        <f>M86*(1+(Data!$P$190/100))</f>
        <v>0.10719144000000001</v>
      </c>
      <c r="O86" s="103">
        <f>N86*(1+(Data!$P$190/100))</f>
        <v>0.11362292640000002</v>
      </c>
      <c r="P86" s="103">
        <f>O86*(1+(Data!$P$190/100))</f>
        <v>0.12044030198400002</v>
      </c>
      <c r="Q86" s="103">
        <f>P86*(1+(Data!$P$190/100))</f>
        <v>0.12766672010304003</v>
      </c>
      <c r="R86" s="103">
        <f>Q86*(1+(Data!$P$190/100))</f>
        <v>0.13532672330922244</v>
      </c>
      <c r="S86" s="103">
        <f>R86*(1+(Data!$P$190/100))</f>
        <v>0.1434463267077758</v>
      </c>
      <c r="T86" s="103">
        <f>S86*(1+(Data!$P$190/100))</f>
        <v>0.15205310631024235</v>
      </c>
      <c r="U86" s="103">
        <f>T86*(1+(Data!$P$190/100))</f>
        <v>0.16117629268885691</v>
      </c>
      <c r="V86" s="103">
        <f>U86*(1+(Data!$P$190/100))</f>
        <v>0.17084687025018833</v>
      </c>
      <c r="W86" s="103">
        <f>V86*(1+(Data!$P$190/100))</f>
        <v>0.18109768246519964</v>
      </c>
      <c r="X86" s="103">
        <f>W86*(1+(Data!$P$190/100))</f>
        <v>0.19196354341311161</v>
      </c>
      <c r="Y86" s="103">
        <f>X86*(1+(Data!$P$190/100))</f>
        <v>0.20348135601789832</v>
      </c>
      <c r="Z86" s="103">
        <f>Y86*(1+(Data!$P$190/100))</f>
        <v>0.21569023737897222</v>
      </c>
      <c r="AA86" s="103">
        <f>Z86*(1+(Data!$P$190/100))</f>
        <v>0.22863165162171056</v>
      </c>
      <c r="AB86" s="103">
        <f>AA86*(1+(Data!$P$190/100))</f>
        <v>0.24234955071901321</v>
      </c>
      <c r="AC86" s="103">
        <f>AB86*(1+(Data!$P$190/100))</f>
        <v>0.25689052376215399</v>
      </c>
      <c r="AD86" s="103">
        <f>AC86*(1+(Data!$P$190/100))</f>
        <v>0.27230395518788325</v>
      </c>
      <c r="AE86" s="103">
        <f>AD86*(1+(Data!$P$190/100))</f>
        <v>0.28864219249915624</v>
      </c>
      <c r="AF86" s="103">
        <f>AE86*(1+(Data!$P$190/100))</f>
        <v>0.30596072404910563</v>
      </c>
      <c r="AG86" s="103">
        <f>AF86*(1+(Data!$P$190/100))</f>
        <v>0.32431836749205201</v>
      </c>
      <c r="AH86" s="103">
        <f>AG86*(1+(Data!$P$190/100))</f>
        <v>0.34377746954157512</v>
      </c>
      <c r="AI86" s="103">
        <f>AH86*(1+(Data!$P$190/100))</f>
        <v>0.36440411771406966</v>
      </c>
      <c r="AJ86" s="103">
        <f>AI86*(1+(Data!$P$190/100))</f>
        <v>0.38626836477691384</v>
      </c>
    </row>
    <row r="87" spans="7:36" ht="15" hidden="1" customHeight="1" x14ac:dyDescent="0.2">
      <c r="G87" s="14" t="s">
        <v>320</v>
      </c>
      <c r="H87" s="69"/>
      <c r="I87" s="69"/>
      <c r="J87" s="196"/>
      <c r="K87" s="392">
        <f>Data!$P$180</f>
        <v>0.16463429999999998</v>
      </c>
      <c r="L87" s="103">
        <f>K87*(1+(Data!$P$191/100))</f>
        <v>0.17451235799999998</v>
      </c>
      <c r="M87" s="103">
        <f>L87*(1+(Data!$P$191/100))</f>
        <v>0.18498309948</v>
      </c>
      <c r="N87" s="103">
        <f>M87*(1+(Data!$P$191/100))</f>
        <v>0.19608208544880001</v>
      </c>
      <c r="O87" s="103">
        <f>N87*(1+(Data!$P$191/100))</f>
        <v>0.20784701057572802</v>
      </c>
      <c r="P87" s="103">
        <f>O87*(1+(Data!$P$191/100))</f>
        <v>0.22031783121027171</v>
      </c>
      <c r="Q87" s="103">
        <f>P87*(1+(Data!$P$191/100))</f>
        <v>0.23353690108288802</v>
      </c>
      <c r="R87" s="103">
        <f>Q87*(1+(Data!$P$191/100))</f>
        <v>0.24754911514786132</v>
      </c>
      <c r="S87" s="103">
        <f>R87*(1+(Data!$P$191/100))</f>
        <v>0.262402062056733</v>
      </c>
      <c r="T87" s="103">
        <f>S87*(1+(Data!$P$191/100))</f>
        <v>0.278146185780137</v>
      </c>
      <c r="U87" s="103">
        <f>T87*(1+(Data!$P$191/100))</f>
        <v>0.29483495692694522</v>
      </c>
      <c r="V87" s="103">
        <f>U87*(1+(Data!$P$191/100))</f>
        <v>0.31252505434256195</v>
      </c>
      <c r="W87" s="103">
        <f>V87*(1+(Data!$P$191/100))</f>
        <v>0.3312765576031157</v>
      </c>
      <c r="X87" s="103">
        <f>W87*(1+(Data!$P$191/100))</f>
        <v>0.35115315105930267</v>
      </c>
      <c r="Y87" s="103">
        <f>X87*(1+(Data!$P$191/100))</f>
        <v>0.37222234012286087</v>
      </c>
      <c r="Z87" s="103">
        <f>Y87*(1+(Data!$P$191/100))</f>
        <v>0.39455568053023254</v>
      </c>
      <c r="AA87" s="103">
        <f>Z87*(1+(Data!$P$191/100))</f>
        <v>0.41822902136204654</v>
      </c>
      <c r="AB87" s="103">
        <f>AA87*(1+(Data!$P$191/100))</f>
        <v>0.44332276264376935</v>
      </c>
      <c r="AC87" s="103">
        <f>AB87*(1+(Data!$P$191/100))</f>
        <v>0.46992212840239556</v>
      </c>
      <c r="AD87" s="103">
        <f>AC87*(1+(Data!$P$191/100))</f>
        <v>0.49811745610653929</v>
      </c>
      <c r="AE87" s="103">
        <f>AD87*(1+(Data!$P$191/100))</f>
        <v>0.52800450347293171</v>
      </c>
      <c r="AF87" s="103">
        <f>AE87*(1+(Data!$P$191/100))</f>
        <v>0.55968477368130765</v>
      </c>
      <c r="AG87" s="103">
        <f>AF87*(1+(Data!$P$191/100))</f>
        <v>0.59326586010218618</v>
      </c>
      <c r="AH87" s="103">
        <f>AG87*(1+(Data!$P$191/100))</f>
        <v>0.62886181170831734</v>
      </c>
      <c r="AI87" s="103">
        <f>AH87*(1+(Data!$P$191/100))</f>
        <v>0.66659352041081643</v>
      </c>
      <c r="AJ87" s="103">
        <f>AI87*(1+(Data!$P$191/100))</f>
        <v>0.70658913163546544</v>
      </c>
    </row>
    <row r="88" spans="7:36" ht="15" hidden="1" customHeight="1" x14ac:dyDescent="0.2">
      <c r="G88" s="14" t="s">
        <v>252</v>
      </c>
      <c r="H88" s="69"/>
      <c r="I88" s="69"/>
      <c r="J88" s="196"/>
      <c r="K88" s="392">
        <f>Data!$P$181</f>
        <v>0.31</v>
      </c>
      <c r="L88" s="103">
        <f>K88*(1+(Data!$P$192/100))</f>
        <v>0.34100000000000003</v>
      </c>
      <c r="M88" s="103">
        <f>L88*(1+(Data!$P$192/100))</f>
        <v>0.37510000000000004</v>
      </c>
      <c r="N88" s="103">
        <f>M88*(1+(Data!$P$192/100))</f>
        <v>0.41261000000000009</v>
      </c>
      <c r="O88" s="103">
        <f>N88*(1+(Data!$P$192/100))</f>
        <v>0.45387100000000014</v>
      </c>
      <c r="P88" s="103">
        <f>O88*(1+(Data!$P$192/100))</f>
        <v>0.4992581000000002</v>
      </c>
      <c r="Q88" s="103">
        <f>P88*(1+(Data!$P$192/100))</f>
        <v>0.54918391000000022</v>
      </c>
      <c r="R88" s="103">
        <f>Q88*(1+(Data!$P$192/100))</f>
        <v>0.60410230100000029</v>
      </c>
      <c r="S88" s="103">
        <f>R88*(1+(Data!$P$192/100))</f>
        <v>0.66451253110000041</v>
      </c>
      <c r="T88" s="103">
        <f>S88*(1+(Data!$P$192/100))</f>
        <v>0.73096378421000052</v>
      </c>
      <c r="U88" s="103">
        <f>T88*(1+(Data!$P$192/100))</f>
        <v>0.80406016263100066</v>
      </c>
      <c r="V88" s="103">
        <f>U88*(1+(Data!$P$192/100))</f>
        <v>0.88446617889410084</v>
      </c>
      <c r="W88" s="103">
        <f>V88*(1+(Data!$P$192/100))</f>
        <v>0.97291279678351106</v>
      </c>
      <c r="X88" s="103">
        <f>W88*(1+(Data!$P$192/100))</f>
        <v>1.0702040764618623</v>
      </c>
      <c r="Y88" s="103">
        <f>X88*(1+(Data!$P$192/100))</f>
        <v>1.1772244841080486</v>
      </c>
      <c r="Z88" s="103">
        <f>Y88*(1+(Data!$P$192/100))</f>
        <v>1.2949469325188536</v>
      </c>
      <c r="AA88" s="103">
        <f>Z88*(1+(Data!$P$192/100))</f>
        <v>1.4244416257707391</v>
      </c>
      <c r="AB88" s="103">
        <f>AA88*(1+(Data!$P$192/100))</f>
        <v>1.5668857883478131</v>
      </c>
      <c r="AC88" s="103">
        <f>AB88*(1+(Data!$P$192/100))</f>
        <v>1.7235743671825945</v>
      </c>
      <c r="AD88" s="103">
        <f>AC88*(1+(Data!$P$192/100))</f>
        <v>1.8959318039008541</v>
      </c>
      <c r="AE88" s="103">
        <f>AD88*(1+(Data!$P$192/100))</f>
        <v>2.0855249842909398</v>
      </c>
      <c r="AF88" s="103">
        <f>AE88*(1+(Data!$P$192/100))</f>
        <v>2.2940774827200339</v>
      </c>
      <c r="AG88" s="103">
        <f>AF88*(1+(Data!$P$192/100))</f>
        <v>2.5234852309920375</v>
      </c>
      <c r="AH88" s="103">
        <f>AG88*(1+(Data!$P$192/100))</f>
        <v>2.7758337540912414</v>
      </c>
      <c r="AI88" s="103">
        <f>AH88*(1+(Data!$P$192/100))</f>
        <v>3.053417129500366</v>
      </c>
      <c r="AJ88" s="103">
        <f>AI88*(1+(Data!$P$192/100))</f>
        <v>3.3587588424504031</v>
      </c>
    </row>
    <row r="89" spans="7:36" ht="15" hidden="1" customHeight="1" x14ac:dyDescent="0.2">
      <c r="G89" s="14"/>
      <c r="H89" s="69"/>
      <c r="I89" s="69"/>
      <c r="J89" s="196"/>
      <c r="K89" s="392"/>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row>
    <row r="90" spans="7:36" ht="15" hidden="1" customHeight="1" x14ac:dyDescent="0.2">
      <c r="G90" s="14" t="s">
        <v>307</v>
      </c>
      <c r="H90" s="14"/>
      <c r="I90" s="14"/>
      <c r="J90" s="14"/>
      <c r="K90" s="103">
        <v>1</v>
      </c>
      <c r="L90" s="103">
        <f>K90*(1+(Data!$P$194)/100)</f>
        <v>1.02</v>
      </c>
      <c r="M90" s="103">
        <f>L90*(1+(Data!$P$194)/100)</f>
        <v>1.0404</v>
      </c>
      <c r="N90" s="103">
        <f>M90*(1+(Data!$P$194)/100)</f>
        <v>1.0612079999999999</v>
      </c>
      <c r="O90" s="103">
        <f>N90*(1+(Data!$P$194)/100)</f>
        <v>1.08243216</v>
      </c>
      <c r="P90" s="103">
        <f>O90*(1+(Data!$P$194)/100)</f>
        <v>1.1040808032</v>
      </c>
      <c r="Q90" s="103">
        <f>P90*(1+(Data!$P$194)/100)</f>
        <v>1.1261624192640001</v>
      </c>
      <c r="R90" s="103">
        <f>Q90*(1+(Data!$P$194)/100)</f>
        <v>1.14868566764928</v>
      </c>
      <c r="S90" s="103">
        <f>R90*(1+(Data!$P$194)/100)</f>
        <v>1.1716593810022657</v>
      </c>
      <c r="T90" s="103">
        <f>S90*(1+(Data!$P$194)/100)</f>
        <v>1.1950925686223111</v>
      </c>
      <c r="U90" s="103">
        <f>T90*(1+(Data!$P$194)/100)</f>
        <v>1.2189944199947573</v>
      </c>
      <c r="V90" s="103">
        <f>U90*(1+(Data!$P$194)/100)</f>
        <v>1.2433743083946525</v>
      </c>
      <c r="W90" s="103">
        <f>V90*(1+(Data!$P$194)/100)</f>
        <v>1.2682417945625455</v>
      </c>
      <c r="X90" s="103">
        <f>W90*(1+(Data!$P$194)/100)</f>
        <v>1.2936066304537963</v>
      </c>
      <c r="Y90" s="103">
        <f>X90*(1+(Data!$P$194)/100)</f>
        <v>1.3194787630628724</v>
      </c>
      <c r="Z90" s="103">
        <f>Y90*(1+(Data!$P$194)/100)</f>
        <v>1.3458683383241299</v>
      </c>
      <c r="AA90" s="103">
        <f>Z90*(1+(Data!$P$194)/100)</f>
        <v>1.3727857050906125</v>
      </c>
      <c r="AB90" s="103">
        <f>AA90*(1+(Data!$P$194)/100)</f>
        <v>1.4002414191924248</v>
      </c>
      <c r="AC90" s="103">
        <f>AB90*(1+(Data!$P$194)/100)</f>
        <v>1.4282462475762734</v>
      </c>
      <c r="AD90" s="103">
        <f>AC90*(1+(Data!$P$194)/100)</f>
        <v>1.4568111725277988</v>
      </c>
      <c r="AE90" s="103">
        <f>AD90*(1+(Data!$P$194)/100)</f>
        <v>1.4859473959783549</v>
      </c>
      <c r="AF90" s="103">
        <f>AE90*(1+(Data!$P$194)/100)</f>
        <v>1.5156663438979221</v>
      </c>
      <c r="AG90" s="103">
        <f>AF90*(1+(Data!$P$194)/100)</f>
        <v>1.5459796707758806</v>
      </c>
      <c r="AH90" s="103">
        <f>AG90*(1+(Data!$P$194)/100)</f>
        <v>1.5768992641913981</v>
      </c>
      <c r="AI90" s="103">
        <f>AH90*(1+(Data!$P$194)/100)</f>
        <v>1.6084372494752261</v>
      </c>
      <c r="AJ90" s="103">
        <f>AI90*(1+(Data!$P$194)/100)</f>
        <v>1.6406059944647307</v>
      </c>
    </row>
    <row r="91" spans="7:36" ht="15" hidden="1" customHeight="1" x14ac:dyDescent="0.2">
      <c r="G91" s="14" t="s">
        <v>3</v>
      </c>
      <c r="H91" s="14"/>
      <c r="I91" s="14"/>
      <c r="J91" s="14"/>
      <c r="K91" s="103">
        <f>Data!$P$183</f>
        <v>0.1</v>
      </c>
      <c r="L91" s="103">
        <f>K91*((100+Data!$P$202)/100)</f>
        <v>0.10200000000000001</v>
      </c>
      <c r="M91" s="103">
        <f>L91*((100+Data!$P$202)/100)</f>
        <v>0.10404000000000001</v>
      </c>
      <c r="N91" s="103">
        <f>M91*((100+Data!$P$202)/100)</f>
        <v>0.10612080000000002</v>
      </c>
      <c r="O91" s="103">
        <f>N91*((100+Data!$P$202)/100)</f>
        <v>0.10824321600000002</v>
      </c>
      <c r="P91" s="103">
        <f>O91*((100+Data!$P$202)/100)</f>
        <v>0.11040808032000002</v>
      </c>
      <c r="Q91" s="103">
        <f>P91*((100+Data!$P$202)/100)</f>
        <v>0.11261624192640002</v>
      </c>
      <c r="R91" s="103">
        <f>Q91*((100+Data!$P$202)/100)</f>
        <v>0.11486856676492802</v>
      </c>
      <c r="S91" s="103">
        <f>R91*((100+Data!$P$202)/100)</f>
        <v>0.11716593810022657</v>
      </c>
      <c r="T91" s="103">
        <f>S91*((100+Data!$P$202)/100)</f>
        <v>0.11950925686223111</v>
      </c>
      <c r="U91" s="103">
        <f>T91*((100+Data!$P$202)/100)</f>
        <v>0.12189944199947574</v>
      </c>
      <c r="V91" s="103">
        <f>U91*((100+Data!$P$202)/100)</f>
        <v>0.12433743083946525</v>
      </c>
      <c r="W91" s="103">
        <f>V91*((100+Data!$P$202)/100)</f>
        <v>0.12682417945625454</v>
      </c>
      <c r="X91" s="103">
        <f>W91*((100+Data!$P$202)/100)</f>
        <v>0.12936066304537963</v>
      </c>
      <c r="Y91" s="103">
        <f>X91*((100+Data!$P$202)/100)</f>
        <v>0.13194787630628724</v>
      </c>
      <c r="Z91" s="103">
        <f>Y91*((100+Data!$P$202)/100)</f>
        <v>0.13458683383241299</v>
      </c>
      <c r="AA91" s="103">
        <f>Z91*((100+Data!$P$202)/100)</f>
        <v>0.13727857050906125</v>
      </c>
      <c r="AB91" s="103">
        <f>AA91*((100+Data!$P$202)/100)</f>
        <v>0.14002414191924248</v>
      </c>
      <c r="AC91" s="103">
        <f>AB91*((100+Data!$P$202)/100)</f>
        <v>0.14282462475762733</v>
      </c>
      <c r="AD91" s="103">
        <f>AC91*((100+Data!$P$202)/100)</f>
        <v>0.14568111725277988</v>
      </c>
      <c r="AE91" s="103">
        <f>AD91*((100+Data!$P$202)/100)</f>
        <v>0.14859473959783548</v>
      </c>
      <c r="AF91" s="103">
        <f>AE91*((100+Data!$P$202)/100)</f>
        <v>0.1515666343897922</v>
      </c>
      <c r="AG91" s="103">
        <f>AF91*((100+Data!$P$202)/100)</f>
        <v>0.15459796707758805</v>
      </c>
      <c r="AH91" s="103">
        <f>AG91*((100+Data!$P$202)/100)</f>
        <v>0.15768992641913981</v>
      </c>
      <c r="AI91" s="103">
        <f>AH91*((100+Data!$P$202)/100)</f>
        <v>0.16084372494752261</v>
      </c>
      <c r="AJ91" s="103">
        <f>AI91*((100+Data!$P$202)/100)</f>
        <v>0.16406059944647305</v>
      </c>
    </row>
    <row r="92" spans="7:36" ht="15" hidden="1" customHeight="1" x14ac:dyDescent="0.2">
      <c r="G92" s="10"/>
      <c r="H92" s="10"/>
      <c r="I92" s="8"/>
      <c r="J92" s="8"/>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row>
    <row r="93" spans="7:36" ht="15" hidden="1" customHeight="1" x14ac:dyDescent="0.2">
      <c r="G93" s="489" t="s">
        <v>290</v>
      </c>
      <c r="H93" s="14"/>
      <c r="I93" s="13"/>
      <c r="J93" s="13"/>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row>
    <row r="94" spans="7:36" ht="15" hidden="1" customHeight="1" x14ac:dyDescent="0.2">
      <c r="G94" s="14"/>
      <c r="H94" s="14"/>
      <c r="I94" s="13"/>
      <c r="J94" s="13"/>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row>
    <row r="95" spans="7:36" ht="15" hidden="1" customHeight="1" x14ac:dyDescent="0.2">
      <c r="G95" s="14" t="s">
        <v>2</v>
      </c>
      <c r="H95" s="60"/>
      <c r="I95" s="60"/>
      <c r="J95" s="60"/>
      <c r="K95" s="111"/>
      <c r="L95" s="111"/>
      <c r="M95" s="111"/>
      <c r="N95" s="111"/>
      <c r="O95" s="111"/>
      <c r="P95" s="111"/>
      <c r="Q95" s="111"/>
      <c r="R95" s="111"/>
      <c r="S95" s="111"/>
      <c r="T95" s="111"/>
      <c r="U95" s="111"/>
      <c r="V95" s="111"/>
      <c r="W95" s="111"/>
      <c r="X95" s="111"/>
      <c r="Y95" s="111"/>
      <c r="Z95" s="111"/>
      <c r="AA95" s="111"/>
      <c r="AB95" s="111"/>
      <c r="AC95" s="111"/>
      <c r="AD95" s="111"/>
      <c r="AE95" s="111"/>
      <c r="AF95" s="111"/>
      <c r="AG95" s="111"/>
      <c r="AH95" s="111"/>
      <c r="AI95" s="111"/>
      <c r="AJ95" s="111"/>
    </row>
    <row r="96" spans="7:36" ht="15" hidden="1" customHeight="1" x14ac:dyDescent="0.2">
      <c r="G96" s="14" t="s">
        <v>1</v>
      </c>
      <c r="H96" s="60"/>
      <c r="I96" s="60"/>
      <c r="J96" s="60"/>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row>
    <row r="97" spans="7:36" ht="15" hidden="1" customHeight="1" x14ac:dyDescent="0.2">
      <c r="G97" s="60"/>
      <c r="H97" s="60"/>
      <c r="I97" s="60"/>
      <c r="J97" s="60"/>
      <c r="K97" s="60"/>
      <c r="L97" s="60"/>
      <c r="M97" s="60"/>
      <c r="N97" s="60"/>
      <c r="O97" s="60"/>
      <c r="P97" s="60"/>
      <c r="Q97" s="60"/>
      <c r="R97" s="61"/>
      <c r="S97" s="60"/>
      <c r="T97" s="60"/>
      <c r="U97" s="60"/>
      <c r="V97" s="60"/>
      <c r="W97" s="60"/>
      <c r="X97" s="60"/>
      <c r="Y97" s="60"/>
      <c r="Z97" s="60"/>
      <c r="AA97" s="60"/>
      <c r="AB97" s="60"/>
      <c r="AC97" s="60"/>
      <c r="AD97" s="60"/>
      <c r="AE97" s="60"/>
      <c r="AF97" s="60"/>
      <c r="AG97" s="60"/>
      <c r="AH97" s="60"/>
      <c r="AI97" s="60"/>
      <c r="AJ97" s="60"/>
    </row>
    <row r="98" spans="7:36" ht="15" hidden="1" customHeight="1" x14ac:dyDescent="0.2">
      <c r="G98" s="14" t="s">
        <v>4</v>
      </c>
      <c r="H98" s="14"/>
      <c r="I98" s="13"/>
      <c r="J98" s="13"/>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row>
    <row r="99" spans="7:36" ht="15" hidden="1" customHeight="1" x14ac:dyDescent="0.2">
      <c r="G99" s="14" t="s">
        <v>5</v>
      </c>
      <c r="H99" s="14"/>
      <c r="I99" s="13"/>
      <c r="J99" s="13"/>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row>
    <row r="100" spans="7:36" ht="15" hidden="1" customHeight="1" x14ac:dyDescent="0.2">
      <c r="G100" s="14" t="s">
        <v>6</v>
      </c>
      <c r="H100" s="14"/>
      <c r="I100" s="13"/>
      <c r="J100" s="13"/>
      <c r="K100" s="75">
        <f>K173+K246</f>
        <v>0</v>
      </c>
      <c r="L100" s="75">
        <f t="shared" ref="L100:AI100" si="6">L173+L246</f>
        <v>0</v>
      </c>
      <c r="M100" s="75">
        <f t="shared" si="6"/>
        <v>0</v>
      </c>
      <c r="N100" s="75">
        <f t="shared" si="6"/>
        <v>0</v>
      </c>
      <c r="O100" s="75">
        <f t="shared" si="6"/>
        <v>0</v>
      </c>
      <c r="P100" s="75">
        <f t="shared" si="6"/>
        <v>0</v>
      </c>
      <c r="Q100" s="75">
        <f t="shared" si="6"/>
        <v>0</v>
      </c>
      <c r="R100" s="75">
        <f t="shared" si="6"/>
        <v>0</v>
      </c>
      <c r="S100" s="75">
        <f t="shared" si="6"/>
        <v>0</v>
      </c>
      <c r="T100" s="75">
        <f t="shared" si="6"/>
        <v>0</v>
      </c>
      <c r="U100" s="75">
        <f t="shared" si="6"/>
        <v>0</v>
      </c>
      <c r="V100" s="75">
        <f t="shared" si="6"/>
        <v>0</v>
      </c>
      <c r="W100" s="75">
        <f t="shared" si="6"/>
        <v>0</v>
      </c>
      <c r="X100" s="75">
        <f t="shared" si="6"/>
        <v>0</v>
      </c>
      <c r="Y100" s="75">
        <f t="shared" si="6"/>
        <v>0</v>
      </c>
      <c r="Z100" s="75">
        <f t="shared" si="6"/>
        <v>0</v>
      </c>
      <c r="AA100" s="75">
        <f t="shared" si="6"/>
        <v>0</v>
      </c>
      <c r="AB100" s="75">
        <f t="shared" si="6"/>
        <v>0</v>
      </c>
      <c r="AC100" s="75">
        <f t="shared" si="6"/>
        <v>0</v>
      </c>
      <c r="AD100" s="75">
        <f t="shared" si="6"/>
        <v>0</v>
      </c>
      <c r="AE100" s="75">
        <f t="shared" si="6"/>
        <v>0</v>
      </c>
      <c r="AF100" s="75">
        <f t="shared" si="6"/>
        <v>0</v>
      </c>
      <c r="AG100" s="75">
        <f t="shared" si="6"/>
        <v>0</v>
      </c>
      <c r="AH100" s="75">
        <f t="shared" si="6"/>
        <v>0</v>
      </c>
      <c r="AI100" s="75">
        <f t="shared" si="6"/>
        <v>0</v>
      </c>
      <c r="AJ100" s="75">
        <f>AJ173+AJ246</f>
        <v>0</v>
      </c>
    </row>
    <row r="101" spans="7:36" ht="15" hidden="1" customHeight="1" x14ac:dyDescent="0.2">
      <c r="G101" s="14"/>
      <c r="H101" s="14"/>
      <c r="I101" s="13"/>
      <c r="J101" s="13"/>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row>
    <row r="102" spans="7:36" ht="15" hidden="1" customHeight="1" x14ac:dyDescent="0.2">
      <c r="G102" s="14" t="s">
        <v>7</v>
      </c>
      <c r="H102" s="14"/>
      <c r="I102" s="13"/>
      <c r="J102" s="13"/>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row>
    <row r="103" spans="7:36" ht="15" hidden="1" customHeight="1" x14ac:dyDescent="0.2">
      <c r="G103" s="14" t="s">
        <v>8</v>
      </c>
      <c r="H103" s="14"/>
      <c r="I103" s="13"/>
      <c r="J103" s="13"/>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row>
    <row r="104" spans="7:36" ht="15" hidden="1" customHeight="1" x14ac:dyDescent="0.2">
      <c r="G104" s="14" t="s">
        <v>9</v>
      </c>
      <c r="H104" s="14"/>
      <c r="I104" s="13"/>
      <c r="J104" s="13"/>
      <c r="K104" s="75">
        <f>K177+K250</f>
        <v>0</v>
      </c>
      <c r="L104" s="75">
        <f t="shared" ref="L104:AI104" si="7">L177+L250</f>
        <v>0</v>
      </c>
      <c r="M104" s="75">
        <f t="shared" si="7"/>
        <v>0</v>
      </c>
      <c r="N104" s="75">
        <f t="shared" si="7"/>
        <v>0</v>
      </c>
      <c r="O104" s="75">
        <f t="shared" si="7"/>
        <v>0</v>
      </c>
      <c r="P104" s="75">
        <f t="shared" si="7"/>
        <v>0</v>
      </c>
      <c r="Q104" s="75">
        <f t="shared" si="7"/>
        <v>0</v>
      </c>
      <c r="R104" s="75">
        <f t="shared" si="7"/>
        <v>0</v>
      </c>
      <c r="S104" s="75">
        <f t="shared" si="7"/>
        <v>0</v>
      </c>
      <c r="T104" s="75">
        <f t="shared" si="7"/>
        <v>0</v>
      </c>
      <c r="U104" s="75">
        <f t="shared" si="7"/>
        <v>0</v>
      </c>
      <c r="V104" s="75">
        <f t="shared" si="7"/>
        <v>0</v>
      </c>
      <c r="W104" s="75">
        <f t="shared" si="7"/>
        <v>0</v>
      </c>
      <c r="X104" s="75">
        <f t="shared" si="7"/>
        <v>0</v>
      </c>
      <c r="Y104" s="75">
        <f t="shared" si="7"/>
        <v>0</v>
      </c>
      <c r="Z104" s="75">
        <f t="shared" si="7"/>
        <v>0</v>
      </c>
      <c r="AA104" s="75">
        <f t="shared" si="7"/>
        <v>0</v>
      </c>
      <c r="AB104" s="75">
        <f t="shared" si="7"/>
        <v>0</v>
      </c>
      <c r="AC104" s="75">
        <f t="shared" si="7"/>
        <v>0</v>
      </c>
      <c r="AD104" s="75">
        <f t="shared" si="7"/>
        <v>0</v>
      </c>
      <c r="AE104" s="75">
        <f t="shared" si="7"/>
        <v>0</v>
      </c>
      <c r="AF104" s="75">
        <f t="shared" si="7"/>
        <v>0</v>
      </c>
      <c r="AG104" s="75">
        <f t="shared" si="7"/>
        <v>0</v>
      </c>
      <c r="AH104" s="75">
        <f t="shared" si="7"/>
        <v>0</v>
      </c>
      <c r="AI104" s="75">
        <f t="shared" si="7"/>
        <v>0</v>
      </c>
      <c r="AJ104" s="75">
        <f>AJ177+AJ250</f>
        <v>0</v>
      </c>
    </row>
    <row r="105" spans="7:36" ht="15" hidden="1" customHeight="1" x14ac:dyDescent="0.2">
      <c r="G105" s="14"/>
      <c r="H105" s="14"/>
      <c r="I105" s="13"/>
      <c r="J105" s="13"/>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row>
    <row r="106" spans="7:36" ht="15" hidden="1" customHeight="1" x14ac:dyDescent="0.2">
      <c r="G106" s="14" t="s">
        <v>10</v>
      </c>
      <c r="H106" s="14"/>
      <c r="I106" s="13"/>
      <c r="J106" s="13"/>
      <c r="K106" s="75">
        <f>IF($K$51=0,IF(K73=$K$46,$K$45,0),IF(K$73=$K$46,$K$45*K$90,IF(OR(AND($K$46=0,K$73=$K$46),AND(K$73&gt;=$K$46+$K$51,INT((K$73-$K$46)/($K$51))=(K$73-$K$46)/($K$51))),$K$50*K$90,0)))</f>
        <v>0</v>
      </c>
      <c r="L106" s="75">
        <f t="shared" ref="L106:AJ106" si="8">IF($K$51=0,IF(L73=$K$46,$K$45,0),IF(L$73=$K$46,$K$45*L$90,IF(OR(AND($K$46=0,L$73=$K$46),AND(L$73&gt;=$K$46+$K$51,INT((L$73-$K$46)/($K$51))=(L$73-$K$46)/($K$51))),$K$50*L$90,0)))</f>
        <v>0</v>
      </c>
      <c r="M106" s="75">
        <f t="shared" si="8"/>
        <v>0</v>
      </c>
      <c r="N106" s="75">
        <f t="shared" si="8"/>
        <v>0</v>
      </c>
      <c r="O106" s="75">
        <f t="shared" si="8"/>
        <v>0</v>
      </c>
      <c r="P106" s="75">
        <f t="shared" si="8"/>
        <v>0</v>
      </c>
      <c r="Q106" s="75">
        <f t="shared" si="8"/>
        <v>0</v>
      </c>
      <c r="R106" s="75">
        <f t="shared" si="8"/>
        <v>0</v>
      </c>
      <c r="S106" s="75">
        <f t="shared" si="8"/>
        <v>0</v>
      </c>
      <c r="T106" s="75">
        <f t="shared" si="8"/>
        <v>0</v>
      </c>
      <c r="U106" s="75">
        <f t="shared" si="8"/>
        <v>0</v>
      </c>
      <c r="V106" s="75">
        <f t="shared" si="8"/>
        <v>0</v>
      </c>
      <c r="W106" s="75">
        <f t="shared" si="8"/>
        <v>0</v>
      </c>
      <c r="X106" s="75">
        <f t="shared" si="8"/>
        <v>0</v>
      </c>
      <c r="Y106" s="75">
        <f t="shared" si="8"/>
        <v>0</v>
      </c>
      <c r="Z106" s="75">
        <f t="shared" si="8"/>
        <v>0</v>
      </c>
      <c r="AA106" s="75">
        <f t="shared" si="8"/>
        <v>0</v>
      </c>
      <c r="AB106" s="75">
        <f t="shared" si="8"/>
        <v>0</v>
      </c>
      <c r="AC106" s="75">
        <f t="shared" si="8"/>
        <v>0</v>
      </c>
      <c r="AD106" s="75">
        <f t="shared" si="8"/>
        <v>0</v>
      </c>
      <c r="AE106" s="75">
        <f t="shared" si="8"/>
        <v>0</v>
      </c>
      <c r="AF106" s="75">
        <f t="shared" si="8"/>
        <v>0</v>
      </c>
      <c r="AG106" s="75">
        <f t="shared" si="8"/>
        <v>0</v>
      </c>
      <c r="AH106" s="75">
        <f t="shared" si="8"/>
        <v>0</v>
      </c>
      <c r="AI106" s="75">
        <f t="shared" si="8"/>
        <v>0</v>
      </c>
      <c r="AJ106" s="75">
        <f t="shared" si="8"/>
        <v>0</v>
      </c>
    </row>
    <row r="107" spans="7:36" ht="15" hidden="1" customHeight="1" x14ac:dyDescent="0.2">
      <c r="G107" s="14" t="s">
        <v>11</v>
      </c>
      <c r="H107" s="14"/>
      <c r="I107" s="13"/>
      <c r="J107" s="13"/>
      <c r="K107" s="31">
        <f t="shared" ref="K107:AI107" si="9">($K$48*K$90)-($K$49*K$90)</f>
        <v>0</v>
      </c>
      <c r="L107" s="31">
        <f t="shared" si="9"/>
        <v>0</v>
      </c>
      <c r="M107" s="31">
        <f t="shared" si="9"/>
        <v>0</v>
      </c>
      <c r="N107" s="31">
        <f t="shared" si="9"/>
        <v>0</v>
      </c>
      <c r="O107" s="31">
        <f t="shared" si="9"/>
        <v>0</v>
      </c>
      <c r="P107" s="31">
        <f t="shared" si="9"/>
        <v>0</v>
      </c>
      <c r="Q107" s="31">
        <f t="shared" si="9"/>
        <v>0</v>
      </c>
      <c r="R107" s="31">
        <f t="shared" si="9"/>
        <v>0</v>
      </c>
      <c r="S107" s="31">
        <f t="shared" si="9"/>
        <v>0</v>
      </c>
      <c r="T107" s="31">
        <f t="shared" si="9"/>
        <v>0</v>
      </c>
      <c r="U107" s="31">
        <f t="shared" si="9"/>
        <v>0</v>
      </c>
      <c r="V107" s="31">
        <f t="shared" si="9"/>
        <v>0</v>
      </c>
      <c r="W107" s="31">
        <f t="shared" si="9"/>
        <v>0</v>
      </c>
      <c r="X107" s="31">
        <f t="shared" si="9"/>
        <v>0</v>
      </c>
      <c r="Y107" s="31">
        <f t="shared" si="9"/>
        <v>0</v>
      </c>
      <c r="Z107" s="31">
        <f t="shared" si="9"/>
        <v>0</v>
      </c>
      <c r="AA107" s="31">
        <f t="shared" si="9"/>
        <v>0</v>
      </c>
      <c r="AB107" s="31">
        <f t="shared" si="9"/>
        <v>0</v>
      </c>
      <c r="AC107" s="31">
        <f t="shared" si="9"/>
        <v>0</v>
      </c>
      <c r="AD107" s="31">
        <f t="shared" si="9"/>
        <v>0</v>
      </c>
      <c r="AE107" s="31">
        <f t="shared" si="9"/>
        <v>0</v>
      </c>
      <c r="AF107" s="31">
        <f t="shared" si="9"/>
        <v>0</v>
      </c>
      <c r="AG107" s="31">
        <f t="shared" si="9"/>
        <v>0</v>
      </c>
      <c r="AH107" s="31">
        <f t="shared" si="9"/>
        <v>0</v>
      </c>
      <c r="AI107" s="31">
        <f t="shared" si="9"/>
        <v>0</v>
      </c>
      <c r="AJ107" s="31">
        <f>($K$48*AJ$90)-($K$49*AJ$90)</f>
        <v>0</v>
      </c>
    </row>
    <row r="108" spans="7:36" ht="15" hidden="1" customHeight="1" x14ac:dyDescent="0.2">
      <c r="G108" s="14" t="s">
        <v>12</v>
      </c>
      <c r="H108" s="14"/>
      <c r="I108" s="13"/>
      <c r="J108" s="13"/>
      <c r="K108" s="75">
        <f>K181+K254</f>
        <v>0</v>
      </c>
      <c r="L108" s="75">
        <f t="shared" ref="L108:AI108" si="10">L181+L254</f>
        <v>0</v>
      </c>
      <c r="M108" s="75">
        <f t="shared" si="10"/>
        <v>0</v>
      </c>
      <c r="N108" s="75">
        <f t="shared" si="10"/>
        <v>0</v>
      </c>
      <c r="O108" s="75">
        <f t="shared" si="10"/>
        <v>0</v>
      </c>
      <c r="P108" s="75">
        <f t="shared" si="10"/>
        <v>0</v>
      </c>
      <c r="Q108" s="75">
        <f t="shared" si="10"/>
        <v>0</v>
      </c>
      <c r="R108" s="75">
        <f t="shared" si="10"/>
        <v>0</v>
      </c>
      <c r="S108" s="75">
        <f t="shared" si="10"/>
        <v>0</v>
      </c>
      <c r="T108" s="75">
        <f t="shared" si="10"/>
        <v>0</v>
      </c>
      <c r="U108" s="75">
        <f t="shared" si="10"/>
        <v>0</v>
      </c>
      <c r="V108" s="75">
        <f t="shared" si="10"/>
        <v>0</v>
      </c>
      <c r="W108" s="75">
        <f t="shared" si="10"/>
        <v>0</v>
      </c>
      <c r="X108" s="75">
        <f t="shared" si="10"/>
        <v>0</v>
      </c>
      <c r="Y108" s="75">
        <f t="shared" si="10"/>
        <v>0</v>
      </c>
      <c r="Z108" s="75">
        <f t="shared" si="10"/>
        <v>0</v>
      </c>
      <c r="AA108" s="75">
        <f t="shared" si="10"/>
        <v>0</v>
      </c>
      <c r="AB108" s="75">
        <f t="shared" si="10"/>
        <v>0</v>
      </c>
      <c r="AC108" s="75">
        <f t="shared" si="10"/>
        <v>0</v>
      </c>
      <c r="AD108" s="75">
        <f t="shared" si="10"/>
        <v>0</v>
      </c>
      <c r="AE108" s="75">
        <f t="shared" si="10"/>
        <v>0</v>
      </c>
      <c r="AF108" s="75">
        <f t="shared" si="10"/>
        <v>0</v>
      </c>
      <c r="AG108" s="75">
        <f t="shared" si="10"/>
        <v>0</v>
      </c>
      <c r="AH108" s="75">
        <f t="shared" si="10"/>
        <v>0</v>
      </c>
      <c r="AI108" s="75">
        <f t="shared" si="10"/>
        <v>0</v>
      </c>
      <c r="AJ108" s="75">
        <f>AJ181+AJ254</f>
        <v>0</v>
      </c>
    </row>
    <row r="109" spans="7:36" ht="15" hidden="1" customHeight="1" x14ac:dyDescent="0.2">
      <c r="G109" s="14" t="s">
        <v>13</v>
      </c>
      <c r="H109" s="14"/>
      <c r="I109" s="13"/>
      <c r="J109" s="13"/>
      <c r="K109" s="75">
        <f>K182+K255</f>
        <v>0</v>
      </c>
      <c r="L109" s="75">
        <f t="shared" ref="L109:AI109" si="11">L182+L255</f>
        <v>0</v>
      </c>
      <c r="M109" s="75">
        <f t="shared" si="11"/>
        <v>0</v>
      </c>
      <c r="N109" s="75">
        <f t="shared" si="11"/>
        <v>0</v>
      </c>
      <c r="O109" s="75">
        <f t="shared" si="11"/>
        <v>0</v>
      </c>
      <c r="P109" s="75">
        <f t="shared" si="11"/>
        <v>0</v>
      </c>
      <c r="Q109" s="75">
        <f t="shared" si="11"/>
        <v>0</v>
      </c>
      <c r="R109" s="75">
        <f t="shared" si="11"/>
        <v>0</v>
      </c>
      <c r="S109" s="75">
        <f t="shared" si="11"/>
        <v>0</v>
      </c>
      <c r="T109" s="75">
        <f t="shared" si="11"/>
        <v>0</v>
      </c>
      <c r="U109" s="75">
        <f t="shared" si="11"/>
        <v>0</v>
      </c>
      <c r="V109" s="75">
        <f t="shared" si="11"/>
        <v>0</v>
      </c>
      <c r="W109" s="75">
        <f t="shared" si="11"/>
        <v>0</v>
      </c>
      <c r="X109" s="75">
        <f t="shared" si="11"/>
        <v>0</v>
      </c>
      <c r="Y109" s="75">
        <f t="shared" si="11"/>
        <v>0</v>
      </c>
      <c r="Z109" s="75">
        <f t="shared" si="11"/>
        <v>0</v>
      </c>
      <c r="AA109" s="75">
        <f t="shared" si="11"/>
        <v>0</v>
      </c>
      <c r="AB109" s="75">
        <f t="shared" si="11"/>
        <v>0</v>
      </c>
      <c r="AC109" s="75">
        <f t="shared" si="11"/>
        <v>0</v>
      </c>
      <c r="AD109" s="75">
        <f t="shared" si="11"/>
        <v>0</v>
      </c>
      <c r="AE109" s="75">
        <f t="shared" si="11"/>
        <v>0</v>
      </c>
      <c r="AF109" s="75">
        <f t="shared" si="11"/>
        <v>0</v>
      </c>
      <c r="AG109" s="75">
        <f t="shared" si="11"/>
        <v>0</v>
      </c>
      <c r="AH109" s="75">
        <f t="shared" si="11"/>
        <v>0</v>
      </c>
      <c r="AI109" s="75">
        <f t="shared" si="11"/>
        <v>0</v>
      </c>
      <c r="AJ109" s="75">
        <f>AJ182+AJ255</f>
        <v>0</v>
      </c>
    </row>
    <row r="110" spans="7:36" ht="15" hidden="1" customHeight="1" x14ac:dyDescent="0.2">
      <c r="G110" s="14"/>
      <c r="H110" s="14"/>
      <c r="I110" s="13"/>
      <c r="J110" s="13"/>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row>
    <row r="111" spans="7:36" ht="15" hidden="1" customHeight="1" x14ac:dyDescent="0.2">
      <c r="G111" s="14" t="s">
        <v>14</v>
      </c>
      <c r="H111" s="14"/>
      <c r="I111" s="13"/>
      <c r="J111" s="13"/>
      <c r="K111" s="31">
        <f t="shared" ref="K111:AI111" si="12">SUM(K106:K109)</f>
        <v>0</v>
      </c>
      <c r="L111" s="31">
        <f t="shared" si="12"/>
        <v>0</v>
      </c>
      <c r="M111" s="31">
        <f t="shared" si="12"/>
        <v>0</v>
      </c>
      <c r="N111" s="31">
        <f t="shared" si="12"/>
        <v>0</v>
      </c>
      <c r="O111" s="31">
        <f t="shared" si="12"/>
        <v>0</v>
      </c>
      <c r="P111" s="31">
        <f t="shared" si="12"/>
        <v>0</v>
      </c>
      <c r="Q111" s="31">
        <f t="shared" si="12"/>
        <v>0</v>
      </c>
      <c r="R111" s="31">
        <f t="shared" si="12"/>
        <v>0</v>
      </c>
      <c r="S111" s="31">
        <f t="shared" si="12"/>
        <v>0</v>
      </c>
      <c r="T111" s="31">
        <f t="shared" si="12"/>
        <v>0</v>
      </c>
      <c r="U111" s="31">
        <f t="shared" si="12"/>
        <v>0</v>
      </c>
      <c r="V111" s="31">
        <f t="shared" si="12"/>
        <v>0</v>
      </c>
      <c r="W111" s="31">
        <f t="shared" si="12"/>
        <v>0</v>
      </c>
      <c r="X111" s="31">
        <f t="shared" si="12"/>
        <v>0</v>
      </c>
      <c r="Y111" s="31">
        <f t="shared" si="12"/>
        <v>0</v>
      </c>
      <c r="Z111" s="31">
        <f t="shared" si="12"/>
        <v>0</v>
      </c>
      <c r="AA111" s="31">
        <f t="shared" si="12"/>
        <v>0</v>
      </c>
      <c r="AB111" s="31">
        <f t="shared" si="12"/>
        <v>0</v>
      </c>
      <c r="AC111" s="31">
        <f t="shared" si="12"/>
        <v>0</v>
      </c>
      <c r="AD111" s="31">
        <f t="shared" si="12"/>
        <v>0</v>
      </c>
      <c r="AE111" s="31">
        <f t="shared" si="12"/>
        <v>0</v>
      </c>
      <c r="AF111" s="31">
        <f t="shared" si="12"/>
        <v>0</v>
      </c>
      <c r="AG111" s="31">
        <f t="shared" si="12"/>
        <v>0</v>
      </c>
      <c r="AH111" s="31">
        <f t="shared" si="12"/>
        <v>0</v>
      </c>
      <c r="AI111" s="31">
        <f t="shared" si="12"/>
        <v>0</v>
      </c>
      <c r="AJ111" s="31">
        <f>SUM(AJ106:AJ109)</f>
        <v>0</v>
      </c>
    </row>
    <row r="112" spans="7:36" ht="15" hidden="1" customHeight="1" x14ac:dyDescent="0.2">
      <c r="G112" s="14" t="s">
        <v>15</v>
      </c>
      <c r="H112" s="14"/>
      <c r="I112" s="13"/>
      <c r="J112" s="13"/>
      <c r="K112" s="31">
        <f>K111</f>
        <v>0</v>
      </c>
      <c r="L112" s="31">
        <f t="shared" ref="L112:AI112" si="13">K112+L111</f>
        <v>0</v>
      </c>
      <c r="M112" s="31">
        <f t="shared" si="13"/>
        <v>0</v>
      </c>
      <c r="N112" s="31">
        <f t="shared" si="13"/>
        <v>0</v>
      </c>
      <c r="O112" s="31">
        <f t="shared" si="13"/>
        <v>0</v>
      </c>
      <c r="P112" s="31">
        <f t="shared" si="13"/>
        <v>0</v>
      </c>
      <c r="Q112" s="31">
        <f t="shared" si="13"/>
        <v>0</v>
      </c>
      <c r="R112" s="31">
        <f t="shared" si="13"/>
        <v>0</v>
      </c>
      <c r="S112" s="31">
        <f t="shared" si="13"/>
        <v>0</v>
      </c>
      <c r="T112" s="31">
        <f t="shared" si="13"/>
        <v>0</v>
      </c>
      <c r="U112" s="31">
        <f t="shared" si="13"/>
        <v>0</v>
      </c>
      <c r="V112" s="31">
        <f t="shared" si="13"/>
        <v>0</v>
      </c>
      <c r="W112" s="31">
        <f t="shared" si="13"/>
        <v>0</v>
      </c>
      <c r="X112" s="31">
        <f t="shared" si="13"/>
        <v>0</v>
      </c>
      <c r="Y112" s="31">
        <f t="shared" si="13"/>
        <v>0</v>
      </c>
      <c r="Z112" s="31">
        <f t="shared" si="13"/>
        <v>0</v>
      </c>
      <c r="AA112" s="31">
        <f t="shared" si="13"/>
        <v>0</v>
      </c>
      <c r="AB112" s="31">
        <f t="shared" si="13"/>
        <v>0</v>
      </c>
      <c r="AC112" s="31">
        <f t="shared" si="13"/>
        <v>0</v>
      </c>
      <c r="AD112" s="31">
        <f t="shared" si="13"/>
        <v>0</v>
      </c>
      <c r="AE112" s="31">
        <f t="shared" si="13"/>
        <v>0</v>
      </c>
      <c r="AF112" s="31">
        <f t="shared" si="13"/>
        <v>0</v>
      </c>
      <c r="AG112" s="31">
        <f t="shared" si="13"/>
        <v>0</v>
      </c>
      <c r="AH112" s="31">
        <f t="shared" si="13"/>
        <v>0</v>
      </c>
      <c r="AI112" s="31">
        <f t="shared" si="13"/>
        <v>0</v>
      </c>
      <c r="AJ112" s="31">
        <f>AI112+AJ111</f>
        <v>0</v>
      </c>
    </row>
    <row r="113" spans="7:36" ht="15" hidden="1" customHeight="1" x14ac:dyDescent="0.2">
      <c r="G113" s="13"/>
      <c r="H113" s="13"/>
      <c r="I113" s="13"/>
      <c r="J113" s="13"/>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row>
    <row r="114" spans="7:36" ht="15" hidden="1" customHeight="1" x14ac:dyDescent="0.2">
      <c r="G114" s="14" t="s">
        <v>17</v>
      </c>
      <c r="H114" s="13"/>
      <c r="I114" s="13"/>
      <c r="J114" s="13"/>
      <c r="K114" s="31">
        <f>K111/(((Data!$P$186/100)+1)^K$73)</f>
        <v>0</v>
      </c>
      <c r="L114" s="31">
        <f>L111/(((Data!$P$186/100)+1)^L$73)</f>
        <v>0</v>
      </c>
      <c r="M114" s="31">
        <f>M111/(((Data!$P$186/100)+1)^M$73)</f>
        <v>0</v>
      </c>
      <c r="N114" s="31">
        <f>N111/(((Data!$P$186/100)+1)^N$73)</f>
        <v>0</v>
      </c>
      <c r="O114" s="31">
        <f>O111/(((Data!$P$186/100)+1)^O$73)</f>
        <v>0</v>
      </c>
      <c r="P114" s="31">
        <f>P111/(((Data!$P$186/100)+1)^P$73)</f>
        <v>0</v>
      </c>
      <c r="Q114" s="31">
        <f>Q111/(((Data!$P$186/100)+1)^Q$73)</f>
        <v>0</v>
      </c>
      <c r="R114" s="31">
        <f>R111/(((Data!$P$186/100)+1)^R$73)</f>
        <v>0</v>
      </c>
      <c r="S114" s="31">
        <f>S111/(((Data!$P$186/100)+1)^S$73)</f>
        <v>0</v>
      </c>
      <c r="T114" s="31">
        <f>T111/(((Data!$P$186/100)+1)^T$73)</f>
        <v>0</v>
      </c>
      <c r="U114" s="31">
        <f>U111/(((Data!$P$186/100)+1)^U$73)</f>
        <v>0</v>
      </c>
      <c r="V114" s="31">
        <f>V111/(((Data!$P$186/100)+1)^V$73)</f>
        <v>0</v>
      </c>
      <c r="W114" s="31">
        <f>W111/(((Data!$P$186/100)+1)^W$73)</f>
        <v>0</v>
      </c>
      <c r="X114" s="31">
        <f>X111/(((Data!$P$186/100)+1)^X$73)</f>
        <v>0</v>
      </c>
      <c r="Y114" s="31">
        <f>Y111/(((Data!$P$186/100)+1)^Y$73)</f>
        <v>0</v>
      </c>
      <c r="Z114" s="31">
        <f>Z111/(((Data!$P$186/100)+1)^Z$73)</f>
        <v>0</v>
      </c>
      <c r="AA114" s="31">
        <f>AA111/(((Data!$P$186/100)+1)^AA$73)</f>
        <v>0</v>
      </c>
      <c r="AB114" s="31">
        <f>AB111/(((Data!$P$186/100)+1)^AB$73)</f>
        <v>0</v>
      </c>
      <c r="AC114" s="31">
        <f>AC111/(((Data!$P$186/100)+1)^AC$73)</f>
        <v>0</v>
      </c>
      <c r="AD114" s="31">
        <f>AD111/(((Data!$P$186/100)+1)^AD$73)</f>
        <v>0</v>
      </c>
      <c r="AE114" s="31">
        <f>AE111/(((Data!$P$186/100)+1)^AE$73)</f>
        <v>0</v>
      </c>
      <c r="AF114" s="31">
        <f>AF111/(((Data!$P$186/100)+1)^AF$73)</f>
        <v>0</v>
      </c>
      <c r="AG114" s="31">
        <f>AG111/(((Data!$P$186/100)+1)^AG$73)</f>
        <v>0</v>
      </c>
      <c r="AH114" s="31">
        <f>AH111/(((Data!$P$186/100)+1)^AH$73)</f>
        <v>0</v>
      </c>
      <c r="AI114" s="31">
        <f>AI111/(((Data!$P$186/100)+1)^AI$73)</f>
        <v>0</v>
      </c>
      <c r="AJ114" s="31">
        <f>AJ111/(((Data!$P$186/100)+1)^AJ$73)</f>
        <v>0</v>
      </c>
    </row>
    <row r="115" spans="7:36" ht="15" hidden="1" customHeight="1" x14ac:dyDescent="0.2">
      <c r="G115" s="30" t="s">
        <v>186</v>
      </c>
      <c r="H115" s="33"/>
      <c r="I115" s="13"/>
      <c r="J115" s="13"/>
      <c r="K115" s="34">
        <f>K114</f>
        <v>0</v>
      </c>
      <c r="L115" s="34">
        <f t="shared" ref="L115:AI115" si="14">K115+L114</f>
        <v>0</v>
      </c>
      <c r="M115" s="34">
        <f t="shared" si="14"/>
        <v>0</v>
      </c>
      <c r="N115" s="34">
        <f t="shared" si="14"/>
        <v>0</v>
      </c>
      <c r="O115" s="34">
        <f t="shared" si="14"/>
        <v>0</v>
      </c>
      <c r="P115" s="34">
        <f t="shared" si="14"/>
        <v>0</v>
      </c>
      <c r="Q115" s="34">
        <f t="shared" si="14"/>
        <v>0</v>
      </c>
      <c r="R115" s="34">
        <f t="shared" si="14"/>
        <v>0</v>
      </c>
      <c r="S115" s="34">
        <f t="shared" si="14"/>
        <v>0</v>
      </c>
      <c r="T115" s="34">
        <f t="shared" si="14"/>
        <v>0</v>
      </c>
      <c r="U115" s="34">
        <f t="shared" si="14"/>
        <v>0</v>
      </c>
      <c r="V115" s="34">
        <f t="shared" si="14"/>
        <v>0</v>
      </c>
      <c r="W115" s="34">
        <f t="shared" si="14"/>
        <v>0</v>
      </c>
      <c r="X115" s="34">
        <f t="shared" si="14"/>
        <v>0</v>
      </c>
      <c r="Y115" s="34">
        <f t="shared" si="14"/>
        <v>0</v>
      </c>
      <c r="Z115" s="34">
        <f t="shared" si="14"/>
        <v>0</v>
      </c>
      <c r="AA115" s="34">
        <f t="shared" si="14"/>
        <v>0</v>
      </c>
      <c r="AB115" s="34">
        <f t="shared" si="14"/>
        <v>0</v>
      </c>
      <c r="AC115" s="34">
        <f t="shared" si="14"/>
        <v>0</v>
      </c>
      <c r="AD115" s="34">
        <f t="shared" si="14"/>
        <v>0</v>
      </c>
      <c r="AE115" s="34">
        <f t="shared" si="14"/>
        <v>0</v>
      </c>
      <c r="AF115" s="34">
        <f t="shared" si="14"/>
        <v>0</v>
      </c>
      <c r="AG115" s="34">
        <f t="shared" si="14"/>
        <v>0</v>
      </c>
      <c r="AH115" s="34">
        <f t="shared" si="14"/>
        <v>0</v>
      </c>
      <c r="AI115" s="34">
        <f t="shared" si="14"/>
        <v>0</v>
      </c>
      <c r="AJ115" s="34">
        <f>AI115+AJ114</f>
        <v>0</v>
      </c>
    </row>
    <row r="116" spans="7:36" ht="15" hidden="1" customHeight="1" x14ac:dyDescent="0.2">
      <c r="G116" s="8"/>
      <c r="H116" s="8"/>
      <c r="I116" s="8"/>
      <c r="J116" s="8"/>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row>
    <row r="117" spans="7:36" ht="15" hidden="1" customHeight="1" x14ac:dyDescent="0.2">
      <c r="G117" s="532" t="s">
        <v>525</v>
      </c>
      <c r="H117" s="17"/>
      <c r="I117" s="13"/>
      <c r="J117" s="13"/>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row>
    <row r="118" spans="7:36" ht="15" hidden="1" customHeight="1" x14ac:dyDescent="0.2">
      <c r="G118" s="17"/>
      <c r="H118" s="17"/>
      <c r="I118" s="13"/>
      <c r="J118" s="13"/>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row>
    <row r="119" spans="7:36" ht="15" hidden="1" customHeight="1" x14ac:dyDescent="0.2">
      <c r="G119" s="17" t="s">
        <v>2</v>
      </c>
      <c r="H119" s="60"/>
      <c r="I119" s="60"/>
      <c r="J119" s="60"/>
      <c r="K119" s="125"/>
      <c r="L119" s="125"/>
      <c r="M119" s="125"/>
      <c r="N119" s="125"/>
      <c r="O119" s="125"/>
      <c r="P119" s="125"/>
      <c r="Q119" s="125"/>
      <c r="R119" s="125"/>
      <c r="S119" s="125"/>
      <c r="T119" s="125"/>
      <c r="U119" s="125"/>
      <c r="V119" s="125"/>
      <c r="W119" s="125"/>
      <c r="X119" s="125"/>
      <c r="Y119" s="125"/>
      <c r="Z119" s="125"/>
      <c r="AA119" s="125"/>
      <c r="AB119" s="125"/>
      <c r="AC119" s="125"/>
      <c r="AD119" s="125"/>
      <c r="AE119" s="125"/>
      <c r="AF119" s="125"/>
      <c r="AG119" s="125"/>
      <c r="AH119" s="125"/>
      <c r="AI119" s="125"/>
      <c r="AJ119" s="125"/>
    </row>
    <row r="120" spans="7:36" ht="15" hidden="1" customHeight="1" x14ac:dyDescent="0.2">
      <c r="G120" s="17" t="s">
        <v>1</v>
      </c>
      <c r="H120" s="60"/>
      <c r="I120" s="60"/>
      <c r="J120" s="60"/>
      <c r="K120" s="125"/>
      <c r="L120" s="125"/>
      <c r="M120" s="125"/>
      <c r="N120" s="125"/>
      <c r="O120" s="125"/>
      <c r="P120" s="125"/>
      <c r="Q120" s="125"/>
      <c r="R120" s="125"/>
      <c r="S120" s="125"/>
      <c r="T120" s="125"/>
      <c r="U120" s="125"/>
      <c r="V120" s="125"/>
      <c r="W120" s="125"/>
      <c r="X120" s="125"/>
      <c r="Y120" s="125"/>
      <c r="Z120" s="125"/>
      <c r="AA120" s="125"/>
      <c r="AB120" s="125"/>
      <c r="AC120" s="125"/>
      <c r="AD120" s="125"/>
      <c r="AE120" s="125"/>
      <c r="AF120" s="125"/>
      <c r="AG120" s="125"/>
      <c r="AH120" s="125"/>
      <c r="AI120" s="125"/>
      <c r="AJ120" s="125"/>
    </row>
    <row r="121" spans="7:36" ht="15" hidden="1" customHeight="1" x14ac:dyDescent="0.2">
      <c r="G121" s="60"/>
      <c r="H121" s="60"/>
      <c r="I121" s="60"/>
      <c r="J121" s="60"/>
      <c r="K121" s="60"/>
      <c r="L121" s="13"/>
      <c r="M121" s="60"/>
      <c r="N121" s="60"/>
      <c r="O121" s="60"/>
      <c r="P121" s="60"/>
      <c r="Q121" s="60"/>
      <c r="R121" s="61"/>
      <c r="S121" s="60"/>
      <c r="T121" s="60"/>
      <c r="U121" s="60"/>
      <c r="V121" s="60"/>
      <c r="W121" s="60"/>
      <c r="X121" s="60"/>
      <c r="Y121" s="60"/>
      <c r="Z121" s="60"/>
      <c r="AA121" s="60"/>
      <c r="AB121" s="60"/>
      <c r="AC121" s="60"/>
      <c r="AD121" s="60"/>
      <c r="AE121" s="60"/>
      <c r="AF121" s="60"/>
      <c r="AG121" s="60"/>
      <c r="AH121" s="60"/>
      <c r="AI121" s="60"/>
      <c r="AJ121" s="60"/>
    </row>
    <row r="122" spans="7:36" ht="15" hidden="1" customHeight="1" x14ac:dyDescent="0.2">
      <c r="G122" s="17" t="s">
        <v>4</v>
      </c>
      <c r="H122" s="17"/>
      <c r="I122" s="13"/>
      <c r="J122" s="1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row>
    <row r="123" spans="7:36" ht="15" hidden="1" customHeight="1" x14ac:dyDescent="0.2">
      <c r="G123" s="17" t="s">
        <v>5</v>
      </c>
      <c r="H123" s="17"/>
      <c r="I123" s="13"/>
      <c r="J123" s="1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row>
    <row r="124" spans="7:36" ht="15" hidden="1" customHeight="1" x14ac:dyDescent="0.2">
      <c r="G124" s="17" t="s">
        <v>6</v>
      </c>
      <c r="H124" s="17"/>
      <c r="I124" s="13"/>
      <c r="J124" s="13"/>
      <c r="K124" s="80" t="e">
        <f>K197+K270</f>
        <v>#DIV/0!</v>
      </c>
      <c r="L124" s="80" t="e">
        <f t="shared" ref="L124:AI124" si="15">L197+L270</f>
        <v>#DIV/0!</v>
      </c>
      <c r="M124" s="80" t="e">
        <f t="shared" si="15"/>
        <v>#DIV/0!</v>
      </c>
      <c r="N124" s="80" t="e">
        <f t="shared" si="15"/>
        <v>#DIV/0!</v>
      </c>
      <c r="O124" s="80" t="e">
        <f t="shared" si="15"/>
        <v>#DIV/0!</v>
      </c>
      <c r="P124" s="80" t="e">
        <f t="shared" si="15"/>
        <v>#DIV/0!</v>
      </c>
      <c r="Q124" s="80" t="e">
        <f t="shared" si="15"/>
        <v>#DIV/0!</v>
      </c>
      <c r="R124" s="80" t="e">
        <f t="shared" si="15"/>
        <v>#DIV/0!</v>
      </c>
      <c r="S124" s="80" t="e">
        <f t="shared" si="15"/>
        <v>#DIV/0!</v>
      </c>
      <c r="T124" s="80" t="e">
        <f t="shared" si="15"/>
        <v>#DIV/0!</v>
      </c>
      <c r="U124" s="80" t="e">
        <f t="shared" si="15"/>
        <v>#DIV/0!</v>
      </c>
      <c r="V124" s="80" t="e">
        <f t="shared" si="15"/>
        <v>#DIV/0!</v>
      </c>
      <c r="W124" s="80" t="e">
        <f t="shared" si="15"/>
        <v>#DIV/0!</v>
      </c>
      <c r="X124" s="80" t="e">
        <f t="shared" si="15"/>
        <v>#DIV/0!</v>
      </c>
      <c r="Y124" s="80" t="e">
        <f t="shared" si="15"/>
        <v>#DIV/0!</v>
      </c>
      <c r="Z124" s="80" t="e">
        <f t="shared" si="15"/>
        <v>#DIV/0!</v>
      </c>
      <c r="AA124" s="80" t="e">
        <f t="shared" si="15"/>
        <v>#DIV/0!</v>
      </c>
      <c r="AB124" s="80" t="e">
        <f t="shared" si="15"/>
        <v>#DIV/0!</v>
      </c>
      <c r="AC124" s="80" t="e">
        <f t="shared" si="15"/>
        <v>#DIV/0!</v>
      </c>
      <c r="AD124" s="80" t="e">
        <f t="shared" si="15"/>
        <v>#DIV/0!</v>
      </c>
      <c r="AE124" s="80" t="e">
        <f t="shared" si="15"/>
        <v>#DIV/0!</v>
      </c>
      <c r="AF124" s="80" t="e">
        <f t="shared" si="15"/>
        <v>#DIV/0!</v>
      </c>
      <c r="AG124" s="80" t="e">
        <f t="shared" si="15"/>
        <v>#DIV/0!</v>
      </c>
      <c r="AH124" s="80" t="e">
        <f t="shared" si="15"/>
        <v>#DIV/0!</v>
      </c>
      <c r="AI124" s="80" t="e">
        <f t="shared" si="15"/>
        <v>#DIV/0!</v>
      </c>
      <c r="AJ124" s="80" t="e">
        <f>AJ197+AJ270</f>
        <v>#DIV/0!</v>
      </c>
    </row>
    <row r="125" spans="7:36" ht="15" hidden="1" customHeight="1" x14ac:dyDescent="0.2">
      <c r="G125" s="17"/>
      <c r="H125" s="17"/>
      <c r="I125" s="13"/>
      <c r="J125" s="13"/>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row>
    <row r="126" spans="7:36" ht="15" hidden="1" customHeight="1" x14ac:dyDescent="0.2">
      <c r="G126" s="17" t="s">
        <v>7</v>
      </c>
      <c r="H126" s="17"/>
      <c r="I126" s="13"/>
      <c r="J126" s="1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row>
    <row r="127" spans="7:36" ht="15" hidden="1" customHeight="1" x14ac:dyDescent="0.2">
      <c r="G127" s="17" t="s">
        <v>8</v>
      </c>
      <c r="H127" s="17"/>
      <c r="I127" s="13"/>
      <c r="J127" s="1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row>
    <row r="128" spans="7:36" ht="15" hidden="1" customHeight="1" x14ac:dyDescent="0.2">
      <c r="G128" s="17" t="s">
        <v>9</v>
      </c>
      <c r="H128" s="17"/>
      <c r="I128" s="13"/>
      <c r="J128" s="13"/>
      <c r="K128" s="80" t="e">
        <f>K201+K274</f>
        <v>#DIV/0!</v>
      </c>
      <c r="L128" s="80" t="e">
        <f t="shared" ref="L128:AI128" si="16">L201+L274</f>
        <v>#DIV/0!</v>
      </c>
      <c r="M128" s="80" t="e">
        <f t="shared" si="16"/>
        <v>#DIV/0!</v>
      </c>
      <c r="N128" s="80" t="e">
        <f t="shared" si="16"/>
        <v>#DIV/0!</v>
      </c>
      <c r="O128" s="80" t="e">
        <f t="shared" si="16"/>
        <v>#DIV/0!</v>
      </c>
      <c r="P128" s="80" t="e">
        <f t="shared" si="16"/>
        <v>#DIV/0!</v>
      </c>
      <c r="Q128" s="80" t="e">
        <f t="shared" si="16"/>
        <v>#DIV/0!</v>
      </c>
      <c r="R128" s="80" t="e">
        <f t="shared" si="16"/>
        <v>#DIV/0!</v>
      </c>
      <c r="S128" s="80" t="e">
        <f t="shared" si="16"/>
        <v>#DIV/0!</v>
      </c>
      <c r="T128" s="80" t="e">
        <f t="shared" si="16"/>
        <v>#DIV/0!</v>
      </c>
      <c r="U128" s="80" t="e">
        <f t="shared" si="16"/>
        <v>#DIV/0!</v>
      </c>
      <c r="V128" s="80" t="e">
        <f t="shared" si="16"/>
        <v>#DIV/0!</v>
      </c>
      <c r="W128" s="80" t="e">
        <f t="shared" si="16"/>
        <v>#DIV/0!</v>
      </c>
      <c r="X128" s="80" t="e">
        <f t="shared" si="16"/>
        <v>#DIV/0!</v>
      </c>
      <c r="Y128" s="80" t="e">
        <f t="shared" si="16"/>
        <v>#DIV/0!</v>
      </c>
      <c r="Z128" s="80" t="e">
        <f t="shared" si="16"/>
        <v>#DIV/0!</v>
      </c>
      <c r="AA128" s="80" t="e">
        <f t="shared" si="16"/>
        <v>#DIV/0!</v>
      </c>
      <c r="AB128" s="80" t="e">
        <f t="shared" si="16"/>
        <v>#DIV/0!</v>
      </c>
      <c r="AC128" s="80" t="e">
        <f t="shared" si="16"/>
        <v>#DIV/0!</v>
      </c>
      <c r="AD128" s="80" t="e">
        <f t="shared" si="16"/>
        <v>#DIV/0!</v>
      </c>
      <c r="AE128" s="80" t="e">
        <f t="shared" si="16"/>
        <v>#DIV/0!</v>
      </c>
      <c r="AF128" s="80" t="e">
        <f t="shared" si="16"/>
        <v>#DIV/0!</v>
      </c>
      <c r="AG128" s="80" t="e">
        <f t="shared" si="16"/>
        <v>#DIV/0!</v>
      </c>
      <c r="AH128" s="80" t="e">
        <f t="shared" si="16"/>
        <v>#DIV/0!</v>
      </c>
      <c r="AI128" s="80" t="e">
        <f t="shared" si="16"/>
        <v>#DIV/0!</v>
      </c>
      <c r="AJ128" s="80" t="e">
        <f>AJ201+AJ274</f>
        <v>#DIV/0!</v>
      </c>
    </row>
    <row r="129" spans="7:38" ht="15" hidden="1" customHeight="1" x14ac:dyDescent="0.2">
      <c r="G129" s="17"/>
      <c r="H129" s="17"/>
      <c r="I129" s="13"/>
      <c r="J129" s="13"/>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row>
    <row r="130" spans="7:38" ht="15" hidden="1" customHeight="1" x14ac:dyDescent="0.2">
      <c r="G130" s="17" t="s">
        <v>10</v>
      </c>
      <c r="H130" s="17"/>
      <c r="I130" s="13"/>
      <c r="J130" s="13"/>
      <c r="K130" s="80">
        <f>IF($Q$51=0,IF(K73=$Q$46,$Q$45,0),IF(K$73=$Q$46,$Q$45*K$90,IF(OR(AND($Q$46=0,K$73=$Q$46),AND(K$73&gt;=$Q$46+$Q$51,INT((K$73-$Q$46)/($Q$51))=(K$73-$Q$46)/($Q$51))),$Q$50*K$90,0)))</f>
        <v>0</v>
      </c>
      <c r="L130" s="80">
        <f t="shared" ref="L130:AI130" si="17">IF($Q$51=0,IF(L73=$Q$46,$Q$45,0),IF(L$73=$Q$46,$Q$45*L$90,IF(OR(AND($Q$46=0,L$73=$Q$46),AND(L$73&gt;=$Q$46+$Q$51,INT((L$73-$Q$46)/($Q$51))=(L$73-$Q$46)/($Q$51))),$Q$50*L$90,0)))</f>
        <v>0</v>
      </c>
      <c r="M130" s="80">
        <f t="shared" si="17"/>
        <v>0</v>
      </c>
      <c r="N130" s="80">
        <f t="shared" si="17"/>
        <v>0</v>
      </c>
      <c r="O130" s="80">
        <f t="shared" si="17"/>
        <v>0</v>
      </c>
      <c r="P130" s="80">
        <f t="shared" si="17"/>
        <v>0</v>
      </c>
      <c r="Q130" s="80">
        <f t="shared" si="17"/>
        <v>0</v>
      </c>
      <c r="R130" s="80">
        <f t="shared" si="17"/>
        <v>0</v>
      </c>
      <c r="S130" s="80">
        <f t="shared" si="17"/>
        <v>0</v>
      </c>
      <c r="T130" s="80">
        <f t="shared" si="17"/>
        <v>0</v>
      </c>
      <c r="U130" s="80">
        <f t="shared" si="17"/>
        <v>0</v>
      </c>
      <c r="V130" s="80">
        <f t="shared" si="17"/>
        <v>0</v>
      </c>
      <c r="W130" s="80">
        <f t="shared" si="17"/>
        <v>0</v>
      </c>
      <c r="X130" s="80">
        <f t="shared" si="17"/>
        <v>0</v>
      </c>
      <c r="Y130" s="80">
        <f t="shared" si="17"/>
        <v>0</v>
      </c>
      <c r="Z130" s="80">
        <f t="shared" si="17"/>
        <v>0</v>
      </c>
      <c r="AA130" s="80">
        <f t="shared" si="17"/>
        <v>0</v>
      </c>
      <c r="AB130" s="80">
        <f t="shared" si="17"/>
        <v>0</v>
      </c>
      <c r="AC130" s="80">
        <f t="shared" si="17"/>
        <v>0</v>
      </c>
      <c r="AD130" s="80">
        <f t="shared" si="17"/>
        <v>0</v>
      </c>
      <c r="AE130" s="80">
        <f t="shared" si="17"/>
        <v>0</v>
      </c>
      <c r="AF130" s="80">
        <f t="shared" si="17"/>
        <v>0</v>
      </c>
      <c r="AG130" s="80">
        <f t="shared" si="17"/>
        <v>0</v>
      </c>
      <c r="AH130" s="80">
        <f t="shared" si="17"/>
        <v>0</v>
      </c>
      <c r="AI130" s="80">
        <f t="shared" si="17"/>
        <v>0</v>
      </c>
      <c r="AJ130" s="80">
        <f>IF($Q$51=0,IF(AJ73=$Q$46,$Q$45,0),IF(AJ$73=$Q$46,$Q$45*AJ$90,IF(OR(AND($Q$46=0,AJ$73=$Q$46),AND(AJ$73&gt;=$Q$46+$Q$51,INT((AJ$73-$Q$46)/($Q$51))=(AJ$73-$Q$46)/($Q$51))),$Q$50*AJ$90,0)))</f>
        <v>0</v>
      </c>
    </row>
    <row r="131" spans="7:38" ht="15" hidden="1" customHeight="1" x14ac:dyDescent="0.2">
      <c r="G131" s="17" t="s">
        <v>11</v>
      </c>
      <c r="H131" s="17"/>
      <c r="I131" s="13"/>
      <c r="J131" s="13"/>
      <c r="K131" s="35">
        <f>IF(K$73&lt;$Q$46,($K$48*K$90)-($K$49*K$90),($Q$48*K$90)-($Q$49*K$90))</f>
        <v>0</v>
      </c>
      <c r="L131" s="35">
        <f t="shared" ref="L131:AI131" si="18">IF(L$73&lt;$Q$46,($K$48*L$90)-($K$49*L$90),($Q$48*L$90)-($Q$49*L$90))</f>
        <v>0</v>
      </c>
      <c r="M131" s="35">
        <f t="shared" si="18"/>
        <v>0</v>
      </c>
      <c r="N131" s="35">
        <f t="shared" si="18"/>
        <v>0</v>
      </c>
      <c r="O131" s="35">
        <f t="shared" si="18"/>
        <v>0</v>
      </c>
      <c r="P131" s="35">
        <f t="shared" si="18"/>
        <v>0</v>
      </c>
      <c r="Q131" s="35">
        <f t="shared" si="18"/>
        <v>0</v>
      </c>
      <c r="R131" s="35">
        <f t="shared" si="18"/>
        <v>0</v>
      </c>
      <c r="S131" s="35">
        <f t="shared" si="18"/>
        <v>0</v>
      </c>
      <c r="T131" s="35">
        <f t="shared" si="18"/>
        <v>0</v>
      </c>
      <c r="U131" s="35">
        <f t="shared" si="18"/>
        <v>0</v>
      </c>
      <c r="V131" s="35">
        <f t="shared" si="18"/>
        <v>0</v>
      </c>
      <c r="W131" s="35">
        <f t="shared" si="18"/>
        <v>0</v>
      </c>
      <c r="X131" s="35">
        <f t="shared" si="18"/>
        <v>0</v>
      </c>
      <c r="Y131" s="35">
        <f t="shared" si="18"/>
        <v>0</v>
      </c>
      <c r="Z131" s="35">
        <f t="shared" si="18"/>
        <v>0</v>
      </c>
      <c r="AA131" s="35">
        <f t="shared" si="18"/>
        <v>0</v>
      </c>
      <c r="AB131" s="35">
        <f t="shared" si="18"/>
        <v>0</v>
      </c>
      <c r="AC131" s="35">
        <f t="shared" si="18"/>
        <v>0</v>
      </c>
      <c r="AD131" s="35">
        <f t="shared" si="18"/>
        <v>0</v>
      </c>
      <c r="AE131" s="35">
        <f t="shared" si="18"/>
        <v>0</v>
      </c>
      <c r="AF131" s="35">
        <f t="shared" si="18"/>
        <v>0</v>
      </c>
      <c r="AG131" s="35">
        <f t="shared" si="18"/>
        <v>0</v>
      </c>
      <c r="AH131" s="35">
        <f t="shared" si="18"/>
        <v>0</v>
      </c>
      <c r="AI131" s="35">
        <f t="shared" si="18"/>
        <v>0</v>
      </c>
      <c r="AJ131" s="35">
        <f>IF(AJ$73&lt;$Q$46,($K$48*AJ$90)-($K$49*AJ$90),($Q$48*AJ$90)-($Q$49*AJ$90))</f>
        <v>0</v>
      </c>
      <c r="AL131" s="121"/>
    </row>
    <row r="132" spans="7:38" ht="15" hidden="1" customHeight="1" x14ac:dyDescent="0.2">
      <c r="G132" s="17" t="s">
        <v>12</v>
      </c>
      <c r="H132" s="17"/>
      <c r="I132" s="13"/>
      <c r="J132" s="13"/>
      <c r="K132" s="80" t="e">
        <f>K205+K278</f>
        <v>#DIV/0!</v>
      </c>
      <c r="L132" s="80" t="e">
        <f t="shared" ref="L132:AI132" si="19">L205+L278</f>
        <v>#DIV/0!</v>
      </c>
      <c r="M132" s="80" t="e">
        <f t="shared" si="19"/>
        <v>#DIV/0!</v>
      </c>
      <c r="N132" s="80" t="e">
        <f t="shared" si="19"/>
        <v>#DIV/0!</v>
      </c>
      <c r="O132" s="80" t="e">
        <f t="shared" si="19"/>
        <v>#DIV/0!</v>
      </c>
      <c r="P132" s="80" t="e">
        <f t="shared" si="19"/>
        <v>#DIV/0!</v>
      </c>
      <c r="Q132" s="80" t="e">
        <f t="shared" si="19"/>
        <v>#DIV/0!</v>
      </c>
      <c r="R132" s="80" t="e">
        <f t="shared" si="19"/>
        <v>#DIV/0!</v>
      </c>
      <c r="S132" s="80" t="e">
        <f t="shared" si="19"/>
        <v>#DIV/0!</v>
      </c>
      <c r="T132" s="80" t="e">
        <f t="shared" si="19"/>
        <v>#DIV/0!</v>
      </c>
      <c r="U132" s="80" t="e">
        <f t="shared" si="19"/>
        <v>#DIV/0!</v>
      </c>
      <c r="V132" s="80" t="e">
        <f t="shared" si="19"/>
        <v>#DIV/0!</v>
      </c>
      <c r="W132" s="80" t="e">
        <f t="shared" si="19"/>
        <v>#DIV/0!</v>
      </c>
      <c r="X132" s="80" t="e">
        <f t="shared" si="19"/>
        <v>#DIV/0!</v>
      </c>
      <c r="Y132" s="80" t="e">
        <f t="shared" si="19"/>
        <v>#DIV/0!</v>
      </c>
      <c r="Z132" s="80" t="e">
        <f t="shared" si="19"/>
        <v>#DIV/0!</v>
      </c>
      <c r="AA132" s="80" t="e">
        <f t="shared" si="19"/>
        <v>#DIV/0!</v>
      </c>
      <c r="AB132" s="80" t="e">
        <f t="shared" si="19"/>
        <v>#DIV/0!</v>
      </c>
      <c r="AC132" s="80" t="e">
        <f t="shared" si="19"/>
        <v>#DIV/0!</v>
      </c>
      <c r="AD132" s="80" t="e">
        <f t="shared" si="19"/>
        <v>#DIV/0!</v>
      </c>
      <c r="AE132" s="80" t="e">
        <f t="shared" si="19"/>
        <v>#DIV/0!</v>
      </c>
      <c r="AF132" s="80" t="e">
        <f t="shared" si="19"/>
        <v>#DIV/0!</v>
      </c>
      <c r="AG132" s="80" t="e">
        <f t="shared" si="19"/>
        <v>#DIV/0!</v>
      </c>
      <c r="AH132" s="80" t="e">
        <f t="shared" si="19"/>
        <v>#DIV/0!</v>
      </c>
      <c r="AI132" s="80" t="e">
        <f t="shared" si="19"/>
        <v>#DIV/0!</v>
      </c>
      <c r="AJ132" s="80" t="e">
        <f>AJ205+AJ278</f>
        <v>#DIV/0!</v>
      </c>
    </row>
    <row r="133" spans="7:38" ht="15" hidden="1" customHeight="1" x14ac:dyDescent="0.2">
      <c r="G133" s="17" t="s">
        <v>13</v>
      </c>
      <c r="H133" s="17"/>
      <c r="I133" s="13"/>
      <c r="J133" s="13"/>
      <c r="K133" s="80" t="e">
        <f>K206+K279</f>
        <v>#DIV/0!</v>
      </c>
      <c r="L133" s="80" t="e">
        <f t="shared" ref="L133:AI133" si="20">L206+L279</f>
        <v>#DIV/0!</v>
      </c>
      <c r="M133" s="80" t="e">
        <f t="shared" si="20"/>
        <v>#DIV/0!</v>
      </c>
      <c r="N133" s="80" t="e">
        <f t="shared" si="20"/>
        <v>#DIV/0!</v>
      </c>
      <c r="O133" s="80" t="e">
        <f t="shared" si="20"/>
        <v>#DIV/0!</v>
      </c>
      <c r="P133" s="80" t="e">
        <f t="shared" si="20"/>
        <v>#DIV/0!</v>
      </c>
      <c r="Q133" s="80" t="e">
        <f t="shared" si="20"/>
        <v>#DIV/0!</v>
      </c>
      <c r="R133" s="80" t="e">
        <f t="shared" si="20"/>
        <v>#DIV/0!</v>
      </c>
      <c r="S133" s="80" t="e">
        <f t="shared" si="20"/>
        <v>#DIV/0!</v>
      </c>
      <c r="T133" s="80" t="e">
        <f t="shared" si="20"/>
        <v>#DIV/0!</v>
      </c>
      <c r="U133" s="80" t="e">
        <f t="shared" si="20"/>
        <v>#DIV/0!</v>
      </c>
      <c r="V133" s="80" t="e">
        <f t="shared" si="20"/>
        <v>#DIV/0!</v>
      </c>
      <c r="W133" s="80" t="e">
        <f t="shared" si="20"/>
        <v>#DIV/0!</v>
      </c>
      <c r="X133" s="80" t="e">
        <f t="shared" si="20"/>
        <v>#DIV/0!</v>
      </c>
      <c r="Y133" s="80" t="e">
        <f t="shared" si="20"/>
        <v>#DIV/0!</v>
      </c>
      <c r="Z133" s="80" t="e">
        <f t="shared" si="20"/>
        <v>#DIV/0!</v>
      </c>
      <c r="AA133" s="80" t="e">
        <f t="shared" si="20"/>
        <v>#DIV/0!</v>
      </c>
      <c r="AB133" s="80" t="e">
        <f t="shared" si="20"/>
        <v>#DIV/0!</v>
      </c>
      <c r="AC133" s="80" t="e">
        <f t="shared" si="20"/>
        <v>#DIV/0!</v>
      </c>
      <c r="AD133" s="80" t="e">
        <f t="shared" si="20"/>
        <v>#DIV/0!</v>
      </c>
      <c r="AE133" s="80" t="e">
        <f t="shared" si="20"/>
        <v>#DIV/0!</v>
      </c>
      <c r="AF133" s="80" t="e">
        <f t="shared" si="20"/>
        <v>#DIV/0!</v>
      </c>
      <c r="AG133" s="80" t="e">
        <f t="shared" si="20"/>
        <v>#DIV/0!</v>
      </c>
      <c r="AH133" s="80" t="e">
        <f t="shared" si="20"/>
        <v>#DIV/0!</v>
      </c>
      <c r="AI133" s="80" t="e">
        <f t="shared" si="20"/>
        <v>#DIV/0!</v>
      </c>
      <c r="AJ133" s="80" t="e">
        <f>AJ206+AJ279</f>
        <v>#DIV/0!</v>
      </c>
    </row>
    <row r="134" spans="7:38" ht="15" hidden="1" customHeight="1" x14ac:dyDescent="0.2">
      <c r="G134" s="17"/>
      <c r="H134" s="17"/>
      <c r="I134" s="13"/>
      <c r="J134" s="13"/>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row>
    <row r="135" spans="7:38" ht="15" hidden="1" customHeight="1" x14ac:dyDescent="0.2">
      <c r="G135" s="17" t="s">
        <v>14</v>
      </c>
      <c r="H135" s="17"/>
      <c r="I135" s="13"/>
      <c r="J135" s="13"/>
      <c r="K135" s="35" t="e">
        <f>SUM(K130:K133)</f>
        <v>#DIV/0!</v>
      </c>
      <c r="L135" s="35" t="e">
        <f t="shared" ref="L135:AH135" si="21">SUM(L130:L133)</f>
        <v>#DIV/0!</v>
      </c>
      <c r="M135" s="35" t="e">
        <f t="shared" si="21"/>
        <v>#DIV/0!</v>
      </c>
      <c r="N135" s="35" t="e">
        <f t="shared" si="21"/>
        <v>#DIV/0!</v>
      </c>
      <c r="O135" s="35" t="e">
        <f t="shared" si="21"/>
        <v>#DIV/0!</v>
      </c>
      <c r="P135" s="35" t="e">
        <f t="shared" si="21"/>
        <v>#DIV/0!</v>
      </c>
      <c r="Q135" s="35" t="e">
        <f t="shared" si="21"/>
        <v>#DIV/0!</v>
      </c>
      <c r="R135" s="35" t="e">
        <f t="shared" si="21"/>
        <v>#DIV/0!</v>
      </c>
      <c r="S135" s="35" t="e">
        <f t="shared" si="21"/>
        <v>#DIV/0!</v>
      </c>
      <c r="T135" s="35" t="e">
        <f t="shared" si="21"/>
        <v>#DIV/0!</v>
      </c>
      <c r="U135" s="35" t="e">
        <f t="shared" si="21"/>
        <v>#DIV/0!</v>
      </c>
      <c r="V135" s="35" t="e">
        <f t="shared" si="21"/>
        <v>#DIV/0!</v>
      </c>
      <c r="W135" s="35" t="e">
        <f t="shared" si="21"/>
        <v>#DIV/0!</v>
      </c>
      <c r="X135" s="35" t="e">
        <f t="shared" si="21"/>
        <v>#DIV/0!</v>
      </c>
      <c r="Y135" s="35" t="e">
        <f t="shared" si="21"/>
        <v>#DIV/0!</v>
      </c>
      <c r="Z135" s="35" t="e">
        <f t="shared" si="21"/>
        <v>#DIV/0!</v>
      </c>
      <c r="AA135" s="35" t="e">
        <f t="shared" si="21"/>
        <v>#DIV/0!</v>
      </c>
      <c r="AB135" s="35" t="e">
        <f t="shared" si="21"/>
        <v>#DIV/0!</v>
      </c>
      <c r="AC135" s="35" t="e">
        <f t="shared" si="21"/>
        <v>#DIV/0!</v>
      </c>
      <c r="AD135" s="35" t="e">
        <f t="shared" si="21"/>
        <v>#DIV/0!</v>
      </c>
      <c r="AE135" s="35" t="e">
        <f t="shared" si="21"/>
        <v>#DIV/0!</v>
      </c>
      <c r="AF135" s="35" t="e">
        <f t="shared" si="21"/>
        <v>#DIV/0!</v>
      </c>
      <c r="AG135" s="35" t="e">
        <f t="shared" si="21"/>
        <v>#DIV/0!</v>
      </c>
      <c r="AH135" s="35" t="e">
        <f t="shared" si="21"/>
        <v>#DIV/0!</v>
      </c>
      <c r="AI135" s="35" t="e">
        <f>SUM(AI130:AI133)</f>
        <v>#DIV/0!</v>
      </c>
      <c r="AJ135" s="35" t="e">
        <f>SUM(AJ130:AJ133)</f>
        <v>#DIV/0!</v>
      </c>
    </row>
    <row r="136" spans="7:38" ht="15" hidden="1" customHeight="1" x14ac:dyDescent="0.2">
      <c r="G136" s="17" t="s">
        <v>435</v>
      </c>
      <c r="H136" s="17"/>
      <c r="I136" s="13"/>
      <c r="J136" s="13"/>
      <c r="K136" s="35" t="e">
        <f>K135</f>
        <v>#DIV/0!</v>
      </c>
      <c r="L136" s="35" t="e">
        <f t="shared" ref="L136:AI136" si="22">K136+L135</f>
        <v>#DIV/0!</v>
      </c>
      <c r="M136" s="35" t="e">
        <f t="shared" si="22"/>
        <v>#DIV/0!</v>
      </c>
      <c r="N136" s="35" t="e">
        <f t="shared" si="22"/>
        <v>#DIV/0!</v>
      </c>
      <c r="O136" s="35" t="e">
        <f t="shared" si="22"/>
        <v>#DIV/0!</v>
      </c>
      <c r="P136" s="35" t="e">
        <f t="shared" si="22"/>
        <v>#DIV/0!</v>
      </c>
      <c r="Q136" s="35" t="e">
        <f t="shared" si="22"/>
        <v>#DIV/0!</v>
      </c>
      <c r="R136" s="35" t="e">
        <f t="shared" si="22"/>
        <v>#DIV/0!</v>
      </c>
      <c r="S136" s="35" t="e">
        <f t="shared" si="22"/>
        <v>#DIV/0!</v>
      </c>
      <c r="T136" s="35" t="e">
        <f t="shared" si="22"/>
        <v>#DIV/0!</v>
      </c>
      <c r="U136" s="35" t="e">
        <f t="shared" si="22"/>
        <v>#DIV/0!</v>
      </c>
      <c r="V136" s="35" t="e">
        <f t="shared" si="22"/>
        <v>#DIV/0!</v>
      </c>
      <c r="W136" s="35" t="e">
        <f t="shared" si="22"/>
        <v>#DIV/0!</v>
      </c>
      <c r="X136" s="35" t="e">
        <f t="shared" si="22"/>
        <v>#DIV/0!</v>
      </c>
      <c r="Y136" s="35" t="e">
        <f t="shared" si="22"/>
        <v>#DIV/0!</v>
      </c>
      <c r="Z136" s="35" t="e">
        <f t="shared" si="22"/>
        <v>#DIV/0!</v>
      </c>
      <c r="AA136" s="35" t="e">
        <f t="shared" si="22"/>
        <v>#DIV/0!</v>
      </c>
      <c r="AB136" s="35" t="e">
        <f t="shared" si="22"/>
        <v>#DIV/0!</v>
      </c>
      <c r="AC136" s="35" t="e">
        <f t="shared" si="22"/>
        <v>#DIV/0!</v>
      </c>
      <c r="AD136" s="35" t="e">
        <f t="shared" si="22"/>
        <v>#DIV/0!</v>
      </c>
      <c r="AE136" s="35" t="e">
        <f t="shared" si="22"/>
        <v>#DIV/0!</v>
      </c>
      <c r="AF136" s="35" t="e">
        <f t="shared" si="22"/>
        <v>#DIV/0!</v>
      </c>
      <c r="AG136" s="35" t="e">
        <f t="shared" si="22"/>
        <v>#DIV/0!</v>
      </c>
      <c r="AH136" s="35" t="e">
        <f t="shared" si="22"/>
        <v>#DIV/0!</v>
      </c>
      <c r="AI136" s="35" t="e">
        <f t="shared" si="22"/>
        <v>#DIV/0!</v>
      </c>
      <c r="AJ136" s="35" t="e">
        <f>AI136+AJ135</f>
        <v>#DIV/0!</v>
      </c>
    </row>
    <row r="137" spans="7:38" ht="15" hidden="1" customHeight="1" x14ac:dyDescent="0.2">
      <c r="G137" s="17"/>
      <c r="H137" s="17"/>
      <c r="I137" s="13"/>
      <c r="J137" s="13"/>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row>
    <row r="138" spans="7:38" ht="15" hidden="1" customHeight="1" x14ac:dyDescent="0.2">
      <c r="G138" s="17" t="s">
        <v>17</v>
      </c>
      <c r="H138" s="17"/>
      <c r="I138" s="13"/>
      <c r="J138" s="13"/>
      <c r="K138" s="35" t="e">
        <f>K135/(((Data!$P$186/100)+1)^K$73)</f>
        <v>#DIV/0!</v>
      </c>
      <c r="L138" s="35" t="e">
        <f>L135/(((Data!$P$186/100)+1)^L$73)</f>
        <v>#DIV/0!</v>
      </c>
      <c r="M138" s="35" t="e">
        <f>M135/(((Data!$P$186/100)+1)^M$73)</f>
        <v>#DIV/0!</v>
      </c>
      <c r="N138" s="35" t="e">
        <f>N135/(((Data!$P$186/100)+1)^N$73)</f>
        <v>#DIV/0!</v>
      </c>
      <c r="O138" s="35" t="e">
        <f>O135/(((Data!$P$186/100)+1)^O$73)</f>
        <v>#DIV/0!</v>
      </c>
      <c r="P138" s="35" t="e">
        <f>P135/(((Data!$P$186/100)+1)^P$73)</f>
        <v>#DIV/0!</v>
      </c>
      <c r="Q138" s="35" t="e">
        <f>Q135/(((Data!$P$186/100)+1)^Q$73)</f>
        <v>#DIV/0!</v>
      </c>
      <c r="R138" s="35" t="e">
        <f>R135/(((Data!$P$186/100)+1)^R$73)</f>
        <v>#DIV/0!</v>
      </c>
      <c r="S138" s="35" t="e">
        <f>S135/(((Data!$P$186/100)+1)^S$73)</f>
        <v>#DIV/0!</v>
      </c>
      <c r="T138" s="35" t="e">
        <f>T135/(((Data!$P$186/100)+1)^T$73)</f>
        <v>#DIV/0!</v>
      </c>
      <c r="U138" s="35" t="e">
        <f>U135/(((Data!$P$186/100)+1)^U$73)</f>
        <v>#DIV/0!</v>
      </c>
      <c r="V138" s="35" t="e">
        <f>V135/(((Data!$P$186/100)+1)^V$73)</f>
        <v>#DIV/0!</v>
      </c>
      <c r="W138" s="35" t="e">
        <f>W135/(((Data!$P$186/100)+1)^W$73)</f>
        <v>#DIV/0!</v>
      </c>
      <c r="X138" s="35" t="e">
        <f>X135/(((Data!$P$186/100)+1)^X$73)</f>
        <v>#DIV/0!</v>
      </c>
      <c r="Y138" s="35" t="e">
        <f>Y135/(((Data!$P$186/100)+1)^Y$73)</f>
        <v>#DIV/0!</v>
      </c>
      <c r="Z138" s="35" t="e">
        <f>Z135/(((Data!$P$186/100)+1)^Z$73)</f>
        <v>#DIV/0!</v>
      </c>
      <c r="AA138" s="35" t="e">
        <f>AA135/(((Data!$P$186/100)+1)^AA$73)</f>
        <v>#DIV/0!</v>
      </c>
      <c r="AB138" s="35" t="e">
        <f>AB135/(((Data!$P$186/100)+1)^AB$73)</f>
        <v>#DIV/0!</v>
      </c>
      <c r="AC138" s="35" t="e">
        <f>AC135/(((Data!$P$186/100)+1)^AC$73)</f>
        <v>#DIV/0!</v>
      </c>
      <c r="AD138" s="35" t="e">
        <f>AD135/(((Data!$P$186/100)+1)^AD$73)</f>
        <v>#DIV/0!</v>
      </c>
      <c r="AE138" s="35" t="e">
        <f>AE135/(((Data!$P$186/100)+1)^AE$73)</f>
        <v>#DIV/0!</v>
      </c>
      <c r="AF138" s="35" t="e">
        <f>AF135/(((Data!$P$186/100)+1)^AF$73)</f>
        <v>#DIV/0!</v>
      </c>
      <c r="AG138" s="35" t="e">
        <f>AG135/(((Data!$P$186/100)+1)^AG$73)</f>
        <v>#DIV/0!</v>
      </c>
      <c r="AH138" s="35" t="e">
        <f>AH135/(((Data!$P$186/100)+1)^AH$73)</f>
        <v>#DIV/0!</v>
      </c>
      <c r="AI138" s="35" t="e">
        <f>AI135/(((Data!$P$186/100)+1)^AI$73)</f>
        <v>#DIV/0!</v>
      </c>
      <c r="AJ138" s="35" t="e">
        <f>AJ135/(((Data!$P$186/100)+1)^AJ$73)</f>
        <v>#DIV/0!</v>
      </c>
    </row>
    <row r="139" spans="7:38" ht="15" hidden="1" customHeight="1" x14ac:dyDescent="0.2">
      <c r="G139" s="15" t="s">
        <v>184</v>
      </c>
      <c r="H139" s="15"/>
      <c r="I139" s="13"/>
      <c r="J139" s="13"/>
      <c r="K139" s="36" t="e">
        <f>K138</f>
        <v>#DIV/0!</v>
      </c>
      <c r="L139" s="36" t="e">
        <f t="shared" ref="L139:AI139" si="23">K139+L138</f>
        <v>#DIV/0!</v>
      </c>
      <c r="M139" s="36" t="e">
        <f t="shared" si="23"/>
        <v>#DIV/0!</v>
      </c>
      <c r="N139" s="36" t="e">
        <f t="shared" si="23"/>
        <v>#DIV/0!</v>
      </c>
      <c r="O139" s="36" t="e">
        <f t="shared" si="23"/>
        <v>#DIV/0!</v>
      </c>
      <c r="P139" s="36" t="e">
        <f t="shared" si="23"/>
        <v>#DIV/0!</v>
      </c>
      <c r="Q139" s="36" t="e">
        <f t="shared" si="23"/>
        <v>#DIV/0!</v>
      </c>
      <c r="R139" s="36" t="e">
        <f t="shared" si="23"/>
        <v>#DIV/0!</v>
      </c>
      <c r="S139" s="36" t="e">
        <f t="shared" si="23"/>
        <v>#DIV/0!</v>
      </c>
      <c r="T139" s="36" t="e">
        <f t="shared" si="23"/>
        <v>#DIV/0!</v>
      </c>
      <c r="U139" s="36" t="e">
        <f t="shared" si="23"/>
        <v>#DIV/0!</v>
      </c>
      <c r="V139" s="36" t="e">
        <f t="shared" si="23"/>
        <v>#DIV/0!</v>
      </c>
      <c r="W139" s="36" t="e">
        <f t="shared" si="23"/>
        <v>#DIV/0!</v>
      </c>
      <c r="X139" s="36" t="e">
        <f t="shared" si="23"/>
        <v>#DIV/0!</v>
      </c>
      <c r="Y139" s="36" t="e">
        <f t="shared" si="23"/>
        <v>#DIV/0!</v>
      </c>
      <c r="Z139" s="36" t="e">
        <f t="shared" si="23"/>
        <v>#DIV/0!</v>
      </c>
      <c r="AA139" s="36" t="e">
        <f t="shared" si="23"/>
        <v>#DIV/0!</v>
      </c>
      <c r="AB139" s="36" t="e">
        <f t="shared" si="23"/>
        <v>#DIV/0!</v>
      </c>
      <c r="AC139" s="36" t="e">
        <f t="shared" si="23"/>
        <v>#DIV/0!</v>
      </c>
      <c r="AD139" s="36" t="e">
        <f t="shared" si="23"/>
        <v>#DIV/0!</v>
      </c>
      <c r="AE139" s="36" t="e">
        <f t="shared" si="23"/>
        <v>#DIV/0!</v>
      </c>
      <c r="AF139" s="36" t="e">
        <f t="shared" si="23"/>
        <v>#DIV/0!</v>
      </c>
      <c r="AG139" s="36" t="e">
        <f t="shared" si="23"/>
        <v>#DIV/0!</v>
      </c>
      <c r="AH139" s="36" t="e">
        <f t="shared" si="23"/>
        <v>#DIV/0!</v>
      </c>
      <c r="AI139" s="36" t="e">
        <f t="shared" si="23"/>
        <v>#DIV/0!</v>
      </c>
      <c r="AJ139" s="36" t="e">
        <f>AI139+AJ138</f>
        <v>#DIV/0!</v>
      </c>
    </row>
    <row r="140" spans="7:38" ht="15" hidden="1" customHeight="1" x14ac:dyDescent="0.2">
      <c r="G140" s="8"/>
      <c r="H140" s="8"/>
      <c r="I140" s="8"/>
      <c r="J140" s="8"/>
      <c r="K140" s="8"/>
      <c r="L140" s="8"/>
      <c r="M140" s="8"/>
      <c r="N140" s="8"/>
      <c r="O140" s="8"/>
      <c r="P140" s="8"/>
      <c r="Q140" s="8"/>
      <c r="R140" s="8"/>
      <c r="S140" s="8"/>
      <c r="T140" s="9"/>
      <c r="U140" s="8"/>
      <c r="V140" s="8"/>
      <c r="W140" s="8"/>
      <c r="X140" s="8"/>
      <c r="Y140" s="8"/>
      <c r="Z140" s="8"/>
      <c r="AA140" s="8"/>
      <c r="AB140" s="8"/>
      <c r="AC140" s="8"/>
      <c r="AD140" s="8"/>
      <c r="AE140" s="8"/>
      <c r="AF140" s="8"/>
      <c r="AG140" s="8"/>
      <c r="AH140" s="8"/>
      <c r="AI140" s="8"/>
      <c r="AJ140" s="8"/>
    </row>
    <row r="141" spans="7:38" ht="15" hidden="1" customHeight="1" x14ac:dyDescent="0.2">
      <c r="G141" s="906" t="s">
        <v>530</v>
      </c>
      <c r="H141" s="839"/>
      <c r="I141" s="839"/>
      <c r="J141" s="839"/>
      <c r="K141" s="917"/>
      <c r="L141" s="917"/>
      <c r="M141" s="917"/>
      <c r="N141" s="917"/>
      <c r="O141" s="917"/>
      <c r="P141" s="917"/>
      <c r="Q141" s="917"/>
      <c r="R141" s="917"/>
      <c r="S141" s="917"/>
      <c r="T141" s="917"/>
      <c r="U141" s="917"/>
      <c r="V141" s="917"/>
      <c r="W141" s="917"/>
      <c r="X141" s="917"/>
      <c r="Y141" s="917"/>
      <c r="Z141" s="917"/>
      <c r="AA141" s="917"/>
      <c r="AB141" s="917"/>
      <c r="AC141" s="917"/>
      <c r="AD141" s="917"/>
      <c r="AE141" s="917"/>
      <c r="AF141" s="917"/>
      <c r="AG141" s="917"/>
      <c r="AH141" s="917"/>
      <c r="AI141" s="917"/>
      <c r="AJ141" s="917"/>
    </row>
    <row r="142" spans="7:38" ht="15" hidden="1" customHeight="1" x14ac:dyDescent="0.2">
      <c r="G142" s="839"/>
      <c r="H142" s="839"/>
      <c r="I142" s="839"/>
      <c r="J142" s="839"/>
      <c r="K142" s="917"/>
      <c r="L142" s="917"/>
      <c r="M142" s="917"/>
      <c r="N142" s="917"/>
      <c r="O142" s="917"/>
      <c r="P142" s="917"/>
      <c r="Q142" s="917"/>
      <c r="R142" s="917"/>
      <c r="S142" s="917"/>
      <c r="T142" s="917"/>
      <c r="U142" s="917"/>
      <c r="V142" s="917"/>
      <c r="W142" s="917"/>
      <c r="X142" s="917"/>
      <c r="Y142" s="917"/>
      <c r="Z142" s="917"/>
      <c r="AA142" s="917"/>
      <c r="AB142" s="917"/>
      <c r="AC142" s="917"/>
      <c r="AD142" s="917"/>
      <c r="AE142" s="917"/>
      <c r="AF142" s="917"/>
      <c r="AG142" s="917"/>
      <c r="AH142" s="917"/>
      <c r="AI142" s="917"/>
      <c r="AJ142" s="917"/>
    </row>
    <row r="143" spans="7:38" ht="15" hidden="1" customHeight="1" x14ac:dyDescent="0.2">
      <c r="G143" s="839" t="s">
        <v>2</v>
      </c>
      <c r="H143" s="864"/>
      <c r="I143" s="864"/>
      <c r="J143" s="864"/>
      <c r="K143" s="926"/>
      <c r="L143" s="926"/>
      <c r="M143" s="926"/>
      <c r="N143" s="926"/>
      <c r="O143" s="926"/>
      <c r="P143" s="926"/>
      <c r="Q143" s="926"/>
      <c r="R143" s="926"/>
      <c r="S143" s="926"/>
      <c r="T143" s="926"/>
      <c r="U143" s="926"/>
      <c r="V143" s="926"/>
      <c r="W143" s="926"/>
      <c r="X143" s="926"/>
      <c r="Y143" s="926"/>
      <c r="Z143" s="926"/>
      <c r="AA143" s="926"/>
      <c r="AB143" s="926"/>
      <c r="AC143" s="926"/>
      <c r="AD143" s="926"/>
      <c r="AE143" s="926"/>
      <c r="AF143" s="926"/>
      <c r="AG143" s="926"/>
      <c r="AH143" s="926"/>
      <c r="AI143" s="926"/>
      <c r="AJ143" s="926"/>
    </row>
    <row r="144" spans="7:38" ht="15" hidden="1" customHeight="1" x14ac:dyDescent="0.2">
      <c r="G144" s="839" t="s">
        <v>1</v>
      </c>
      <c r="H144" s="864"/>
      <c r="I144" s="864"/>
      <c r="J144" s="864"/>
      <c r="K144" s="926"/>
      <c r="L144" s="926"/>
      <c r="M144" s="926"/>
      <c r="N144" s="926"/>
      <c r="O144" s="926"/>
      <c r="P144" s="926"/>
      <c r="Q144" s="926"/>
      <c r="R144" s="926"/>
      <c r="S144" s="926"/>
      <c r="T144" s="926"/>
      <c r="U144" s="926"/>
      <c r="V144" s="926"/>
      <c r="W144" s="926"/>
      <c r="X144" s="926"/>
      <c r="Y144" s="926"/>
      <c r="Z144" s="926"/>
      <c r="AA144" s="926"/>
      <c r="AB144" s="926"/>
      <c r="AC144" s="926"/>
      <c r="AD144" s="926"/>
      <c r="AE144" s="926"/>
      <c r="AF144" s="926"/>
      <c r="AG144" s="926"/>
      <c r="AH144" s="926"/>
      <c r="AI144" s="926"/>
      <c r="AJ144" s="926"/>
    </row>
    <row r="145" spans="7:38" ht="15" hidden="1" customHeight="1" x14ac:dyDescent="0.2">
      <c r="G145" s="864"/>
      <c r="H145" s="864"/>
      <c r="I145" s="864"/>
      <c r="J145" s="864"/>
      <c r="K145" s="864"/>
      <c r="L145" s="864"/>
      <c r="M145" s="864"/>
      <c r="N145" s="864"/>
      <c r="O145" s="864"/>
      <c r="P145" s="864"/>
      <c r="Q145" s="864"/>
      <c r="R145" s="864"/>
      <c r="S145" s="864"/>
      <c r="T145" s="864"/>
      <c r="U145" s="864"/>
      <c r="V145" s="864"/>
      <c r="W145" s="864"/>
      <c r="X145" s="864"/>
      <c r="Y145" s="864"/>
      <c r="Z145" s="864"/>
      <c r="AA145" s="864"/>
      <c r="AB145" s="864"/>
      <c r="AC145" s="864"/>
      <c r="AD145" s="864"/>
      <c r="AE145" s="864"/>
      <c r="AF145" s="864"/>
      <c r="AG145" s="864"/>
      <c r="AH145" s="864"/>
      <c r="AI145" s="864"/>
      <c r="AJ145" s="864"/>
    </row>
    <row r="146" spans="7:38" ht="15" hidden="1" customHeight="1" x14ac:dyDescent="0.2">
      <c r="G146" s="839" t="s">
        <v>4</v>
      </c>
      <c r="H146" s="839"/>
      <c r="I146" s="839"/>
      <c r="J146" s="839"/>
      <c r="K146" s="920"/>
      <c r="L146" s="920"/>
      <c r="M146" s="920"/>
      <c r="N146" s="920"/>
      <c r="O146" s="920"/>
      <c r="P146" s="920"/>
      <c r="Q146" s="920"/>
      <c r="R146" s="920"/>
      <c r="S146" s="920"/>
      <c r="T146" s="920"/>
      <c r="U146" s="920"/>
      <c r="V146" s="920"/>
      <c r="W146" s="920"/>
      <c r="X146" s="920"/>
      <c r="Y146" s="920"/>
      <c r="Z146" s="920"/>
      <c r="AA146" s="920"/>
      <c r="AB146" s="920"/>
      <c r="AC146" s="920"/>
      <c r="AD146" s="920"/>
      <c r="AE146" s="920"/>
      <c r="AF146" s="920"/>
      <c r="AG146" s="920"/>
      <c r="AH146" s="920"/>
      <c r="AI146" s="920"/>
      <c r="AJ146" s="920"/>
    </row>
    <row r="147" spans="7:38" ht="15" hidden="1" customHeight="1" x14ac:dyDescent="0.2">
      <c r="G147" s="839" t="s">
        <v>5</v>
      </c>
      <c r="H147" s="839"/>
      <c r="I147" s="839"/>
      <c r="J147" s="839"/>
      <c r="K147" s="920"/>
      <c r="L147" s="920"/>
      <c r="M147" s="920"/>
      <c r="N147" s="920"/>
      <c r="O147" s="920"/>
      <c r="P147" s="920"/>
      <c r="Q147" s="920"/>
      <c r="R147" s="920"/>
      <c r="S147" s="920"/>
      <c r="T147" s="920"/>
      <c r="U147" s="920"/>
      <c r="V147" s="920"/>
      <c r="W147" s="920"/>
      <c r="X147" s="920"/>
      <c r="Y147" s="920"/>
      <c r="Z147" s="920"/>
      <c r="AA147" s="920"/>
      <c r="AB147" s="920"/>
      <c r="AC147" s="920"/>
      <c r="AD147" s="920"/>
      <c r="AE147" s="920"/>
      <c r="AF147" s="920"/>
      <c r="AG147" s="920"/>
      <c r="AH147" s="920"/>
      <c r="AI147" s="920"/>
      <c r="AJ147" s="920"/>
    </row>
    <row r="148" spans="7:38" ht="15" hidden="1" customHeight="1" x14ac:dyDescent="0.2">
      <c r="G148" s="839" t="s">
        <v>6</v>
      </c>
      <c r="H148" s="839"/>
      <c r="I148" s="839"/>
      <c r="J148" s="839"/>
      <c r="K148" s="918" t="e">
        <f>K221+K294</f>
        <v>#DIV/0!</v>
      </c>
      <c r="L148" s="918" t="e">
        <f t="shared" ref="L148:AI148" si="24">L221+L294</f>
        <v>#DIV/0!</v>
      </c>
      <c r="M148" s="918" t="e">
        <f t="shared" si="24"/>
        <v>#DIV/0!</v>
      </c>
      <c r="N148" s="918" t="e">
        <f t="shared" si="24"/>
        <v>#DIV/0!</v>
      </c>
      <c r="O148" s="918" t="e">
        <f t="shared" si="24"/>
        <v>#DIV/0!</v>
      </c>
      <c r="P148" s="918" t="e">
        <f t="shared" si="24"/>
        <v>#DIV/0!</v>
      </c>
      <c r="Q148" s="918" t="e">
        <f t="shared" si="24"/>
        <v>#DIV/0!</v>
      </c>
      <c r="R148" s="918" t="e">
        <f t="shared" si="24"/>
        <v>#DIV/0!</v>
      </c>
      <c r="S148" s="918" t="e">
        <f t="shared" si="24"/>
        <v>#DIV/0!</v>
      </c>
      <c r="T148" s="918" t="e">
        <f t="shared" si="24"/>
        <v>#DIV/0!</v>
      </c>
      <c r="U148" s="918" t="e">
        <f t="shared" si="24"/>
        <v>#DIV/0!</v>
      </c>
      <c r="V148" s="918" t="e">
        <f t="shared" si="24"/>
        <v>#DIV/0!</v>
      </c>
      <c r="W148" s="918" t="e">
        <f t="shared" si="24"/>
        <v>#DIV/0!</v>
      </c>
      <c r="X148" s="918" t="e">
        <f t="shared" si="24"/>
        <v>#DIV/0!</v>
      </c>
      <c r="Y148" s="918" t="e">
        <f t="shared" si="24"/>
        <v>#DIV/0!</v>
      </c>
      <c r="Z148" s="918" t="e">
        <f t="shared" si="24"/>
        <v>#DIV/0!</v>
      </c>
      <c r="AA148" s="918" t="e">
        <f t="shared" si="24"/>
        <v>#DIV/0!</v>
      </c>
      <c r="AB148" s="918" t="e">
        <f t="shared" si="24"/>
        <v>#DIV/0!</v>
      </c>
      <c r="AC148" s="918" t="e">
        <f t="shared" si="24"/>
        <v>#DIV/0!</v>
      </c>
      <c r="AD148" s="918" t="e">
        <f t="shared" si="24"/>
        <v>#DIV/0!</v>
      </c>
      <c r="AE148" s="918" t="e">
        <f t="shared" si="24"/>
        <v>#DIV/0!</v>
      </c>
      <c r="AF148" s="918" t="e">
        <f t="shared" si="24"/>
        <v>#DIV/0!</v>
      </c>
      <c r="AG148" s="918" t="e">
        <f t="shared" si="24"/>
        <v>#DIV/0!</v>
      </c>
      <c r="AH148" s="918" t="e">
        <f t="shared" si="24"/>
        <v>#DIV/0!</v>
      </c>
      <c r="AI148" s="918" t="e">
        <f t="shared" si="24"/>
        <v>#DIV/0!</v>
      </c>
      <c r="AJ148" s="918" t="e">
        <f>AJ221+AJ294</f>
        <v>#DIV/0!</v>
      </c>
    </row>
    <row r="149" spans="7:38" ht="15" hidden="1" customHeight="1" x14ac:dyDescent="0.2">
      <c r="G149" s="839"/>
      <c r="H149" s="839"/>
      <c r="I149" s="839"/>
      <c r="J149" s="839"/>
      <c r="K149" s="917"/>
      <c r="L149" s="917"/>
      <c r="M149" s="917"/>
      <c r="N149" s="917"/>
      <c r="O149" s="917"/>
      <c r="P149" s="917"/>
      <c r="Q149" s="917"/>
      <c r="R149" s="917"/>
      <c r="S149" s="917"/>
      <c r="T149" s="917"/>
      <c r="U149" s="917"/>
      <c r="V149" s="917"/>
      <c r="W149" s="917"/>
      <c r="X149" s="917"/>
      <c r="Y149" s="917"/>
      <c r="Z149" s="917"/>
      <c r="AA149" s="917"/>
      <c r="AB149" s="917"/>
      <c r="AC149" s="917"/>
      <c r="AD149" s="917"/>
      <c r="AE149" s="917"/>
      <c r="AF149" s="917"/>
      <c r="AG149" s="917"/>
      <c r="AH149" s="917"/>
      <c r="AI149" s="917"/>
      <c r="AJ149" s="917"/>
    </row>
    <row r="150" spans="7:38" ht="15" hidden="1" customHeight="1" x14ac:dyDescent="0.2">
      <c r="G150" s="839" t="s">
        <v>7</v>
      </c>
      <c r="H150" s="839"/>
      <c r="I150" s="839"/>
      <c r="J150" s="839"/>
      <c r="K150" s="920"/>
      <c r="L150" s="920"/>
      <c r="M150" s="920"/>
      <c r="N150" s="920"/>
      <c r="O150" s="920"/>
      <c r="P150" s="920"/>
      <c r="Q150" s="920"/>
      <c r="R150" s="920"/>
      <c r="S150" s="920"/>
      <c r="T150" s="920"/>
      <c r="U150" s="920"/>
      <c r="V150" s="920"/>
      <c r="W150" s="920"/>
      <c r="X150" s="920"/>
      <c r="Y150" s="920"/>
      <c r="Z150" s="920"/>
      <c r="AA150" s="920"/>
      <c r="AB150" s="920"/>
      <c r="AC150" s="920"/>
      <c r="AD150" s="920"/>
      <c r="AE150" s="920"/>
      <c r="AF150" s="920"/>
      <c r="AG150" s="920"/>
      <c r="AH150" s="920"/>
      <c r="AI150" s="920"/>
      <c r="AJ150" s="920"/>
    </row>
    <row r="151" spans="7:38" ht="15" hidden="1" customHeight="1" x14ac:dyDescent="0.2">
      <c r="G151" s="839" t="s">
        <v>8</v>
      </c>
      <c r="H151" s="839"/>
      <c r="I151" s="839"/>
      <c r="J151" s="839"/>
      <c r="K151" s="920"/>
      <c r="L151" s="920"/>
      <c r="M151" s="920"/>
      <c r="N151" s="920"/>
      <c r="O151" s="920"/>
      <c r="P151" s="920"/>
      <c r="Q151" s="920"/>
      <c r="R151" s="920"/>
      <c r="S151" s="920"/>
      <c r="T151" s="920"/>
      <c r="U151" s="920"/>
      <c r="V151" s="920"/>
      <c r="W151" s="920"/>
      <c r="X151" s="920"/>
      <c r="Y151" s="920"/>
      <c r="Z151" s="920"/>
      <c r="AA151" s="920"/>
      <c r="AB151" s="920"/>
      <c r="AC151" s="920"/>
      <c r="AD151" s="920"/>
      <c r="AE151" s="920"/>
      <c r="AF151" s="920"/>
      <c r="AG151" s="920"/>
      <c r="AH151" s="920"/>
      <c r="AI151" s="920"/>
      <c r="AJ151" s="920"/>
    </row>
    <row r="152" spans="7:38" ht="15" hidden="1" customHeight="1" x14ac:dyDescent="0.2">
      <c r="G152" s="839" t="s">
        <v>9</v>
      </c>
      <c r="H152" s="839"/>
      <c r="I152" s="839"/>
      <c r="J152" s="839"/>
      <c r="K152" s="918" t="e">
        <f>K225+K298</f>
        <v>#DIV/0!</v>
      </c>
      <c r="L152" s="918" t="e">
        <f t="shared" ref="L152:AI152" si="25">L225+L298</f>
        <v>#DIV/0!</v>
      </c>
      <c r="M152" s="918" t="e">
        <f t="shared" si="25"/>
        <v>#DIV/0!</v>
      </c>
      <c r="N152" s="918" t="e">
        <f t="shared" si="25"/>
        <v>#DIV/0!</v>
      </c>
      <c r="O152" s="918" t="e">
        <f t="shared" si="25"/>
        <v>#DIV/0!</v>
      </c>
      <c r="P152" s="918" t="e">
        <f t="shared" si="25"/>
        <v>#DIV/0!</v>
      </c>
      <c r="Q152" s="918" t="e">
        <f t="shared" si="25"/>
        <v>#DIV/0!</v>
      </c>
      <c r="R152" s="918" t="e">
        <f t="shared" si="25"/>
        <v>#DIV/0!</v>
      </c>
      <c r="S152" s="918" t="e">
        <f t="shared" si="25"/>
        <v>#DIV/0!</v>
      </c>
      <c r="T152" s="918" t="e">
        <f t="shared" si="25"/>
        <v>#DIV/0!</v>
      </c>
      <c r="U152" s="918" t="e">
        <f t="shared" si="25"/>
        <v>#DIV/0!</v>
      </c>
      <c r="V152" s="918" t="e">
        <f t="shared" si="25"/>
        <v>#DIV/0!</v>
      </c>
      <c r="W152" s="918" t="e">
        <f t="shared" si="25"/>
        <v>#DIV/0!</v>
      </c>
      <c r="X152" s="918" t="e">
        <f t="shared" si="25"/>
        <v>#DIV/0!</v>
      </c>
      <c r="Y152" s="918" t="e">
        <f t="shared" si="25"/>
        <v>#DIV/0!</v>
      </c>
      <c r="Z152" s="918" t="e">
        <f t="shared" si="25"/>
        <v>#DIV/0!</v>
      </c>
      <c r="AA152" s="918" t="e">
        <f t="shared" si="25"/>
        <v>#DIV/0!</v>
      </c>
      <c r="AB152" s="918" t="e">
        <f t="shared" si="25"/>
        <v>#DIV/0!</v>
      </c>
      <c r="AC152" s="918" t="e">
        <f t="shared" si="25"/>
        <v>#DIV/0!</v>
      </c>
      <c r="AD152" s="918" t="e">
        <f t="shared" si="25"/>
        <v>#DIV/0!</v>
      </c>
      <c r="AE152" s="918" t="e">
        <f t="shared" si="25"/>
        <v>#DIV/0!</v>
      </c>
      <c r="AF152" s="918" t="e">
        <f t="shared" si="25"/>
        <v>#DIV/0!</v>
      </c>
      <c r="AG152" s="918" t="e">
        <f t="shared" si="25"/>
        <v>#DIV/0!</v>
      </c>
      <c r="AH152" s="918" t="e">
        <f t="shared" si="25"/>
        <v>#DIV/0!</v>
      </c>
      <c r="AI152" s="918" t="e">
        <f t="shared" si="25"/>
        <v>#DIV/0!</v>
      </c>
      <c r="AJ152" s="918" t="e">
        <f>AJ225+AJ298</f>
        <v>#DIV/0!</v>
      </c>
    </row>
    <row r="153" spans="7:38" ht="15" hidden="1" customHeight="1" x14ac:dyDescent="0.2">
      <c r="G153" s="839"/>
      <c r="H153" s="839"/>
      <c r="I153" s="839"/>
      <c r="J153" s="839"/>
      <c r="K153" s="917"/>
      <c r="L153" s="917"/>
      <c r="M153" s="917"/>
      <c r="N153" s="917"/>
      <c r="O153" s="917"/>
      <c r="P153" s="917"/>
      <c r="Q153" s="917"/>
      <c r="R153" s="917"/>
      <c r="S153" s="917"/>
      <c r="T153" s="917"/>
      <c r="U153" s="917"/>
      <c r="V153" s="917"/>
      <c r="W153" s="917"/>
      <c r="X153" s="917"/>
      <c r="Y153" s="917"/>
      <c r="Z153" s="917"/>
      <c r="AA153" s="917"/>
      <c r="AB153" s="917"/>
      <c r="AC153" s="917"/>
      <c r="AD153" s="917"/>
      <c r="AE153" s="917"/>
      <c r="AF153" s="917"/>
      <c r="AG153" s="917"/>
      <c r="AH153" s="917"/>
      <c r="AI153" s="917"/>
      <c r="AJ153" s="917"/>
    </row>
    <row r="154" spans="7:38" ht="15" hidden="1" customHeight="1" x14ac:dyDescent="0.2">
      <c r="G154" s="839" t="s">
        <v>10</v>
      </c>
      <c r="H154" s="839"/>
      <c r="I154" s="839"/>
      <c r="J154" s="839"/>
      <c r="K154" s="918">
        <f>IF($AC$51=0,IF(K73=$AC$46,$AC$45,0),IF(K$73=$AC$46,$AC$45*K$90,IF(OR(AND($AC$46=0,K$73=$AC$46),AND(K$73&gt;=$AC$46+$AC$51,INT((K$73-$AC$46)/($AC$51))=(K$73-$AC$46)/($AC$51))),$AC$50*K$90,0)))</f>
        <v>0</v>
      </c>
      <c r="L154" s="918">
        <f t="shared" ref="L154:AJ154" si="26">IF($AC$51=0,IF(L73=$AC$46,$AC$45,0),IF(L$73=$AC$46,$AC$45*L$90,IF(OR(AND($AC$46=0,L$73=$AC$46),AND(L$73&gt;=$AC$46+$AC$51,INT((L$73-$AC$46)/($AC$51))=(L$73-$AC$46)/($AC$51))),$AC$50*L$90,0)))</f>
        <v>0</v>
      </c>
      <c r="M154" s="918">
        <f t="shared" si="26"/>
        <v>0</v>
      </c>
      <c r="N154" s="918">
        <f t="shared" si="26"/>
        <v>0</v>
      </c>
      <c r="O154" s="918">
        <f t="shared" si="26"/>
        <v>0</v>
      </c>
      <c r="P154" s="918">
        <f t="shared" si="26"/>
        <v>0</v>
      </c>
      <c r="Q154" s="918">
        <f t="shared" si="26"/>
        <v>0</v>
      </c>
      <c r="R154" s="918">
        <f t="shared" si="26"/>
        <v>0</v>
      </c>
      <c r="S154" s="918">
        <f t="shared" si="26"/>
        <v>0</v>
      </c>
      <c r="T154" s="918">
        <f t="shared" si="26"/>
        <v>0</v>
      </c>
      <c r="U154" s="918">
        <f t="shared" si="26"/>
        <v>0</v>
      </c>
      <c r="V154" s="918">
        <f t="shared" si="26"/>
        <v>0</v>
      </c>
      <c r="W154" s="918">
        <f t="shared" si="26"/>
        <v>0</v>
      </c>
      <c r="X154" s="918">
        <f t="shared" si="26"/>
        <v>0</v>
      </c>
      <c r="Y154" s="918">
        <f t="shared" si="26"/>
        <v>0</v>
      </c>
      <c r="Z154" s="918">
        <f t="shared" si="26"/>
        <v>0</v>
      </c>
      <c r="AA154" s="918">
        <f t="shared" si="26"/>
        <v>0</v>
      </c>
      <c r="AB154" s="918">
        <f t="shared" si="26"/>
        <v>0</v>
      </c>
      <c r="AC154" s="918">
        <f t="shared" si="26"/>
        <v>0</v>
      </c>
      <c r="AD154" s="918">
        <f t="shared" si="26"/>
        <v>0</v>
      </c>
      <c r="AE154" s="918">
        <f t="shared" si="26"/>
        <v>0</v>
      </c>
      <c r="AF154" s="918">
        <f t="shared" si="26"/>
        <v>0</v>
      </c>
      <c r="AG154" s="918">
        <f t="shared" si="26"/>
        <v>0</v>
      </c>
      <c r="AH154" s="918">
        <f t="shared" si="26"/>
        <v>0</v>
      </c>
      <c r="AI154" s="918">
        <f t="shared" si="26"/>
        <v>0</v>
      </c>
      <c r="AJ154" s="918">
        <f t="shared" si="26"/>
        <v>0</v>
      </c>
    </row>
    <row r="155" spans="7:38" ht="15" hidden="1" customHeight="1" x14ac:dyDescent="0.2">
      <c r="G155" s="839" t="s">
        <v>11</v>
      </c>
      <c r="H155" s="839"/>
      <c r="I155" s="839"/>
      <c r="J155" s="839"/>
      <c r="K155" s="917">
        <f t="shared" ref="K155:AI155" si="27">IF(K$73&lt;$AC$46,($K$48*K$90)-($K$49*K$90),($AC$48*K$90)-($AC$49*K$90))</f>
        <v>0</v>
      </c>
      <c r="L155" s="917">
        <f t="shared" si="27"/>
        <v>0</v>
      </c>
      <c r="M155" s="917">
        <f t="shared" si="27"/>
        <v>0</v>
      </c>
      <c r="N155" s="917">
        <f t="shared" si="27"/>
        <v>0</v>
      </c>
      <c r="O155" s="917">
        <f t="shared" si="27"/>
        <v>0</v>
      </c>
      <c r="P155" s="917">
        <f t="shared" si="27"/>
        <v>0</v>
      </c>
      <c r="Q155" s="917">
        <f t="shared" si="27"/>
        <v>0</v>
      </c>
      <c r="R155" s="917">
        <f t="shared" si="27"/>
        <v>0</v>
      </c>
      <c r="S155" s="917">
        <f t="shared" si="27"/>
        <v>0</v>
      </c>
      <c r="T155" s="917">
        <f t="shared" si="27"/>
        <v>0</v>
      </c>
      <c r="U155" s="917">
        <f t="shared" si="27"/>
        <v>0</v>
      </c>
      <c r="V155" s="917">
        <f t="shared" si="27"/>
        <v>0</v>
      </c>
      <c r="W155" s="917">
        <f t="shared" si="27"/>
        <v>0</v>
      </c>
      <c r="X155" s="917">
        <f t="shared" si="27"/>
        <v>0</v>
      </c>
      <c r="Y155" s="917">
        <f t="shared" si="27"/>
        <v>0</v>
      </c>
      <c r="Z155" s="917">
        <f t="shared" si="27"/>
        <v>0</v>
      </c>
      <c r="AA155" s="917">
        <f t="shared" si="27"/>
        <v>0</v>
      </c>
      <c r="AB155" s="917">
        <f t="shared" si="27"/>
        <v>0</v>
      </c>
      <c r="AC155" s="917">
        <f t="shared" si="27"/>
        <v>0</v>
      </c>
      <c r="AD155" s="917">
        <f t="shared" si="27"/>
        <v>0</v>
      </c>
      <c r="AE155" s="917">
        <f t="shared" si="27"/>
        <v>0</v>
      </c>
      <c r="AF155" s="917">
        <f t="shared" si="27"/>
        <v>0</v>
      </c>
      <c r="AG155" s="917">
        <f t="shared" si="27"/>
        <v>0</v>
      </c>
      <c r="AH155" s="917">
        <f t="shared" si="27"/>
        <v>0</v>
      </c>
      <c r="AI155" s="917">
        <f t="shared" si="27"/>
        <v>0</v>
      </c>
      <c r="AJ155" s="917">
        <f>IF(AJ$73&lt;$AC$46,($K$48*AJ$90)-($K$49*AJ$90),($AC$48*AJ$90)-($AC$49*AJ$90))</f>
        <v>0</v>
      </c>
      <c r="AL155" s="121"/>
    </row>
    <row r="156" spans="7:38" ht="15" hidden="1" customHeight="1" x14ac:dyDescent="0.2">
      <c r="G156" s="839" t="s">
        <v>12</v>
      </c>
      <c r="H156" s="839"/>
      <c r="I156" s="839"/>
      <c r="J156" s="839"/>
      <c r="K156" s="918" t="e">
        <f>K229+K302</f>
        <v>#DIV/0!</v>
      </c>
      <c r="L156" s="918" t="e">
        <f t="shared" ref="L156:AJ157" si="28">L229+L302</f>
        <v>#DIV/0!</v>
      </c>
      <c r="M156" s="918" t="e">
        <f t="shared" si="28"/>
        <v>#DIV/0!</v>
      </c>
      <c r="N156" s="918" t="e">
        <f t="shared" si="28"/>
        <v>#DIV/0!</v>
      </c>
      <c r="O156" s="918" t="e">
        <f t="shared" si="28"/>
        <v>#DIV/0!</v>
      </c>
      <c r="P156" s="918" t="e">
        <f t="shared" si="28"/>
        <v>#DIV/0!</v>
      </c>
      <c r="Q156" s="918" t="e">
        <f t="shared" si="28"/>
        <v>#DIV/0!</v>
      </c>
      <c r="R156" s="918" t="e">
        <f t="shared" si="28"/>
        <v>#DIV/0!</v>
      </c>
      <c r="S156" s="918" t="e">
        <f t="shared" si="28"/>
        <v>#DIV/0!</v>
      </c>
      <c r="T156" s="918" t="e">
        <f t="shared" si="28"/>
        <v>#DIV/0!</v>
      </c>
      <c r="U156" s="918" t="e">
        <f t="shared" si="28"/>
        <v>#DIV/0!</v>
      </c>
      <c r="V156" s="918" t="e">
        <f t="shared" si="28"/>
        <v>#DIV/0!</v>
      </c>
      <c r="W156" s="918" t="e">
        <f t="shared" si="28"/>
        <v>#DIV/0!</v>
      </c>
      <c r="X156" s="918" t="e">
        <f t="shared" si="28"/>
        <v>#DIV/0!</v>
      </c>
      <c r="Y156" s="918" t="e">
        <f t="shared" si="28"/>
        <v>#DIV/0!</v>
      </c>
      <c r="Z156" s="918" t="e">
        <f t="shared" si="28"/>
        <v>#DIV/0!</v>
      </c>
      <c r="AA156" s="918" t="e">
        <f t="shared" si="28"/>
        <v>#DIV/0!</v>
      </c>
      <c r="AB156" s="918" t="e">
        <f t="shared" si="28"/>
        <v>#DIV/0!</v>
      </c>
      <c r="AC156" s="918" t="e">
        <f t="shared" si="28"/>
        <v>#DIV/0!</v>
      </c>
      <c r="AD156" s="918" t="e">
        <f t="shared" si="28"/>
        <v>#DIV/0!</v>
      </c>
      <c r="AE156" s="918" t="e">
        <f t="shared" si="28"/>
        <v>#DIV/0!</v>
      </c>
      <c r="AF156" s="918" t="e">
        <f t="shared" si="28"/>
        <v>#DIV/0!</v>
      </c>
      <c r="AG156" s="918" t="e">
        <f t="shared" si="28"/>
        <v>#DIV/0!</v>
      </c>
      <c r="AH156" s="918" t="e">
        <f t="shared" si="28"/>
        <v>#DIV/0!</v>
      </c>
      <c r="AI156" s="918" t="e">
        <f t="shared" si="28"/>
        <v>#DIV/0!</v>
      </c>
      <c r="AJ156" s="918" t="e">
        <f>AJ229+AJ302</f>
        <v>#DIV/0!</v>
      </c>
    </row>
    <row r="157" spans="7:38" ht="15" hidden="1" customHeight="1" x14ac:dyDescent="0.2">
      <c r="G157" s="839" t="s">
        <v>13</v>
      </c>
      <c r="H157" s="839"/>
      <c r="I157" s="839"/>
      <c r="J157" s="839"/>
      <c r="K157" s="918" t="e">
        <f>K230+K303</f>
        <v>#DIV/0!</v>
      </c>
      <c r="L157" s="918" t="e">
        <f t="shared" si="28"/>
        <v>#DIV/0!</v>
      </c>
      <c r="M157" s="918" t="e">
        <f t="shared" si="28"/>
        <v>#DIV/0!</v>
      </c>
      <c r="N157" s="918" t="e">
        <f t="shared" si="28"/>
        <v>#DIV/0!</v>
      </c>
      <c r="O157" s="918" t="e">
        <f t="shared" si="28"/>
        <v>#DIV/0!</v>
      </c>
      <c r="P157" s="918" t="e">
        <f t="shared" si="28"/>
        <v>#DIV/0!</v>
      </c>
      <c r="Q157" s="918" t="e">
        <f t="shared" si="28"/>
        <v>#DIV/0!</v>
      </c>
      <c r="R157" s="918" t="e">
        <f t="shared" si="28"/>
        <v>#DIV/0!</v>
      </c>
      <c r="S157" s="918" t="e">
        <f t="shared" si="28"/>
        <v>#DIV/0!</v>
      </c>
      <c r="T157" s="918" t="e">
        <f t="shared" si="28"/>
        <v>#DIV/0!</v>
      </c>
      <c r="U157" s="918" t="e">
        <f t="shared" si="28"/>
        <v>#DIV/0!</v>
      </c>
      <c r="V157" s="918" t="e">
        <f t="shared" si="28"/>
        <v>#DIV/0!</v>
      </c>
      <c r="W157" s="918" t="e">
        <f t="shared" si="28"/>
        <v>#DIV/0!</v>
      </c>
      <c r="X157" s="918" t="e">
        <f t="shared" si="28"/>
        <v>#DIV/0!</v>
      </c>
      <c r="Y157" s="918" t="e">
        <f t="shared" si="28"/>
        <v>#DIV/0!</v>
      </c>
      <c r="Z157" s="918" t="e">
        <f t="shared" si="28"/>
        <v>#DIV/0!</v>
      </c>
      <c r="AA157" s="918" t="e">
        <f t="shared" si="28"/>
        <v>#DIV/0!</v>
      </c>
      <c r="AB157" s="918" t="e">
        <f t="shared" si="28"/>
        <v>#DIV/0!</v>
      </c>
      <c r="AC157" s="918" t="e">
        <f t="shared" si="28"/>
        <v>#DIV/0!</v>
      </c>
      <c r="AD157" s="918" t="e">
        <f t="shared" si="28"/>
        <v>#DIV/0!</v>
      </c>
      <c r="AE157" s="918" t="e">
        <f t="shared" si="28"/>
        <v>#DIV/0!</v>
      </c>
      <c r="AF157" s="918" t="e">
        <f t="shared" si="28"/>
        <v>#DIV/0!</v>
      </c>
      <c r="AG157" s="918" t="e">
        <f t="shared" si="28"/>
        <v>#DIV/0!</v>
      </c>
      <c r="AH157" s="918" t="e">
        <f t="shared" si="28"/>
        <v>#DIV/0!</v>
      </c>
      <c r="AI157" s="918" t="e">
        <f t="shared" si="28"/>
        <v>#DIV/0!</v>
      </c>
      <c r="AJ157" s="918" t="e">
        <f t="shared" si="28"/>
        <v>#DIV/0!</v>
      </c>
    </row>
    <row r="158" spans="7:38" ht="15" hidden="1" customHeight="1" x14ac:dyDescent="0.2">
      <c r="G158" s="839"/>
      <c r="H158" s="839"/>
      <c r="I158" s="839"/>
      <c r="J158" s="839"/>
      <c r="K158" s="917"/>
      <c r="L158" s="917"/>
      <c r="M158" s="917"/>
      <c r="N158" s="917"/>
      <c r="O158" s="917"/>
      <c r="P158" s="917"/>
      <c r="Q158" s="917"/>
      <c r="R158" s="917"/>
      <c r="S158" s="917"/>
      <c r="T158" s="917"/>
      <c r="U158" s="917"/>
      <c r="V158" s="917"/>
      <c r="W158" s="917"/>
      <c r="X158" s="917"/>
      <c r="Y158" s="917"/>
      <c r="Z158" s="917"/>
      <c r="AA158" s="917"/>
      <c r="AB158" s="917"/>
      <c r="AC158" s="917"/>
      <c r="AD158" s="917"/>
      <c r="AE158" s="917"/>
      <c r="AF158" s="917"/>
      <c r="AG158" s="917"/>
      <c r="AH158" s="917"/>
      <c r="AI158" s="917"/>
      <c r="AJ158" s="917"/>
    </row>
    <row r="159" spans="7:38" ht="15" hidden="1" customHeight="1" x14ac:dyDescent="0.2">
      <c r="G159" s="839" t="s">
        <v>14</v>
      </c>
      <c r="H159" s="839"/>
      <c r="I159" s="839"/>
      <c r="J159" s="839"/>
      <c r="K159" s="917" t="e">
        <f>SUM(K154:K157)</f>
        <v>#DIV/0!</v>
      </c>
      <c r="L159" s="917" t="e">
        <f t="shared" ref="L159:AH159" si="29">SUM(L154:L157)</f>
        <v>#DIV/0!</v>
      </c>
      <c r="M159" s="917" t="e">
        <f t="shared" si="29"/>
        <v>#DIV/0!</v>
      </c>
      <c r="N159" s="917" t="e">
        <f t="shared" si="29"/>
        <v>#DIV/0!</v>
      </c>
      <c r="O159" s="917" t="e">
        <f t="shared" si="29"/>
        <v>#DIV/0!</v>
      </c>
      <c r="P159" s="917" t="e">
        <f t="shared" si="29"/>
        <v>#DIV/0!</v>
      </c>
      <c r="Q159" s="917" t="e">
        <f t="shared" si="29"/>
        <v>#DIV/0!</v>
      </c>
      <c r="R159" s="917" t="e">
        <f t="shared" si="29"/>
        <v>#DIV/0!</v>
      </c>
      <c r="S159" s="917" t="e">
        <f t="shared" si="29"/>
        <v>#DIV/0!</v>
      </c>
      <c r="T159" s="917" t="e">
        <f t="shared" si="29"/>
        <v>#DIV/0!</v>
      </c>
      <c r="U159" s="917" t="e">
        <f t="shared" si="29"/>
        <v>#DIV/0!</v>
      </c>
      <c r="V159" s="917" t="e">
        <f t="shared" si="29"/>
        <v>#DIV/0!</v>
      </c>
      <c r="W159" s="917" t="e">
        <f t="shared" si="29"/>
        <v>#DIV/0!</v>
      </c>
      <c r="X159" s="917" t="e">
        <f t="shared" si="29"/>
        <v>#DIV/0!</v>
      </c>
      <c r="Y159" s="917" t="e">
        <f t="shared" si="29"/>
        <v>#DIV/0!</v>
      </c>
      <c r="Z159" s="917" t="e">
        <f t="shared" si="29"/>
        <v>#DIV/0!</v>
      </c>
      <c r="AA159" s="917" t="e">
        <f t="shared" si="29"/>
        <v>#DIV/0!</v>
      </c>
      <c r="AB159" s="917" t="e">
        <f t="shared" si="29"/>
        <v>#DIV/0!</v>
      </c>
      <c r="AC159" s="917" t="e">
        <f t="shared" si="29"/>
        <v>#DIV/0!</v>
      </c>
      <c r="AD159" s="917" t="e">
        <f t="shared" si="29"/>
        <v>#DIV/0!</v>
      </c>
      <c r="AE159" s="917" t="e">
        <f t="shared" si="29"/>
        <v>#DIV/0!</v>
      </c>
      <c r="AF159" s="917" t="e">
        <f t="shared" si="29"/>
        <v>#DIV/0!</v>
      </c>
      <c r="AG159" s="917" t="e">
        <f t="shared" si="29"/>
        <v>#DIV/0!</v>
      </c>
      <c r="AH159" s="917" t="e">
        <f t="shared" si="29"/>
        <v>#DIV/0!</v>
      </c>
      <c r="AI159" s="917" t="e">
        <f>SUM(AI154:AI157)</f>
        <v>#DIV/0!</v>
      </c>
      <c r="AJ159" s="917" t="e">
        <f>SUM(AJ154:AJ157)</f>
        <v>#DIV/0!</v>
      </c>
    </row>
    <row r="160" spans="7:38" ht="15" hidden="1" customHeight="1" x14ac:dyDescent="0.2">
      <c r="G160" s="839" t="s">
        <v>435</v>
      </c>
      <c r="H160" s="839"/>
      <c r="I160" s="839"/>
      <c r="J160" s="839"/>
      <c r="K160" s="917" t="e">
        <f>K159</f>
        <v>#DIV/0!</v>
      </c>
      <c r="L160" s="917" t="e">
        <f t="shared" ref="L160:AI160" si="30">K160+L159</f>
        <v>#DIV/0!</v>
      </c>
      <c r="M160" s="917" t="e">
        <f t="shared" si="30"/>
        <v>#DIV/0!</v>
      </c>
      <c r="N160" s="917" t="e">
        <f t="shared" si="30"/>
        <v>#DIV/0!</v>
      </c>
      <c r="O160" s="917" t="e">
        <f t="shared" si="30"/>
        <v>#DIV/0!</v>
      </c>
      <c r="P160" s="917" t="e">
        <f t="shared" si="30"/>
        <v>#DIV/0!</v>
      </c>
      <c r="Q160" s="917" t="e">
        <f t="shared" si="30"/>
        <v>#DIV/0!</v>
      </c>
      <c r="R160" s="917" t="e">
        <f t="shared" si="30"/>
        <v>#DIV/0!</v>
      </c>
      <c r="S160" s="917" t="e">
        <f t="shared" si="30"/>
        <v>#DIV/0!</v>
      </c>
      <c r="T160" s="917" t="e">
        <f t="shared" si="30"/>
        <v>#DIV/0!</v>
      </c>
      <c r="U160" s="917" t="e">
        <f t="shared" si="30"/>
        <v>#DIV/0!</v>
      </c>
      <c r="V160" s="917" t="e">
        <f t="shared" si="30"/>
        <v>#DIV/0!</v>
      </c>
      <c r="W160" s="917" t="e">
        <f t="shared" si="30"/>
        <v>#DIV/0!</v>
      </c>
      <c r="X160" s="917" t="e">
        <f t="shared" si="30"/>
        <v>#DIV/0!</v>
      </c>
      <c r="Y160" s="917" t="e">
        <f t="shared" si="30"/>
        <v>#DIV/0!</v>
      </c>
      <c r="Z160" s="917" t="e">
        <f t="shared" si="30"/>
        <v>#DIV/0!</v>
      </c>
      <c r="AA160" s="917" t="e">
        <f t="shared" si="30"/>
        <v>#DIV/0!</v>
      </c>
      <c r="AB160" s="917" t="e">
        <f t="shared" si="30"/>
        <v>#DIV/0!</v>
      </c>
      <c r="AC160" s="917" t="e">
        <f t="shared" si="30"/>
        <v>#DIV/0!</v>
      </c>
      <c r="AD160" s="917" t="e">
        <f t="shared" si="30"/>
        <v>#DIV/0!</v>
      </c>
      <c r="AE160" s="917" t="e">
        <f t="shared" si="30"/>
        <v>#DIV/0!</v>
      </c>
      <c r="AF160" s="917" t="e">
        <f t="shared" si="30"/>
        <v>#DIV/0!</v>
      </c>
      <c r="AG160" s="917" t="e">
        <f t="shared" si="30"/>
        <v>#DIV/0!</v>
      </c>
      <c r="AH160" s="917" t="e">
        <f t="shared" si="30"/>
        <v>#DIV/0!</v>
      </c>
      <c r="AI160" s="917" t="e">
        <f t="shared" si="30"/>
        <v>#DIV/0!</v>
      </c>
      <c r="AJ160" s="917" t="e">
        <f>AI160+AJ159</f>
        <v>#DIV/0!</v>
      </c>
    </row>
    <row r="161" spans="7:36" ht="15" hidden="1" customHeight="1" x14ac:dyDescent="0.2">
      <c r="G161" s="839"/>
      <c r="H161" s="839"/>
      <c r="I161" s="839"/>
      <c r="J161" s="839"/>
      <c r="K161" s="839"/>
      <c r="L161" s="839"/>
      <c r="M161" s="839"/>
      <c r="N161" s="839"/>
      <c r="O161" s="839"/>
      <c r="P161" s="839"/>
      <c r="Q161" s="839"/>
      <c r="R161" s="839"/>
      <c r="S161" s="839"/>
      <c r="T161" s="839"/>
      <c r="U161" s="839"/>
      <c r="V161" s="839"/>
      <c r="W161" s="839"/>
      <c r="X161" s="839"/>
      <c r="Y161" s="839"/>
      <c r="Z161" s="839"/>
      <c r="AA161" s="839"/>
      <c r="AB161" s="839"/>
      <c r="AC161" s="839"/>
      <c r="AD161" s="839"/>
      <c r="AE161" s="839"/>
      <c r="AF161" s="839"/>
      <c r="AG161" s="839"/>
      <c r="AH161" s="839"/>
      <c r="AI161" s="839"/>
      <c r="AJ161" s="839"/>
    </row>
    <row r="162" spans="7:36" ht="15" hidden="1" customHeight="1" x14ac:dyDescent="0.2">
      <c r="G162" s="839" t="s">
        <v>17</v>
      </c>
      <c r="H162" s="839"/>
      <c r="I162" s="839"/>
      <c r="J162" s="839"/>
      <c r="K162" s="917" t="e">
        <f>K159/(((Data!$P$186/100)+1)^K$73)</f>
        <v>#DIV/0!</v>
      </c>
      <c r="L162" s="917" t="e">
        <f>L159/(((Data!$P$186/100)+1)^L$73)</f>
        <v>#DIV/0!</v>
      </c>
      <c r="M162" s="917" t="e">
        <f>M159/(((Data!$P$186/100)+1)^M$73)</f>
        <v>#DIV/0!</v>
      </c>
      <c r="N162" s="917" t="e">
        <f>N159/(((Data!$P$186/100)+1)^N$73)</f>
        <v>#DIV/0!</v>
      </c>
      <c r="O162" s="917" t="e">
        <f>O159/(((Data!$P$186/100)+1)^O$73)</f>
        <v>#DIV/0!</v>
      </c>
      <c r="P162" s="917" t="e">
        <f>P159/(((Data!$P$186/100)+1)^P$73)</f>
        <v>#DIV/0!</v>
      </c>
      <c r="Q162" s="917" t="e">
        <f>Q159/(((Data!$P$186/100)+1)^Q$73)</f>
        <v>#DIV/0!</v>
      </c>
      <c r="R162" s="917" t="e">
        <f>R159/(((Data!$P$186/100)+1)^R$73)</f>
        <v>#DIV/0!</v>
      </c>
      <c r="S162" s="917" t="e">
        <f>S159/(((Data!$P$186/100)+1)^S$73)</f>
        <v>#DIV/0!</v>
      </c>
      <c r="T162" s="917" t="e">
        <f>T159/(((Data!$P$186/100)+1)^T$73)</f>
        <v>#DIV/0!</v>
      </c>
      <c r="U162" s="917" t="e">
        <f>U159/(((Data!$P$186/100)+1)^U$73)</f>
        <v>#DIV/0!</v>
      </c>
      <c r="V162" s="917" t="e">
        <f>V159/(((Data!$P$186/100)+1)^V$73)</f>
        <v>#DIV/0!</v>
      </c>
      <c r="W162" s="917" t="e">
        <f>W159/(((Data!$P$186/100)+1)^W$73)</f>
        <v>#DIV/0!</v>
      </c>
      <c r="X162" s="917" t="e">
        <f>X159/(((Data!$P$186/100)+1)^X$73)</f>
        <v>#DIV/0!</v>
      </c>
      <c r="Y162" s="917" t="e">
        <f>Y159/(((Data!$P$186/100)+1)^Y$73)</f>
        <v>#DIV/0!</v>
      </c>
      <c r="Z162" s="917" t="e">
        <f>Z159/(((Data!$P$186/100)+1)^Z$73)</f>
        <v>#DIV/0!</v>
      </c>
      <c r="AA162" s="917" t="e">
        <f>AA159/(((Data!$P$186/100)+1)^AA$73)</f>
        <v>#DIV/0!</v>
      </c>
      <c r="AB162" s="917" t="e">
        <f>AB159/(((Data!$P$186/100)+1)^AB$73)</f>
        <v>#DIV/0!</v>
      </c>
      <c r="AC162" s="917" t="e">
        <f>AC159/(((Data!$P$186/100)+1)^AC$73)</f>
        <v>#DIV/0!</v>
      </c>
      <c r="AD162" s="917" t="e">
        <f>AD159/(((Data!$P$186/100)+1)^AD$73)</f>
        <v>#DIV/0!</v>
      </c>
      <c r="AE162" s="917" t="e">
        <f>AE159/(((Data!$P$186/100)+1)^AE$73)</f>
        <v>#DIV/0!</v>
      </c>
      <c r="AF162" s="917" t="e">
        <f>AF159/(((Data!$P$186/100)+1)^AF$73)</f>
        <v>#DIV/0!</v>
      </c>
      <c r="AG162" s="917" t="e">
        <f>AG159/(((Data!$P$186/100)+1)^AG$73)</f>
        <v>#DIV/0!</v>
      </c>
      <c r="AH162" s="917" t="e">
        <f>AH159/(((Data!$P$186/100)+1)^AH$73)</f>
        <v>#DIV/0!</v>
      </c>
      <c r="AI162" s="917" t="e">
        <f>AI159/(((Data!$P$186/100)+1)^AI$73)</f>
        <v>#DIV/0!</v>
      </c>
      <c r="AJ162" s="917" t="e">
        <f>AJ159/(((Data!$P$186/100)+1)^AJ$73)</f>
        <v>#DIV/0!</v>
      </c>
    </row>
    <row r="163" spans="7:36" ht="15" hidden="1" customHeight="1" x14ac:dyDescent="0.2">
      <c r="G163" s="859" t="s">
        <v>185</v>
      </c>
      <c r="H163" s="859"/>
      <c r="I163" s="839"/>
      <c r="J163" s="839"/>
      <c r="K163" s="923" t="e">
        <f>K162</f>
        <v>#DIV/0!</v>
      </c>
      <c r="L163" s="923" t="e">
        <f t="shared" ref="L163:AI163" si="31">K163+L162</f>
        <v>#DIV/0!</v>
      </c>
      <c r="M163" s="923" t="e">
        <f t="shared" si="31"/>
        <v>#DIV/0!</v>
      </c>
      <c r="N163" s="923" t="e">
        <f t="shared" si="31"/>
        <v>#DIV/0!</v>
      </c>
      <c r="O163" s="923" t="e">
        <f t="shared" si="31"/>
        <v>#DIV/0!</v>
      </c>
      <c r="P163" s="923" t="e">
        <f t="shared" si="31"/>
        <v>#DIV/0!</v>
      </c>
      <c r="Q163" s="923" t="e">
        <f t="shared" si="31"/>
        <v>#DIV/0!</v>
      </c>
      <c r="R163" s="923" t="e">
        <f t="shared" si="31"/>
        <v>#DIV/0!</v>
      </c>
      <c r="S163" s="923" t="e">
        <f t="shared" si="31"/>
        <v>#DIV/0!</v>
      </c>
      <c r="T163" s="923" t="e">
        <f t="shared" si="31"/>
        <v>#DIV/0!</v>
      </c>
      <c r="U163" s="923" t="e">
        <f t="shared" si="31"/>
        <v>#DIV/0!</v>
      </c>
      <c r="V163" s="923" t="e">
        <f t="shared" si="31"/>
        <v>#DIV/0!</v>
      </c>
      <c r="W163" s="923" t="e">
        <f t="shared" si="31"/>
        <v>#DIV/0!</v>
      </c>
      <c r="X163" s="923" t="e">
        <f t="shared" si="31"/>
        <v>#DIV/0!</v>
      </c>
      <c r="Y163" s="923" t="e">
        <f t="shared" si="31"/>
        <v>#DIV/0!</v>
      </c>
      <c r="Z163" s="923" t="e">
        <f t="shared" si="31"/>
        <v>#DIV/0!</v>
      </c>
      <c r="AA163" s="923" t="e">
        <f t="shared" si="31"/>
        <v>#DIV/0!</v>
      </c>
      <c r="AB163" s="923" t="e">
        <f t="shared" si="31"/>
        <v>#DIV/0!</v>
      </c>
      <c r="AC163" s="923" t="e">
        <f t="shared" si="31"/>
        <v>#DIV/0!</v>
      </c>
      <c r="AD163" s="923" t="e">
        <f t="shared" si="31"/>
        <v>#DIV/0!</v>
      </c>
      <c r="AE163" s="923" t="e">
        <f t="shared" si="31"/>
        <v>#DIV/0!</v>
      </c>
      <c r="AF163" s="923" t="e">
        <f t="shared" si="31"/>
        <v>#DIV/0!</v>
      </c>
      <c r="AG163" s="923" t="e">
        <f t="shared" si="31"/>
        <v>#DIV/0!</v>
      </c>
      <c r="AH163" s="923" t="e">
        <f t="shared" si="31"/>
        <v>#DIV/0!</v>
      </c>
      <c r="AI163" s="923" t="e">
        <f t="shared" si="31"/>
        <v>#DIV/0!</v>
      </c>
      <c r="AJ163" s="923" t="e">
        <f>AI163+AJ162</f>
        <v>#DIV/0!</v>
      </c>
    </row>
    <row r="164" spans="7:36" ht="15" hidden="1" customHeight="1" x14ac:dyDescent="0.2"/>
    <row r="165" spans="7:36" ht="15" hidden="1" customHeight="1" x14ac:dyDescent="0.2"/>
    <row r="166" spans="7:36" ht="15" hidden="1" customHeight="1" x14ac:dyDescent="0.2">
      <c r="G166" s="489" t="s">
        <v>306</v>
      </c>
      <c r="H166" s="14"/>
      <c r="I166" s="13"/>
      <c r="J166" s="13"/>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row>
    <row r="167" spans="7:36" ht="15" hidden="1" customHeight="1" x14ac:dyDescent="0.2">
      <c r="G167" s="14"/>
      <c r="H167" s="14"/>
      <c r="I167" s="13"/>
      <c r="J167" s="13"/>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row>
    <row r="168" spans="7:36" ht="15" hidden="1" customHeight="1" x14ac:dyDescent="0.2">
      <c r="G168" s="14" t="s">
        <v>2</v>
      </c>
      <c r="H168" s="60"/>
      <c r="I168" s="60"/>
      <c r="J168" s="60"/>
      <c r="K168" s="39">
        <f t="shared" ref="K168:AI168" si="32">VLOOKUP($I$18,$G$78:$AJ$82,K$73+5,FALSE)</f>
        <v>0.184</v>
      </c>
      <c r="L168" s="39">
        <f t="shared" si="32"/>
        <v>0.184</v>
      </c>
      <c r="M168" s="39">
        <f t="shared" si="32"/>
        <v>0.184</v>
      </c>
      <c r="N168" s="39">
        <f t="shared" si="32"/>
        <v>0.184</v>
      </c>
      <c r="O168" s="39">
        <f t="shared" si="32"/>
        <v>0.184</v>
      </c>
      <c r="P168" s="39">
        <f t="shared" si="32"/>
        <v>0.184</v>
      </c>
      <c r="Q168" s="39">
        <f t="shared" si="32"/>
        <v>0.184</v>
      </c>
      <c r="R168" s="39">
        <f t="shared" si="32"/>
        <v>0.184</v>
      </c>
      <c r="S168" s="39">
        <f t="shared" si="32"/>
        <v>0.184</v>
      </c>
      <c r="T168" s="39">
        <f t="shared" si="32"/>
        <v>0.184</v>
      </c>
      <c r="U168" s="39">
        <f t="shared" si="32"/>
        <v>0.184</v>
      </c>
      <c r="V168" s="39">
        <f t="shared" si="32"/>
        <v>0.184</v>
      </c>
      <c r="W168" s="39">
        <f t="shared" si="32"/>
        <v>0.184</v>
      </c>
      <c r="X168" s="39">
        <f t="shared" si="32"/>
        <v>0.184</v>
      </c>
      <c r="Y168" s="39">
        <f t="shared" si="32"/>
        <v>0.184</v>
      </c>
      <c r="Z168" s="39">
        <f t="shared" si="32"/>
        <v>0.184</v>
      </c>
      <c r="AA168" s="39">
        <f t="shared" si="32"/>
        <v>0.184</v>
      </c>
      <c r="AB168" s="39">
        <f t="shared" si="32"/>
        <v>0.184</v>
      </c>
      <c r="AC168" s="39">
        <f t="shared" si="32"/>
        <v>0.184</v>
      </c>
      <c r="AD168" s="39">
        <f t="shared" si="32"/>
        <v>0.184</v>
      </c>
      <c r="AE168" s="39">
        <f t="shared" si="32"/>
        <v>0.184</v>
      </c>
      <c r="AF168" s="39">
        <f t="shared" si="32"/>
        <v>0.184</v>
      </c>
      <c r="AG168" s="39">
        <f t="shared" si="32"/>
        <v>0.184</v>
      </c>
      <c r="AH168" s="39">
        <f t="shared" si="32"/>
        <v>0.184</v>
      </c>
      <c r="AI168" s="39">
        <f t="shared" si="32"/>
        <v>0.184</v>
      </c>
      <c r="AJ168" s="39">
        <f>VLOOKUP($I$18,$G$78:$AJ$82,AJ$73+5,FALSE)</f>
        <v>0.184</v>
      </c>
    </row>
    <row r="169" spans="7:36" ht="15" hidden="1" customHeight="1" x14ac:dyDescent="0.2">
      <c r="G169" s="14" t="s">
        <v>1</v>
      </c>
      <c r="H169" s="60"/>
      <c r="I169" s="60"/>
      <c r="J169" s="60"/>
      <c r="K169" s="39">
        <f t="shared" ref="K169:AI169" si="33">VLOOKUP($I$18,$G$84:$AJ$88,K$73+5,FALSE)</f>
        <v>0.09</v>
      </c>
      <c r="L169" s="39">
        <f t="shared" si="33"/>
        <v>9.5399999999999999E-2</v>
      </c>
      <c r="M169" s="39">
        <f t="shared" si="33"/>
        <v>0.10112400000000001</v>
      </c>
      <c r="N169" s="39">
        <f t="shared" si="33"/>
        <v>0.10719144000000001</v>
      </c>
      <c r="O169" s="39">
        <f t="shared" si="33"/>
        <v>0.11362292640000002</v>
      </c>
      <c r="P169" s="39">
        <f t="shared" si="33"/>
        <v>0.12044030198400002</v>
      </c>
      <c r="Q169" s="39">
        <f t="shared" si="33"/>
        <v>0.12766672010304003</v>
      </c>
      <c r="R169" s="39">
        <f t="shared" si="33"/>
        <v>0.13532672330922244</v>
      </c>
      <c r="S169" s="39">
        <f t="shared" si="33"/>
        <v>0.1434463267077758</v>
      </c>
      <c r="T169" s="39">
        <f t="shared" si="33"/>
        <v>0.15205310631024235</v>
      </c>
      <c r="U169" s="39">
        <f t="shared" si="33"/>
        <v>0.16117629268885691</v>
      </c>
      <c r="V169" s="39">
        <f t="shared" si="33"/>
        <v>0.17084687025018833</v>
      </c>
      <c r="W169" s="39">
        <f t="shared" si="33"/>
        <v>0.18109768246519964</v>
      </c>
      <c r="X169" s="39">
        <f t="shared" si="33"/>
        <v>0.19196354341311161</v>
      </c>
      <c r="Y169" s="39">
        <f t="shared" si="33"/>
        <v>0.20348135601789832</v>
      </c>
      <c r="Z169" s="39">
        <f t="shared" si="33"/>
        <v>0.21569023737897222</v>
      </c>
      <c r="AA169" s="39">
        <f t="shared" si="33"/>
        <v>0.22863165162171056</v>
      </c>
      <c r="AB169" s="39">
        <f t="shared" si="33"/>
        <v>0.24234955071901321</v>
      </c>
      <c r="AC169" s="39">
        <f t="shared" si="33"/>
        <v>0.25689052376215399</v>
      </c>
      <c r="AD169" s="39">
        <f t="shared" si="33"/>
        <v>0.27230395518788325</v>
      </c>
      <c r="AE169" s="39">
        <f t="shared" si="33"/>
        <v>0.28864219249915624</v>
      </c>
      <c r="AF169" s="39">
        <f t="shared" si="33"/>
        <v>0.30596072404910563</v>
      </c>
      <c r="AG169" s="39">
        <f t="shared" si="33"/>
        <v>0.32431836749205201</v>
      </c>
      <c r="AH169" s="39">
        <f t="shared" si="33"/>
        <v>0.34377746954157512</v>
      </c>
      <c r="AI169" s="39">
        <f t="shared" si="33"/>
        <v>0.36440411771406966</v>
      </c>
      <c r="AJ169" s="39">
        <f>VLOOKUP($I$18,$G$84:$AJ$88,AJ$73+5,FALSE)</f>
        <v>0.38626836477691384</v>
      </c>
    </row>
    <row r="170" spans="7:36" ht="15" hidden="1" customHeight="1" x14ac:dyDescent="0.2">
      <c r="G170" s="60"/>
      <c r="H170" s="60"/>
      <c r="I170" s="60"/>
      <c r="J170" s="60"/>
      <c r="K170" s="60"/>
      <c r="L170" s="60"/>
      <c r="M170" s="60"/>
      <c r="N170" s="60"/>
      <c r="O170" s="60"/>
      <c r="P170" s="60"/>
      <c r="Q170" s="60"/>
      <c r="R170" s="61"/>
      <c r="S170" s="60"/>
      <c r="T170" s="60"/>
      <c r="U170" s="60"/>
      <c r="V170" s="60"/>
      <c r="W170" s="60"/>
      <c r="X170" s="60"/>
      <c r="Y170" s="60"/>
      <c r="Z170" s="60"/>
      <c r="AA170" s="60"/>
      <c r="AB170" s="60"/>
      <c r="AC170" s="60"/>
      <c r="AD170" s="60"/>
      <c r="AE170" s="60"/>
      <c r="AF170" s="60"/>
      <c r="AG170" s="60"/>
      <c r="AH170" s="60"/>
      <c r="AI170" s="60"/>
      <c r="AJ170" s="60"/>
    </row>
    <row r="171" spans="7:36" ht="15" hidden="1" customHeight="1" x14ac:dyDescent="0.2">
      <c r="G171" s="14" t="s">
        <v>4</v>
      </c>
      <c r="H171" s="14"/>
      <c r="I171" s="13"/>
      <c r="J171" s="13"/>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row>
    <row r="172" spans="7:36" ht="15" hidden="1" customHeight="1" x14ac:dyDescent="0.2">
      <c r="G172" s="14" t="s">
        <v>5</v>
      </c>
      <c r="H172" s="14"/>
      <c r="I172" s="13"/>
      <c r="J172" s="13"/>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row>
    <row r="173" spans="7:36" ht="15" hidden="1" customHeight="1" x14ac:dyDescent="0.2">
      <c r="G173" s="14" t="s">
        <v>6</v>
      </c>
      <c r="H173" s="14"/>
      <c r="I173" s="13"/>
      <c r="J173" s="13"/>
      <c r="K173" s="75">
        <f>$K$13</f>
        <v>0</v>
      </c>
      <c r="L173" s="75">
        <f t="shared" ref="L173:AI173" si="34">$K$13</f>
        <v>0</v>
      </c>
      <c r="M173" s="75">
        <f t="shared" si="34"/>
        <v>0</v>
      </c>
      <c r="N173" s="75">
        <f t="shared" si="34"/>
        <v>0</v>
      </c>
      <c r="O173" s="75">
        <f t="shared" si="34"/>
        <v>0</v>
      </c>
      <c r="P173" s="75">
        <f t="shared" si="34"/>
        <v>0</v>
      </c>
      <c r="Q173" s="75">
        <f t="shared" si="34"/>
        <v>0</v>
      </c>
      <c r="R173" s="75">
        <f t="shared" si="34"/>
        <v>0</v>
      </c>
      <c r="S173" s="75">
        <f t="shared" si="34"/>
        <v>0</v>
      </c>
      <c r="T173" s="75">
        <f t="shared" si="34"/>
        <v>0</v>
      </c>
      <c r="U173" s="75">
        <f t="shared" si="34"/>
        <v>0</v>
      </c>
      <c r="V173" s="75">
        <f t="shared" si="34"/>
        <v>0</v>
      </c>
      <c r="W173" s="75">
        <f t="shared" si="34"/>
        <v>0</v>
      </c>
      <c r="X173" s="75">
        <f t="shared" si="34"/>
        <v>0</v>
      </c>
      <c r="Y173" s="75">
        <f t="shared" si="34"/>
        <v>0</v>
      </c>
      <c r="Z173" s="75">
        <f t="shared" si="34"/>
        <v>0</v>
      </c>
      <c r="AA173" s="75">
        <f t="shared" si="34"/>
        <v>0</v>
      </c>
      <c r="AB173" s="75">
        <f t="shared" si="34"/>
        <v>0</v>
      </c>
      <c r="AC173" s="75">
        <f t="shared" si="34"/>
        <v>0</v>
      </c>
      <c r="AD173" s="75">
        <f t="shared" si="34"/>
        <v>0</v>
      </c>
      <c r="AE173" s="75">
        <f t="shared" si="34"/>
        <v>0</v>
      </c>
      <c r="AF173" s="75">
        <f t="shared" si="34"/>
        <v>0</v>
      </c>
      <c r="AG173" s="75">
        <f t="shared" si="34"/>
        <v>0</v>
      </c>
      <c r="AH173" s="75">
        <f t="shared" si="34"/>
        <v>0</v>
      </c>
      <c r="AI173" s="75">
        <f t="shared" si="34"/>
        <v>0</v>
      </c>
      <c r="AJ173" s="75">
        <f>$K$13</f>
        <v>0</v>
      </c>
    </row>
    <row r="174" spans="7:36" ht="15" hidden="1" customHeight="1" x14ac:dyDescent="0.2">
      <c r="G174" s="14"/>
      <c r="H174" s="14"/>
      <c r="I174" s="13"/>
      <c r="J174" s="13"/>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row>
    <row r="175" spans="7:36" ht="15" hidden="1" customHeight="1" x14ac:dyDescent="0.2">
      <c r="G175" s="14" t="s">
        <v>7</v>
      </c>
      <c r="H175" s="14"/>
      <c r="I175" s="13"/>
      <c r="J175" s="13"/>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row>
    <row r="176" spans="7:36" ht="15" hidden="1" customHeight="1" x14ac:dyDescent="0.2">
      <c r="G176" s="14" t="s">
        <v>8</v>
      </c>
      <c r="H176" s="14"/>
      <c r="I176" s="13"/>
      <c r="J176" s="13"/>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row>
    <row r="177" spans="7:36" ht="15" hidden="1" customHeight="1" x14ac:dyDescent="0.2">
      <c r="G177" s="14" t="s">
        <v>9</v>
      </c>
      <c r="H177" s="14"/>
      <c r="I177" s="13"/>
      <c r="J177" s="13"/>
      <c r="K177" s="31">
        <f>K168*K173</f>
        <v>0</v>
      </c>
      <c r="L177" s="31">
        <f>L168*L173</f>
        <v>0</v>
      </c>
      <c r="M177" s="31">
        <f t="shared" ref="M177:AI177" si="35">M168*M173</f>
        <v>0</v>
      </c>
      <c r="N177" s="31">
        <f t="shared" si="35"/>
        <v>0</v>
      </c>
      <c r="O177" s="31">
        <f t="shared" si="35"/>
        <v>0</v>
      </c>
      <c r="P177" s="31">
        <f t="shared" si="35"/>
        <v>0</v>
      </c>
      <c r="Q177" s="31">
        <f t="shared" si="35"/>
        <v>0</v>
      </c>
      <c r="R177" s="31">
        <f t="shared" si="35"/>
        <v>0</v>
      </c>
      <c r="S177" s="31">
        <f t="shared" si="35"/>
        <v>0</v>
      </c>
      <c r="T177" s="31">
        <f t="shared" si="35"/>
        <v>0</v>
      </c>
      <c r="U177" s="31">
        <f t="shared" si="35"/>
        <v>0</v>
      </c>
      <c r="V177" s="31">
        <f t="shared" si="35"/>
        <v>0</v>
      </c>
      <c r="W177" s="31">
        <f t="shared" si="35"/>
        <v>0</v>
      </c>
      <c r="X177" s="31">
        <f t="shared" si="35"/>
        <v>0</v>
      </c>
      <c r="Y177" s="31">
        <f t="shared" si="35"/>
        <v>0</v>
      </c>
      <c r="Z177" s="31">
        <f t="shared" si="35"/>
        <v>0</v>
      </c>
      <c r="AA177" s="31">
        <f t="shared" si="35"/>
        <v>0</v>
      </c>
      <c r="AB177" s="31">
        <f t="shared" si="35"/>
        <v>0</v>
      </c>
      <c r="AC177" s="31">
        <f t="shared" si="35"/>
        <v>0</v>
      </c>
      <c r="AD177" s="31">
        <f t="shared" si="35"/>
        <v>0</v>
      </c>
      <c r="AE177" s="31">
        <f t="shared" si="35"/>
        <v>0</v>
      </c>
      <c r="AF177" s="31">
        <f t="shared" si="35"/>
        <v>0</v>
      </c>
      <c r="AG177" s="31">
        <f t="shared" si="35"/>
        <v>0</v>
      </c>
      <c r="AH177" s="31">
        <f t="shared" si="35"/>
        <v>0</v>
      </c>
      <c r="AI177" s="31">
        <f t="shared" si="35"/>
        <v>0</v>
      </c>
      <c r="AJ177" s="31">
        <f>AJ168*AJ173</f>
        <v>0</v>
      </c>
    </row>
    <row r="178" spans="7:36" ht="15" hidden="1" customHeight="1" x14ac:dyDescent="0.2">
      <c r="G178" s="14"/>
      <c r="H178" s="14"/>
      <c r="I178" s="13"/>
      <c r="J178" s="13"/>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row>
    <row r="179" spans="7:36" ht="15" hidden="1" customHeight="1" x14ac:dyDescent="0.2">
      <c r="G179" s="14" t="s">
        <v>10</v>
      </c>
      <c r="H179" s="14"/>
      <c r="I179" s="13"/>
      <c r="J179" s="13"/>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row>
    <row r="180" spans="7:36" ht="15" hidden="1" customHeight="1" x14ac:dyDescent="0.2">
      <c r="G180" s="14" t="s">
        <v>11</v>
      </c>
      <c r="H180" s="14"/>
      <c r="I180" s="13"/>
      <c r="J180" s="13"/>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row>
    <row r="181" spans="7:36" ht="15" hidden="1" customHeight="1" x14ac:dyDescent="0.2">
      <c r="G181" s="14" t="s">
        <v>12</v>
      </c>
      <c r="H181" s="14"/>
      <c r="I181" s="13"/>
      <c r="J181" s="13"/>
      <c r="K181" s="31">
        <f>K$169*K173</f>
        <v>0</v>
      </c>
      <c r="L181" s="31">
        <f t="shared" ref="L181:AI181" si="36">L$169*L173</f>
        <v>0</v>
      </c>
      <c r="M181" s="31">
        <f t="shared" si="36"/>
        <v>0</v>
      </c>
      <c r="N181" s="31">
        <f t="shared" si="36"/>
        <v>0</v>
      </c>
      <c r="O181" s="31">
        <f t="shared" si="36"/>
        <v>0</v>
      </c>
      <c r="P181" s="31">
        <f t="shared" si="36"/>
        <v>0</v>
      </c>
      <c r="Q181" s="31">
        <f t="shared" si="36"/>
        <v>0</v>
      </c>
      <c r="R181" s="31">
        <f t="shared" si="36"/>
        <v>0</v>
      </c>
      <c r="S181" s="31">
        <f t="shared" si="36"/>
        <v>0</v>
      </c>
      <c r="T181" s="31">
        <f t="shared" si="36"/>
        <v>0</v>
      </c>
      <c r="U181" s="31">
        <f t="shared" si="36"/>
        <v>0</v>
      </c>
      <c r="V181" s="31">
        <f t="shared" si="36"/>
        <v>0</v>
      </c>
      <c r="W181" s="31">
        <f t="shared" si="36"/>
        <v>0</v>
      </c>
      <c r="X181" s="31">
        <f t="shared" si="36"/>
        <v>0</v>
      </c>
      <c r="Y181" s="31">
        <f t="shared" si="36"/>
        <v>0</v>
      </c>
      <c r="Z181" s="31">
        <f t="shared" si="36"/>
        <v>0</v>
      </c>
      <c r="AA181" s="31">
        <f t="shared" si="36"/>
        <v>0</v>
      </c>
      <c r="AB181" s="31">
        <f t="shared" si="36"/>
        <v>0</v>
      </c>
      <c r="AC181" s="31">
        <f t="shared" si="36"/>
        <v>0</v>
      </c>
      <c r="AD181" s="31">
        <f t="shared" si="36"/>
        <v>0</v>
      </c>
      <c r="AE181" s="31">
        <f t="shared" si="36"/>
        <v>0</v>
      </c>
      <c r="AF181" s="31">
        <f t="shared" si="36"/>
        <v>0</v>
      </c>
      <c r="AG181" s="31">
        <f t="shared" si="36"/>
        <v>0</v>
      </c>
      <c r="AH181" s="31">
        <f t="shared" si="36"/>
        <v>0</v>
      </c>
      <c r="AI181" s="31">
        <f t="shared" si="36"/>
        <v>0</v>
      </c>
      <c r="AJ181" s="31">
        <f>AJ$169*AJ173</f>
        <v>0</v>
      </c>
    </row>
    <row r="182" spans="7:36" ht="15" hidden="1" customHeight="1" x14ac:dyDescent="0.2">
      <c r="G182" s="14" t="s">
        <v>13</v>
      </c>
      <c r="H182" s="14"/>
      <c r="I182" s="13"/>
      <c r="J182" s="13"/>
      <c r="K182" s="31">
        <f t="shared" ref="K182:AI182" si="37">K$91*K177</f>
        <v>0</v>
      </c>
      <c r="L182" s="31">
        <f t="shared" si="37"/>
        <v>0</v>
      </c>
      <c r="M182" s="31">
        <f t="shared" si="37"/>
        <v>0</v>
      </c>
      <c r="N182" s="31">
        <f t="shared" si="37"/>
        <v>0</v>
      </c>
      <c r="O182" s="31">
        <f t="shared" si="37"/>
        <v>0</v>
      </c>
      <c r="P182" s="31">
        <f t="shared" si="37"/>
        <v>0</v>
      </c>
      <c r="Q182" s="31">
        <f t="shared" si="37"/>
        <v>0</v>
      </c>
      <c r="R182" s="31">
        <f t="shared" si="37"/>
        <v>0</v>
      </c>
      <c r="S182" s="31">
        <f t="shared" si="37"/>
        <v>0</v>
      </c>
      <c r="T182" s="31">
        <f t="shared" si="37"/>
        <v>0</v>
      </c>
      <c r="U182" s="31">
        <f t="shared" si="37"/>
        <v>0</v>
      </c>
      <c r="V182" s="31">
        <f t="shared" si="37"/>
        <v>0</v>
      </c>
      <c r="W182" s="31">
        <f t="shared" si="37"/>
        <v>0</v>
      </c>
      <c r="X182" s="31">
        <f t="shared" si="37"/>
        <v>0</v>
      </c>
      <c r="Y182" s="31">
        <f t="shared" si="37"/>
        <v>0</v>
      </c>
      <c r="Z182" s="31">
        <f t="shared" si="37"/>
        <v>0</v>
      </c>
      <c r="AA182" s="31">
        <f t="shared" si="37"/>
        <v>0</v>
      </c>
      <c r="AB182" s="31">
        <f t="shared" si="37"/>
        <v>0</v>
      </c>
      <c r="AC182" s="31">
        <f t="shared" si="37"/>
        <v>0</v>
      </c>
      <c r="AD182" s="31">
        <f t="shared" si="37"/>
        <v>0</v>
      </c>
      <c r="AE182" s="31">
        <f t="shared" si="37"/>
        <v>0</v>
      </c>
      <c r="AF182" s="31">
        <f t="shared" si="37"/>
        <v>0</v>
      </c>
      <c r="AG182" s="31">
        <f t="shared" si="37"/>
        <v>0</v>
      </c>
      <c r="AH182" s="31">
        <f t="shared" si="37"/>
        <v>0</v>
      </c>
      <c r="AI182" s="31">
        <f t="shared" si="37"/>
        <v>0</v>
      </c>
      <c r="AJ182" s="31">
        <f>AJ$91*AJ177</f>
        <v>0</v>
      </c>
    </row>
    <row r="183" spans="7:36" ht="15" hidden="1" customHeight="1" x14ac:dyDescent="0.2">
      <c r="G183" s="14"/>
      <c r="H183" s="14"/>
      <c r="I183" s="13"/>
      <c r="J183" s="13"/>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row>
    <row r="184" spans="7:36" ht="15" hidden="1" customHeight="1" x14ac:dyDescent="0.2">
      <c r="G184" s="14" t="s">
        <v>14</v>
      </c>
      <c r="H184" s="14"/>
      <c r="I184" s="13"/>
      <c r="J184" s="13"/>
      <c r="K184" s="31">
        <f t="shared" ref="K184:AI184" si="38">SUM(K179:K182)</f>
        <v>0</v>
      </c>
      <c r="L184" s="31">
        <f t="shared" si="38"/>
        <v>0</v>
      </c>
      <c r="M184" s="31">
        <f t="shared" si="38"/>
        <v>0</v>
      </c>
      <c r="N184" s="31">
        <f t="shared" si="38"/>
        <v>0</v>
      </c>
      <c r="O184" s="31">
        <f t="shared" si="38"/>
        <v>0</v>
      </c>
      <c r="P184" s="31">
        <f t="shared" si="38"/>
        <v>0</v>
      </c>
      <c r="Q184" s="31">
        <f t="shared" si="38"/>
        <v>0</v>
      </c>
      <c r="R184" s="31">
        <f t="shared" si="38"/>
        <v>0</v>
      </c>
      <c r="S184" s="31">
        <f t="shared" si="38"/>
        <v>0</v>
      </c>
      <c r="T184" s="31">
        <f t="shared" si="38"/>
        <v>0</v>
      </c>
      <c r="U184" s="31">
        <f t="shared" si="38"/>
        <v>0</v>
      </c>
      <c r="V184" s="31">
        <f t="shared" si="38"/>
        <v>0</v>
      </c>
      <c r="W184" s="31">
        <f t="shared" si="38"/>
        <v>0</v>
      </c>
      <c r="X184" s="31">
        <f t="shared" si="38"/>
        <v>0</v>
      </c>
      <c r="Y184" s="31">
        <f t="shared" si="38"/>
        <v>0</v>
      </c>
      <c r="Z184" s="31">
        <f t="shared" si="38"/>
        <v>0</v>
      </c>
      <c r="AA184" s="31">
        <f t="shared" si="38"/>
        <v>0</v>
      </c>
      <c r="AB184" s="31">
        <f t="shared" si="38"/>
        <v>0</v>
      </c>
      <c r="AC184" s="31">
        <f t="shared" si="38"/>
        <v>0</v>
      </c>
      <c r="AD184" s="31">
        <f t="shared" si="38"/>
        <v>0</v>
      </c>
      <c r="AE184" s="31">
        <f t="shared" si="38"/>
        <v>0</v>
      </c>
      <c r="AF184" s="31">
        <f t="shared" si="38"/>
        <v>0</v>
      </c>
      <c r="AG184" s="31">
        <f t="shared" si="38"/>
        <v>0</v>
      </c>
      <c r="AH184" s="31">
        <f t="shared" si="38"/>
        <v>0</v>
      </c>
      <c r="AI184" s="31">
        <f t="shared" si="38"/>
        <v>0</v>
      </c>
      <c r="AJ184" s="31">
        <f>SUM(AJ179:AJ182)</f>
        <v>0</v>
      </c>
    </row>
    <row r="185" spans="7:36" ht="15" hidden="1" customHeight="1" x14ac:dyDescent="0.2">
      <c r="G185" s="14" t="s">
        <v>15</v>
      </c>
      <c r="H185" s="14"/>
      <c r="I185" s="13"/>
      <c r="J185" s="13"/>
      <c r="K185" s="31">
        <f>K184</f>
        <v>0</v>
      </c>
      <c r="L185" s="31">
        <f t="shared" ref="L185:AI185" si="39">K185+L184</f>
        <v>0</v>
      </c>
      <c r="M185" s="31">
        <f t="shared" si="39"/>
        <v>0</v>
      </c>
      <c r="N185" s="31">
        <f t="shared" si="39"/>
        <v>0</v>
      </c>
      <c r="O185" s="31">
        <f t="shared" si="39"/>
        <v>0</v>
      </c>
      <c r="P185" s="31">
        <f t="shared" si="39"/>
        <v>0</v>
      </c>
      <c r="Q185" s="31">
        <f t="shared" si="39"/>
        <v>0</v>
      </c>
      <c r="R185" s="31">
        <f t="shared" si="39"/>
        <v>0</v>
      </c>
      <c r="S185" s="31">
        <f t="shared" si="39"/>
        <v>0</v>
      </c>
      <c r="T185" s="31">
        <f t="shared" si="39"/>
        <v>0</v>
      </c>
      <c r="U185" s="31">
        <f t="shared" si="39"/>
        <v>0</v>
      </c>
      <c r="V185" s="31">
        <f t="shared" si="39"/>
        <v>0</v>
      </c>
      <c r="W185" s="31">
        <f t="shared" si="39"/>
        <v>0</v>
      </c>
      <c r="X185" s="31">
        <f t="shared" si="39"/>
        <v>0</v>
      </c>
      <c r="Y185" s="31">
        <f t="shared" si="39"/>
        <v>0</v>
      </c>
      <c r="Z185" s="31">
        <f t="shared" si="39"/>
        <v>0</v>
      </c>
      <c r="AA185" s="31">
        <f t="shared" si="39"/>
        <v>0</v>
      </c>
      <c r="AB185" s="31">
        <f t="shared" si="39"/>
        <v>0</v>
      </c>
      <c r="AC185" s="31">
        <f t="shared" si="39"/>
        <v>0</v>
      </c>
      <c r="AD185" s="31">
        <f t="shared" si="39"/>
        <v>0</v>
      </c>
      <c r="AE185" s="31">
        <f t="shared" si="39"/>
        <v>0</v>
      </c>
      <c r="AF185" s="31">
        <f t="shared" si="39"/>
        <v>0</v>
      </c>
      <c r="AG185" s="31">
        <f t="shared" si="39"/>
        <v>0</v>
      </c>
      <c r="AH185" s="31">
        <f t="shared" si="39"/>
        <v>0</v>
      </c>
      <c r="AI185" s="31">
        <f t="shared" si="39"/>
        <v>0</v>
      </c>
      <c r="AJ185" s="31">
        <f>AI185+AJ184</f>
        <v>0</v>
      </c>
    </row>
    <row r="186" spans="7:36" ht="15" hidden="1" customHeight="1" x14ac:dyDescent="0.2">
      <c r="G186" s="13"/>
      <c r="H186" s="13"/>
      <c r="I186" s="13"/>
      <c r="J186" s="13"/>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row>
    <row r="187" spans="7:36" ht="15" hidden="1" customHeight="1" x14ac:dyDescent="0.2">
      <c r="G187" s="14" t="s">
        <v>17</v>
      </c>
      <c r="H187" s="13"/>
      <c r="I187" s="13"/>
      <c r="J187" s="13"/>
      <c r="K187" s="31">
        <f>K184/(((Data!$P$186/100)+1)^K$73)</f>
        <v>0</v>
      </c>
      <c r="L187" s="31">
        <f>L184/(((Data!$P$186/100)+1)^L$73)</f>
        <v>0</v>
      </c>
      <c r="M187" s="31">
        <f>M184/(((Data!$P$186/100)+1)^M$73)</f>
        <v>0</v>
      </c>
      <c r="N187" s="31">
        <f>N184/(((Data!$P$186/100)+1)^N$73)</f>
        <v>0</v>
      </c>
      <c r="O187" s="31">
        <f>O184/(((Data!$P$186/100)+1)^O$73)</f>
        <v>0</v>
      </c>
      <c r="P187" s="31">
        <f>P184/(((Data!$P$186/100)+1)^P$73)</f>
        <v>0</v>
      </c>
      <c r="Q187" s="31">
        <f>Q184/(((Data!$P$186/100)+1)^Q$73)</f>
        <v>0</v>
      </c>
      <c r="R187" s="31">
        <f>R184/(((Data!$P$186/100)+1)^R$73)</f>
        <v>0</v>
      </c>
      <c r="S187" s="31">
        <f>S184/(((Data!$P$186/100)+1)^S$73)</f>
        <v>0</v>
      </c>
      <c r="T187" s="31">
        <f>T184/(((Data!$P$186/100)+1)^T$73)</f>
        <v>0</v>
      </c>
      <c r="U187" s="31">
        <f>U184/(((Data!$P$186/100)+1)^U$73)</f>
        <v>0</v>
      </c>
      <c r="V187" s="31">
        <f>V184/(((Data!$P$186/100)+1)^V$73)</f>
        <v>0</v>
      </c>
      <c r="W187" s="31">
        <f>W184/(((Data!$P$186/100)+1)^W$73)</f>
        <v>0</v>
      </c>
      <c r="X187" s="31">
        <f>X184/(((Data!$P$186/100)+1)^X$73)</f>
        <v>0</v>
      </c>
      <c r="Y187" s="31">
        <f>Y184/(((Data!$P$186/100)+1)^Y$73)</f>
        <v>0</v>
      </c>
      <c r="Z187" s="31">
        <f>Z184/(((Data!$P$186/100)+1)^Z$73)</f>
        <v>0</v>
      </c>
      <c r="AA187" s="31">
        <f>AA184/(((Data!$P$186/100)+1)^AA$73)</f>
        <v>0</v>
      </c>
      <c r="AB187" s="31">
        <f>AB184/(((Data!$P$186/100)+1)^AB$73)</f>
        <v>0</v>
      </c>
      <c r="AC187" s="31">
        <f>AC184/(((Data!$P$186/100)+1)^AC$73)</f>
        <v>0</v>
      </c>
      <c r="AD187" s="31">
        <f>AD184/(((Data!$P$186/100)+1)^AD$73)</f>
        <v>0</v>
      </c>
      <c r="AE187" s="31">
        <f>AE184/(((Data!$P$186/100)+1)^AE$73)</f>
        <v>0</v>
      </c>
      <c r="AF187" s="31">
        <f>AF184/(((Data!$P$186/100)+1)^AF$73)</f>
        <v>0</v>
      </c>
      <c r="AG187" s="31">
        <f>AG184/(((Data!$P$186/100)+1)^AG$73)</f>
        <v>0</v>
      </c>
      <c r="AH187" s="31">
        <f>AH184/(((Data!$P$186/100)+1)^AH$73)</f>
        <v>0</v>
      </c>
      <c r="AI187" s="31">
        <f>AI184/(((Data!$P$186/100)+1)^AI$73)</f>
        <v>0</v>
      </c>
      <c r="AJ187" s="31">
        <f>AJ184/(((Data!$P$186/100)+1)^AJ$73)</f>
        <v>0</v>
      </c>
    </row>
    <row r="188" spans="7:36" ht="15" hidden="1" customHeight="1" x14ac:dyDescent="0.2">
      <c r="G188" s="30" t="s">
        <v>186</v>
      </c>
      <c r="H188" s="33"/>
      <c r="I188" s="13"/>
      <c r="J188" s="13"/>
      <c r="K188" s="34">
        <f>K187</f>
        <v>0</v>
      </c>
      <c r="L188" s="34">
        <f t="shared" ref="L188:AI188" si="40">K188+L187</f>
        <v>0</v>
      </c>
      <c r="M188" s="34">
        <f t="shared" si="40"/>
        <v>0</v>
      </c>
      <c r="N188" s="34">
        <f t="shared" si="40"/>
        <v>0</v>
      </c>
      <c r="O188" s="34">
        <f t="shared" si="40"/>
        <v>0</v>
      </c>
      <c r="P188" s="34">
        <f t="shared" si="40"/>
        <v>0</v>
      </c>
      <c r="Q188" s="34">
        <f t="shared" si="40"/>
        <v>0</v>
      </c>
      <c r="R188" s="34">
        <f t="shared" si="40"/>
        <v>0</v>
      </c>
      <c r="S188" s="34">
        <f t="shared" si="40"/>
        <v>0</v>
      </c>
      <c r="T188" s="34">
        <f t="shared" si="40"/>
        <v>0</v>
      </c>
      <c r="U188" s="34">
        <f t="shared" si="40"/>
        <v>0</v>
      </c>
      <c r="V188" s="34">
        <f t="shared" si="40"/>
        <v>0</v>
      </c>
      <c r="W188" s="34">
        <f t="shared" si="40"/>
        <v>0</v>
      </c>
      <c r="X188" s="34">
        <f t="shared" si="40"/>
        <v>0</v>
      </c>
      <c r="Y188" s="34">
        <f t="shared" si="40"/>
        <v>0</v>
      </c>
      <c r="Z188" s="34">
        <f t="shared" si="40"/>
        <v>0</v>
      </c>
      <c r="AA188" s="34">
        <f t="shared" si="40"/>
        <v>0</v>
      </c>
      <c r="AB188" s="34">
        <f t="shared" si="40"/>
        <v>0</v>
      </c>
      <c r="AC188" s="34">
        <f t="shared" si="40"/>
        <v>0</v>
      </c>
      <c r="AD188" s="34">
        <f t="shared" si="40"/>
        <v>0</v>
      </c>
      <c r="AE188" s="34">
        <f t="shared" si="40"/>
        <v>0</v>
      </c>
      <c r="AF188" s="34">
        <f t="shared" si="40"/>
        <v>0</v>
      </c>
      <c r="AG188" s="34">
        <f t="shared" si="40"/>
        <v>0</v>
      </c>
      <c r="AH188" s="34">
        <f t="shared" si="40"/>
        <v>0</v>
      </c>
      <c r="AI188" s="34">
        <f t="shared" si="40"/>
        <v>0</v>
      </c>
      <c r="AJ188" s="34">
        <f>AI188+AJ187</f>
        <v>0</v>
      </c>
    </row>
    <row r="189" spans="7:36" ht="15" hidden="1" customHeight="1" x14ac:dyDescent="0.2">
      <c r="G189" s="8"/>
      <c r="H189" s="8"/>
      <c r="I189" s="8"/>
      <c r="J189" s="8"/>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row>
    <row r="190" spans="7:36" ht="15" hidden="1" customHeight="1" x14ac:dyDescent="0.2">
      <c r="G190" s="532" t="s">
        <v>512</v>
      </c>
      <c r="H190" s="17"/>
      <c r="I190" s="13"/>
      <c r="J190" s="13"/>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row>
    <row r="191" spans="7:36" ht="15" hidden="1" customHeight="1" x14ac:dyDescent="0.2">
      <c r="G191" s="17"/>
      <c r="H191" s="17"/>
      <c r="I191" s="13"/>
      <c r="J191" s="13"/>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row>
    <row r="192" spans="7:36" ht="15" hidden="1" customHeight="1" x14ac:dyDescent="0.2">
      <c r="G192" s="17" t="s">
        <v>2</v>
      </c>
      <c r="H192" s="60"/>
      <c r="I192" s="60"/>
      <c r="J192" s="60"/>
      <c r="K192" s="101">
        <f>IF(K$73&lt;$Q$46,VLOOKUP($I$18,$G$78:$AJ$82,K$73+5,FALSE),VLOOKUP($O$18,$G$78:$AJ$82,K$73+5,FALSE))</f>
        <v>0.184</v>
      </c>
      <c r="L192" s="101">
        <f>IF(L$73&lt;$Q$46,VLOOKUP($I$18,$G$78:$AJ$82,L$73+5,FALSE),VLOOKUP($O$18,$G$78:$AJ$82,L$73+5,FALSE))</f>
        <v>0.184</v>
      </c>
      <c r="M192" s="101">
        <f t="shared" ref="M192:AI192" si="41">IF(M$73&lt;$Q$46,VLOOKUP($I$18,$G$78:$AJ$82,M$73+5,FALSE),VLOOKUP($O$18,$G$78:$AJ$82,M$73+5,FALSE))</f>
        <v>0.184</v>
      </c>
      <c r="N192" s="101">
        <f t="shared" si="41"/>
        <v>0.184</v>
      </c>
      <c r="O192" s="101">
        <f t="shared" si="41"/>
        <v>0.184</v>
      </c>
      <c r="P192" s="101">
        <f t="shared" si="41"/>
        <v>0.184</v>
      </c>
      <c r="Q192" s="101">
        <f t="shared" si="41"/>
        <v>0.184</v>
      </c>
      <c r="R192" s="101">
        <f t="shared" si="41"/>
        <v>0.184</v>
      </c>
      <c r="S192" s="101">
        <f t="shared" si="41"/>
        <v>0.184</v>
      </c>
      <c r="T192" s="101">
        <f t="shared" si="41"/>
        <v>0.184</v>
      </c>
      <c r="U192" s="101">
        <f t="shared" si="41"/>
        <v>0.184</v>
      </c>
      <c r="V192" s="101">
        <f t="shared" si="41"/>
        <v>0.184</v>
      </c>
      <c r="W192" s="101">
        <f t="shared" si="41"/>
        <v>0.184</v>
      </c>
      <c r="X192" s="101">
        <f t="shared" si="41"/>
        <v>0.184</v>
      </c>
      <c r="Y192" s="101">
        <f t="shared" si="41"/>
        <v>0.184</v>
      </c>
      <c r="Z192" s="101">
        <f t="shared" si="41"/>
        <v>0.184</v>
      </c>
      <c r="AA192" s="101">
        <f t="shared" si="41"/>
        <v>0.184</v>
      </c>
      <c r="AB192" s="101">
        <f t="shared" si="41"/>
        <v>0.184</v>
      </c>
      <c r="AC192" s="101">
        <f t="shared" si="41"/>
        <v>0.184</v>
      </c>
      <c r="AD192" s="101">
        <f t="shared" si="41"/>
        <v>0.184</v>
      </c>
      <c r="AE192" s="101">
        <f t="shared" si="41"/>
        <v>0.184</v>
      </c>
      <c r="AF192" s="101">
        <f t="shared" si="41"/>
        <v>0.184</v>
      </c>
      <c r="AG192" s="101">
        <f t="shared" si="41"/>
        <v>0.184</v>
      </c>
      <c r="AH192" s="101">
        <f t="shared" si="41"/>
        <v>0.184</v>
      </c>
      <c r="AI192" s="101">
        <f t="shared" si="41"/>
        <v>0.184</v>
      </c>
      <c r="AJ192" s="101">
        <f>IF(AJ$73&lt;$Q$46,VLOOKUP($I$18,$G$78:$AJ$82,AJ$73+5,FALSE),VLOOKUP($O$18,$G$78:$AJ$82,AJ$73+5,FALSE))</f>
        <v>0.184</v>
      </c>
    </row>
    <row r="193" spans="7:36" ht="15" hidden="1" customHeight="1" x14ac:dyDescent="0.2">
      <c r="G193" s="17" t="s">
        <v>1</v>
      </c>
      <c r="H193" s="60"/>
      <c r="I193" s="60"/>
      <c r="J193" s="60"/>
      <c r="K193" s="101">
        <f>IF(K$73&lt;$Q$46,VLOOKUP($I$18,$G$84:$AJ$88,K$73+5,FALSE),VLOOKUP($O$18,$G$84:$AJ$88,K$73+5,FALSE))</f>
        <v>0.09</v>
      </c>
      <c r="L193" s="101">
        <f>IF(L$73&lt;$Q$46,VLOOKUP($I$18,$G$84:$AJ$88,L$73+5,FALSE),VLOOKUP($O$18,$G$84:$AJ$88,L$73+5,FALSE))</f>
        <v>9.5399999999999999E-2</v>
      </c>
      <c r="M193" s="101">
        <f t="shared" ref="M193:AI193" si="42">IF(M$73&lt;$Q$46,VLOOKUP($I$18,$G$84:$AJ$88,M$73+5,FALSE),VLOOKUP($O$18,$G$84:$AJ$88,M$73+5,FALSE))</f>
        <v>0.10112400000000001</v>
      </c>
      <c r="N193" s="101">
        <f t="shared" si="42"/>
        <v>0.10719144000000001</v>
      </c>
      <c r="O193" s="101">
        <f t="shared" si="42"/>
        <v>0.11362292640000002</v>
      </c>
      <c r="P193" s="101">
        <f t="shared" si="42"/>
        <v>0.12044030198400002</v>
      </c>
      <c r="Q193" s="101">
        <f t="shared" si="42"/>
        <v>0.12766672010304003</v>
      </c>
      <c r="R193" s="101">
        <f t="shared" si="42"/>
        <v>0.13532672330922244</v>
      </c>
      <c r="S193" s="101">
        <f t="shared" si="42"/>
        <v>0.1434463267077758</v>
      </c>
      <c r="T193" s="101">
        <f t="shared" si="42"/>
        <v>0.15205310631024235</v>
      </c>
      <c r="U193" s="101">
        <f t="shared" si="42"/>
        <v>0.16117629268885691</v>
      </c>
      <c r="V193" s="101">
        <f t="shared" si="42"/>
        <v>0.17084687025018833</v>
      </c>
      <c r="W193" s="101">
        <f t="shared" si="42"/>
        <v>0.18109768246519964</v>
      </c>
      <c r="X193" s="101">
        <f t="shared" si="42"/>
        <v>0.19196354341311161</v>
      </c>
      <c r="Y193" s="101">
        <f t="shared" si="42"/>
        <v>0.20348135601789832</v>
      </c>
      <c r="Z193" s="101">
        <f t="shared" si="42"/>
        <v>0.21569023737897222</v>
      </c>
      <c r="AA193" s="101">
        <f t="shared" si="42"/>
        <v>0.22863165162171056</v>
      </c>
      <c r="AB193" s="101">
        <f t="shared" si="42"/>
        <v>0.24234955071901321</v>
      </c>
      <c r="AC193" s="101">
        <f t="shared" si="42"/>
        <v>0.25689052376215399</v>
      </c>
      <c r="AD193" s="101">
        <f t="shared" si="42"/>
        <v>0.27230395518788325</v>
      </c>
      <c r="AE193" s="101">
        <f t="shared" si="42"/>
        <v>0.28864219249915624</v>
      </c>
      <c r="AF193" s="101">
        <f t="shared" si="42"/>
        <v>0.30596072404910563</v>
      </c>
      <c r="AG193" s="101">
        <f t="shared" si="42"/>
        <v>0.32431836749205201</v>
      </c>
      <c r="AH193" s="101">
        <f t="shared" si="42"/>
        <v>0.34377746954157512</v>
      </c>
      <c r="AI193" s="101">
        <f t="shared" si="42"/>
        <v>0.36440411771406966</v>
      </c>
      <c r="AJ193" s="101">
        <f>IF(AJ$73&lt;$Q$46,VLOOKUP($I$18,$G$84:$AJ$88,AJ$73+5,FALSE),VLOOKUP($O$18,$G$84:$AJ$88,AJ$73+5,FALSE))</f>
        <v>0.38626836477691384</v>
      </c>
    </row>
    <row r="194" spans="7:36" ht="15" hidden="1" customHeight="1" x14ac:dyDescent="0.2">
      <c r="G194" s="60"/>
      <c r="H194" s="60"/>
      <c r="I194" s="60"/>
      <c r="J194" s="60"/>
      <c r="K194" s="60"/>
      <c r="L194" s="60"/>
      <c r="M194" s="60"/>
      <c r="N194" s="60"/>
      <c r="O194" s="60"/>
      <c r="P194" s="60"/>
      <c r="Q194" s="60"/>
      <c r="R194" s="61"/>
      <c r="S194" s="60"/>
      <c r="T194" s="60"/>
      <c r="U194" s="60"/>
      <c r="V194" s="60"/>
      <c r="W194" s="60"/>
      <c r="X194" s="60"/>
      <c r="Y194" s="60"/>
      <c r="Z194" s="60"/>
      <c r="AA194" s="60"/>
      <c r="AB194" s="60"/>
      <c r="AC194" s="60"/>
      <c r="AD194" s="60"/>
      <c r="AE194" s="60"/>
      <c r="AF194" s="60"/>
      <c r="AG194" s="60"/>
      <c r="AH194" s="60"/>
      <c r="AI194" s="60"/>
      <c r="AJ194" s="60"/>
    </row>
    <row r="195" spans="7:36" ht="15" hidden="1" customHeight="1" x14ac:dyDescent="0.2">
      <c r="G195" s="17" t="s">
        <v>4</v>
      </c>
      <c r="H195" s="17"/>
      <c r="I195" s="13"/>
      <c r="J195" s="1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row>
    <row r="196" spans="7:36" ht="15" hidden="1" customHeight="1" x14ac:dyDescent="0.2">
      <c r="G196" s="17" t="s">
        <v>5</v>
      </c>
      <c r="H196" s="17"/>
      <c r="I196" s="13"/>
      <c r="J196" s="1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row>
    <row r="197" spans="7:36" ht="15" hidden="1" customHeight="1" x14ac:dyDescent="0.2">
      <c r="G197" s="17" t="s">
        <v>6</v>
      </c>
      <c r="H197" s="17"/>
      <c r="I197" s="13"/>
      <c r="J197" s="13"/>
      <c r="K197" s="35" t="e">
        <f>IF(K$73&lt;$Q$46,$K$13,$Q$13+$Q$14+$Q$15)</f>
        <v>#DIV/0!</v>
      </c>
      <c r="L197" s="35" t="e">
        <f>IF(L$73&lt;$Q$46,$K$13,$Q$13+$Q$14+$Q$15)</f>
        <v>#DIV/0!</v>
      </c>
      <c r="M197" s="35" t="e">
        <f t="shared" ref="M197:AI197" si="43">IF(M$73&lt;$Q$46,$K$13,$Q$13+$Q$14+$Q$15)</f>
        <v>#DIV/0!</v>
      </c>
      <c r="N197" s="35" t="e">
        <f t="shared" si="43"/>
        <v>#DIV/0!</v>
      </c>
      <c r="O197" s="35" t="e">
        <f t="shared" si="43"/>
        <v>#DIV/0!</v>
      </c>
      <c r="P197" s="35" t="e">
        <f t="shared" si="43"/>
        <v>#DIV/0!</v>
      </c>
      <c r="Q197" s="35" t="e">
        <f t="shared" si="43"/>
        <v>#DIV/0!</v>
      </c>
      <c r="R197" s="35" t="e">
        <f t="shared" si="43"/>
        <v>#DIV/0!</v>
      </c>
      <c r="S197" s="35" t="e">
        <f t="shared" si="43"/>
        <v>#DIV/0!</v>
      </c>
      <c r="T197" s="35" t="e">
        <f t="shared" si="43"/>
        <v>#DIV/0!</v>
      </c>
      <c r="U197" s="35" t="e">
        <f t="shared" si="43"/>
        <v>#DIV/0!</v>
      </c>
      <c r="V197" s="35" t="e">
        <f t="shared" si="43"/>
        <v>#DIV/0!</v>
      </c>
      <c r="W197" s="35" t="e">
        <f t="shared" si="43"/>
        <v>#DIV/0!</v>
      </c>
      <c r="X197" s="35" t="e">
        <f t="shared" si="43"/>
        <v>#DIV/0!</v>
      </c>
      <c r="Y197" s="35" t="e">
        <f t="shared" si="43"/>
        <v>#DIV/0!</v>
      </c>
      <c r="Z197" s="35" t="e">
        <f t="shared" si="43"/>
        <v>#DIV/0!</v>
      </c>
      <c r="AA197" s="35" t="e">
        <f t="shared" si="43"/>
        <v>#DIV/0!</v>
      </c>
      <c r="AB197" s="35" t="e">
        <f t="shared" si="43"/>
        <v>#DIV/0!</v>
      </c>
      <c r="AC197" s="35" t="e">
        <f t="shared" si="43"/>
        <v>#DIV/0!</v>
      </c>
      <c r="AD197" s="35" t="e">
        <f t="shared" si="43"/>
        <v>#DIV/0!</v>
      </c>
      <c r="AE197" s="35" t="e">
        <f t="shared" si="43"/>
        <v>#DIV/0!</v>
      </c>
      <c r="AF197" s="35" t="e">
        <f t="shared" si="43"/>
        <v>#DIV/0!</v>
      </c>
      <c r="AG197" s="35" t="e">
        <f t="shared" si="43"/>
        <v>#DIV/0!</v>
      </c>
      <c r="AH197" s="35" t="e">
        <f t="shared" si="43"/>
        <v>#DIV/0!</v>
      </c>
      <c r="AI197" s="35" t="e">
        <f t="shared" si="43"/>
        <v>#DIV/0!</v>
      </c>
      <c r="AJ197" s="35" t="e">
        <f>IF(AJ$73&lt;$Q$46,$K$13,$Q$13+$Q$14+$Q$15)</f>
        <v>#DIV/0!</v>
      </c>
    </row>
    <row r="198" spans="7:36" ht="15" hidden="1" customHeight="1" x14ac:dyDescent="0.2">
      <c r="G198" s="17"/>
      <c r="H198" s="17"/>
      <c r="I198" s="13"/>
      <c r="J198" s="13"/>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row>
    <row r="199" spans="7:36" ht="15" hidden="1" customHeight="1" x14ac:dyDescent="0.2">
      <c r="G199" s="17" t="s">
        <v>7</v>
      </c>
      <c r="H199" s="17"/>
      <c r="I199" s="13"/>
      <c r="J199" s="1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row>
    <row r="200" spans="7:36" ht="15" hidden="1" customHeight="1" x14ac:dyDescent="0.2">
      <c r="G200" s="17" t="s">
        <v>8</v>
      </c>
      <c r="H200" s="17"/>
      <c r="I200" s="13"/>
      <c r="J200" s="1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row>
    <row r="201" spans="7:36" ht="15" hidden="1" customHeight="1" x14ac:dyDescent="0.2">
      <c r="G201" s="17" t="s">
        <v>9</v>
      </c>
      <c r="H201" s="17"/>
      <c r="I201" s="13"/>
      <c r="J201" s="13"/>
      <c r="K201" s="35" t="e">
        <f>K$192*K197</f>
        <v>#DIV/0!</v>
      </c>
      <c r="L201" s="35" t="e">
        <f>L$192*L197</f>
        <v>#DIV/0!</v>
      </c>
      <c r="M201" s="35" t="e">
        <f t="shared" ref="M201:AI201" si="44">M$192*M197</f>
        <v>#DIV/0!</v>
      </c>
      <c r="N201" s="35" t="e">
        <f t="shared" si="44"/>
        <v>#DIV/0!</v>
      </c>
      <c r="O201" s="35" t="e">
        <f t="shared" si="44"/>
        <v>#DIV/0!</v>
      </c>
      <c r="P201" s="35" t="e">
        <f t="shared" si="44"/>
        <v>#DIV/0!</v>
      </c>
      <c r="Q201" s="35" t="e">
        <f t="shared" si="44"/>
        <v>#DIV/0!</v>
      </c>
      <c r="R201" s="35" t="e">
        <f t="shared" si="44"/>
        <v>#DIV/0!</v>
      </c>
      <c r="S201" s="35" t="e">
        <f t="shared" si="44"/>
        <v>#DIV/0!</v>
      </c>
      <c r="T201" s="35" t="e">
        <f t="shared" si="44"/>
        <v>#DIV/0!</v>
      </c>
      <c r="U201" s="35" t="e">
        <f t="shared" si="44"/>
        <v>#DIV/0!</v>
      </c>
      <c r="V201" s="35" t="e">
        <f t="shared" si="44"/>
        <v>#DIV/0!</v>
      </c>
      <c r="W201" s="35" t="e">
        <f t="shared" si="44"/>
        <v>#DIV/0!</v>
      </c>
      <c r="X201" s="35" t="e">
        <f t="shared" si="44"/>
        <v>#DIV/0!</v>
      </c>
      <c r="Y201" s="35" t="e">
        <f t="shared" si="44"/>
        <v>#DIV/0!</v>
      </c>
      <c r="Z201" s="35" t="e">
        <f t="shared" si="44"/>
        <v>#DIV/0!</v>
      </c>
      <c r="AA201" s="35" t="e">
        <f t="shared" si="44"/>
        <v>#DIV/0!</v>
      </c>
      <c r="AB201" s="35" t="e">
        <f t="shared" si="44"/>
        <v>#DIV/0!</v>
      </c>
      <c r="AC201" s="35" t="e">
        <f t="shared" si="44"/>
        <v>#DIV/0!</v>
      </c>
      <c r="AD201" s="35" t="e">
        <f t="shared" si="44"/>
        <v>#DIV/0!</v>
      </c>
      <c r="AE201" s="35" t="e">
        <f t="shared" si="44"/>
        <v>#DIV/0!</v>
      </c>
      <c r="AF201" s="35" t="e">
        <f t="shared" si="44"/>
        <v>#DIV/0!</v>
      </c>
      <c r="AG201" s="35" t="e">
        <f t="shared" si="44"/>
        <v>#DIV/0!</v>
      </c>
      <c r="AH201" s="35" t="e">
        <f t="shared" si="44"/>
        <v>#DIV/0!</v>
      </c>
      <c r="AI201" s="35" t="e">
        <f t="shared" si="44"/>
        <v>#DIV/0!</v>
      </c>
      <c r="AJ201" s="35" t="e">
        <f>AJ$192*AJ197</f>
        <v>#DIV/0!</v>
      </c>
    </row>
    <row r="202" spans="7:36" ht="15" hidden="1" customHeight="1" x14ac:dyDescent="0.2">
      <c r="G202" s="17"/>
      <c r="H202" s="17"/>
      <c r="I202" s="13"/>
      <c r="J202" s="13"/>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row>
    <row r="203" spans="7:36" ht="15" hidden="1" customHeight="1" x14ac:dyDescent="0.2">
      <c r="G203" s="17" t="s">
        <v>10</v>
      </c>
      <c r="H203" s="17"/>
      <c r="I203" s="13"/>
      <c r="J203" s="1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row>
    <row r="204" spans="7:36" ht="15" hidden="1" customHeight="1" x14ac:dyDescent="0.2">
      <c r="G204" s="17" t="s">
        <v>11</v>
      </c>
      <c r="H204" s="17"/>
      <c r="I204" s="13"/>
      <c r="J204" s="1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row>
    <row r="205" spans="7:36" ht="15" hidden="1" customHeight="1" x14ac:dyDescent="0.2">
      <c r="G205" s="17" t="s">
        <v>12</v>
      </c>
      <c r="H205" s="17"/>
      <c r="I205" s="13"/>
      <c r="J205" s="13"/>
      <c r="K205" s="35" t="e">
        <f>K$193*K197</f>
        <v>#DIV/0!</v>
      </c>
      <c r="L205" s="35" t="e">
        <f>L$193*L197</f>
        <v>#DIV/0!</v>
      </c>
      <c r="M205" s="35" t="e">
        <f t="shared" ref="M205:AI205" si="45">M$193*M197</f>
        <v>#DIV/0!</v>
      </c>
      <c r="N205" s="35" t="e">
        <f t="shared" si="45"/>
        <v>#DIV/0!</v>
      </c>
      <c r="O205" s="35" t="e">
        <f t="shared" si="45"/>
        <v>#DIV/0!</v>
      </c>
      <c r="P205" s="35" t="e">
        <f t="shared" si="45"/>
        <v>#DIV/0!</v>
      </c>
      <c r="Q205" s="35" t="e">
        <f t="shared" si="45"/>
        <v>#DIV/0!</v>
      </c>
      <c r="R205" s="35" t="e">
        <f t="shared" si="45"/>
        <v>#DIV/0!</v>
      </c>
      <c r="S205" s="35" t="e">
        <f t="shared" si="45"/>
        <v>#DIV/0!</v>
      </c>
      <c r="T205" s="35" t="e">
        <f t="shared" si="45"/>
        <v>#DIV/0!</v>
      </c>
      <c r="U205" s="35" t="e">
        <f t="shared" si="45"/>
        <v>#DIV/0!</v>
      </c>
      <c r="V205" s="35" t="e">
        <f t="shared" si="45"/>
        <v>#DIV/0!</v>
      </c>
      <c r="W205" s="35" t="e">
        <f t="shared" si="45"/>
        <v>#DIV/0!</v>
      </c>
      <c r="X205" s="35" t="e">
        <f t="shared" si="45"/>
        <v>#DIV/0!</v>
      </c>
      <c r="Y205" s="35" t="e">
        <f t="shared" si="45"/>
        <v>#DIV/0!</v>
      </c>
      <c r="Z205" s="35" t="e">
        <f t="shared" si="45"/>
        <v>#DIV/0!</v>
      </c>
      <c r="AA205" s="35" t="e">
        <f t="shared" si="45"/>
        <v>#DIV/0!</v>
      </c>
      <c r="AB205" s="35" t="e">
        <f t="shared" si="45"/>
        <v>#DIV/0!</v>
      </c>
      <c r="AC205" s="35" t="e">
        <f t="shared" si="45"/>
        <v>#DIV/0!</v>
      </c>
      <c r="AD205" s="35" t="e">
        <f t="shared" si="45"/>
        <v>#DIV/0!</v>
      </c>
      <c r="AE205" s="35" t="e">
        <f t="shared" si="45"/>
        <v>#DIV/0!</v>
      </c>
      <c r="AF205" s="35" t="e">
        <f t="shared" si="45"/>
        <v>#DIV/0!</v>
      </c>
      <c r="AG205" s="35" t="e">
        <f t="shared" si="45"/>
        <v>#DIV/0!</v>
      </c>
      <c r="AH205" s="35" t="e">
        <f t="shared" si="45"/>
        <v>#DIV/0!</v>
      </c>
      <c r="AI205" s="35" t="e">
        <f t="shared" si="45"/>
        <v>#DIV/0!</v>
      </c>
      <c r="AJ205" s="35" t="e">
        <f>AJ$193*AJ197</f>
        <v>#DIV/0!</v>
      </c>
    </row>
    <row r="206" spans="7:36" ht="15" hidden="1" customHeight="1" x14ac:dyDescent="0.2">
      <c r="G206" s="17" t="s">
        <v>13</v>
      </c>
      <c r="H206" s="17"/>
      <c r="I206" s="13"/>
      <c r="J206" s="13"/>
      <c r="K206" s="35" t="e">
        <f t="shared" ref="K206:AI206" si="46">K$91*K201</f>
        <v>#DIV/0!</v>
      </c>
      <c r="L206" s="35" t="e">
        <f>L$91*L201</f>
        <v>#DIV/0!</v>
      </c>
      <c r="M206" s="35" t="e">
        <f t="shared" si="46"/>
        <v>#DIV/0!</v>
      </c>
      <c r="N206" s="35" t="e">
        <f t="shared" si="46"/>
        <v>#DIV/0!</v>
      </c>
      <c r="O206" s="35" t="e">
        <f t="shared" si="46"/>
        <v>#DIV/0!</v>
      </c>
      <c r="P206" s="35" t="e">
        <f t="shared" si="46"/>
        <v>#DIV/0!</v>
      </c>
      <c r="Q206" s="35" t="e">
        <f t="shared" si="46"/>
        <v>#DIV/0!</v>
      </c>
      <c r="R206" s="35" t="e">
        <f t="shared" si="46"/>
        <v>#DIV/0!</v>
      </c>
      <c r="S206" s="35" t="e">
        <f t="shared" si="46"/>
        <v>#DIV/0!</v>
      </c>
      <c r="T206" s="35" t="e">
        <f t="shared" si="46"/>
        <v>#DIV/0!</v>
      </c>
      <c r="U206" s="35" t="e">
        <f t="shared" si="46"/>
        <v>#DIV/0!</v>
      </c>
      <c r="V206" s="35" t="e">
        <f t="shared" si="46"/>
        <v>#DIV/0!</v>
      </c>
      <c r="W206" s="35" t="e">
        <f t="shared" si="46"/>
        <v>#DIV/0!</v>
      </c>
      <c r="X206" s="35" t="e">
        <f t="shared" si="46"/>
        <v>#DIV/0!</v>
      </c>
      <c r="Y206" s="35" t="e">
        <f t="shared" si="46"/>
        <v>#DIV/0!</v>
      </c>
      <c r="Z206" s="35" t="e">
        <f t="shared" si="46"/>
        <v>#DIV/0!</v>
      </c>
      <c r="AA206" s="35" t="e">
        <f t="shared" si="46"/>
        <v>#DIV/0!</v>
      </c>
      <c r="AB206" s="35" t="e">
        <f t="shared" si="46"/>
        <v>#DIV/0!</v>
      </c>
      <c r="AC206" s="35" t="e">
        <f t="shared" si="46"/>
        <v>#DIV/0!</v>
      </c>
      <c r="AD206" s="35" t="e">
        <f t="shared" si="46"/>
        <v>#DIV/0!</v>
      </c>
      <c r="AE206" s="35" t="e">
        <f t="shared" si="46"/>
        <v>#DIV/0!</v>
      </c>
      <c r="AF206" s="35" t="e">
        <f t="shared" si="46"/>
        <v>#DIV/0!</v>
      </c>
      <c r="AG206" s="35" t="e">
        <f t="shared" si="46"/>
        <v>#DIV/0!</v>
      </c>
      <c r="AH206" s="35" t="e">
        <f t="shared" si="46"/>
        <v>#DIV/0!</v>
      </c>
      <c r="AI206" s="35" t="e">
        <f t="shared" si="46"/>
        <v>#DIV/0!</v>
      </c>
      <c r="AJ206" s="35" t="e">
        <f>AJ$91*AJ201</f>
        <v>#DIV/0!</v>
      </c>
    </row>
    <row r="207" spans="7:36" ht="15" hidden="1" customHeight="1" x14ac:dyDescent="0.2">
      <c r="G207" s="17"/>
      <c r="H207" s="17"/>
      <c r="I207" s="13"/>
      <c r="J207" s="13"/>
      <c r="K207" s="35"/>
      <c r="L207" s="35"/>
      <c r="M207" s="35"/>
      <c r="N207" s="35"/>
      <c r="O207" s="35"/>
      <c r="P207" s="35"/>
      <c r="Q207" s="35"/>
      <c r="R207" s="35"/>
      <c r="S207" s="35"/>
      <c r="T207" s="35"/>
      <c r="U207" s="35"/>
      <c r="V207" s="35"/>
      <c r="W207" s="35"/>
      <c r="X207" s="35"/>
      <c r="Y207" s="35"/>
      <c r="Z207" s="35"/>
      <c r="AA207" s="35"/>
      <c r="AB207" s="35"/>
      <c r="AC207" s="35"/>
      <c r="AD207" s="35"/>
      <c r="AE207" s="35"/>
      <c r="AF207" s="35"/>
      <c r="AG207" s="35"/>
      <c r="AH207" s="35"/>
      <c r="AI207" s="35"/>
      <c r="AJ207" s="35"/>
    </row>
    <row r="208" spans="7:36" ht="15" hidden="1" customHeight="1" x14ac:dyDescent="0.2">
      <c r="G208" s="17" t="s">
        <v>14</v>
      </c>
      <c r="H208" s="17"/>
      <c r="I208" s="13"/>
      <c r="J208" s="13"/>
      <c r="K208" s="35" t="e">
        <f>SUM(K203:K206)</f>
        <v>#DIV/0!</v>
      </c>
      <c r="L208" s="35" t="e">
        <f>SUM(L203:L206)</f>
        <v>#DIV/0!</v>
      </c>
      <c r="M208" s="35" t="e">
        <f t="shared" ref="M208:AH208" si="47">SUM(M203:M206)</f>
        <v>#DIV/0!</v>
      </c>
      <c r="N208" s="35" t="e">
        <f t="shared" si="47"/>
        <v>#DIV/0!</v>
      </c>
      <c r="O208" s="35" t="e">
        <f t="shared" si="47"/>
        <v>#DIV/0!</v>
      </c>
      <c r="P208" s="35" t="e">
        <f t="shared" si="47"/>
        <v>#DIV/0!</v>
      </c>
      <c r="Q208" s="35" t="e">
        <f t="shared" si="47"/>
        <v>#DIV/0!</v>
      </c>
      <c r="R208" s="35" t="e">
        <f t="shared" si="47"/>
        <v>#DIV/0!</v>
      </c>
      <c r="S208" s="35" t="e">
        <f t="shared" si="47"/>
        <v>#DIV/0!</v>
      </c>
      <c r="T208" s="35" t="e">
        <f t="shared" si="47"/>
        <v>#DIV/0!</v>
      </c>
      <c r="U208" s="35" t="e">
        <f t="shared" si="47"/>
        <v>#DIV/0!</v>
      </c>
      <c r="V208" s="35" t="e">
        <f t="shared" si="47"/>
        <v>#DIV/0!</v>
      </c>
      <c r="W208" s="35" t="e">
        <f t="shared" si="47"/>
        <v>#DIV/0!</v>
      </c>
      <c r="X208" s="35" t="e">
        <f t="shared" si="47"/>
        <v>#DIV/0!</v>
      </c>
      <c r="Y208" s="35" t="e">
        <f t="shared" si="47"/>
        <v>#DIV/0!</v>
      </c>
      <c r="Z208" s="35" t="e">
        <f t="shared" si="47"/>
        <v>#DIV/0!</v>
      </c>
      <c r="AA208" s="35" t="e">
        <f t="shared" si="47"/>
        <v>#DIV/0!</v>
      </c>
      <c r="AB208" s="35" t="e">
        <f t="shared" si="47"/>
        <v>#DIV/0!</v>
      </c>
      <c r="AC208" s="35" t="e">
        <f t="shared" si="47"/>
        <v>#DIV/0!</v>
      </c>
      <c r="AD208" s="35" t="e">
        <f t="shared" si="47"/>
        <v>#DIV/0!</v>
      </c>
      <c r="AE208" s="35" t="e">
        <f t="shared" si="47"/>
        <v>#DIV/0!</v>
      </c>
      <c r="AF208" s="35" t="e">
        <f t="shared" si="47"/>
        <v>#DIV/0!</v>
      </c>
      <c r="AG208" s="35" t="e">
        <f t="shared" si="47"/>
        <v>#DIV/0!</v>
      </c>
      <c r="AH208" s="35" t="e">
        <f t="shared" si="47"/>
        <v>#DIV/0!</v>
      </c>
      <c r="AI208" s="35" t="e">
        <f>SUM(AI203:AI206)</f>
        <v>#DIV/0!</v>
      </c>
      <c r="AJ208" s="35" t="e">
        <f>SUM(AJ203:AJ206)</f>
        <v>#DIV/0!</v>
      </c>
    </row>
    <row r="209" spans="7:36" ht="15" hidden="1" customHeight="1" x14ac:dyDescent="0.2">
      <c r="G209" s="17" t="s">
        <v>435</v>
      </c>
      <c r="H209" s="17"/>
      <c r="I209" s="13"/>
      <c r="J209" s="13"/>
      <c r="K209" s="35" t="e">
        <f>K208</f>
        <v>#DIV/0!</v>
      </c>
      <c r="L209" s="35" t="e">
        <f t="shared" ref="L209:AJ209" si="48">K209+L208</f>
        <v>#DIV/0!</v>
      </c>
      <c r="M209" s="35" t="e">
        <f t="shared" si="48"/>
        <v>#DIV/0!</v>
      </c>
      <c r="N209" s="35" t="e">
        <f t="shared" si="48"/>
        <v>#DIV/0!</v>
      </c>
      <c r="O209" s="35" t="e">
        <f t="shared" si="48"/>
        <v>#DIV/0!</v>
      </c>
      <c r="P209" s="35" t="e">
        <f t="shared" si="48"/>
        <v>#DIV/0!</v>
      </c>
      <c r="Q209" s="35" t="e">
        <f t="shared" si="48"/>
        <v>#DIV/0!</v>
      </c>
      <c r="R209" s="35" t="e">
        <f t="shared" si="48"/>
        <v>#DIV/0!</v>
      </c>
      <c r="S209" s="35" t="e">
        <f t="shared" si="48"/>
        <v>#DIV/0!</v>
      </c>
      <c r="T209" s="35" t="e">
        <f t="shared" si="48"/>
        <v>#DIV/0!</v>
      </c>
      <c r="U209" s="35" t="e">
        <f t="shared" si="48"/>
        <v>#DIV/0!</v>
      </c>
      <c r="V209" s="35" t="e">
        <f t="shared" si="48"/>
        <v>#DIV/0!</v>
      </c>
      <c r="W209" s="35" t="e">
        <f t="shared" si="48"/>
        <v>#DIV/0!</v>
      </c>
      <c r="X209" s="35" t="e">
        <f t="shared" si="48"/>
        <v>#DIV/0!</v>
      </c>
      <c r="Y209" s="35" t="e">
        <f t="shared" si="48"/>
        <v>#DIV/0!</v>
      </c>
      <c r="Z209" s="35" t="e">
        <f t="shared" si="48"/>
        <v>#DIV/0!</v>
      </c>
      <c r="AA209" s="35" t="e">
        <f t="shared" si="48"/>
        <v>#DIV/0!</v>
      </c>
      <c r="AB209" s="35" t="e">
        <f t="shared" si="48"/>
        <v>#DIV/0!</v>
      </c>
      <c r="AC209" s="35" t="e">
        <f t="shared" si="48"/>
        <v>#DIV/0!</v>
      </c>
      <c r="AD209" s="35" t="e">
        <f t="shared" si="48"/>
        <v>#DIV/0!</v>
      </c>
      <c r="AE209" s="35" t="e">
        <f t="shared" si="48"/>
        <v>#DIV/0!</v>
      </c>
      <c r="AF209" s="35" t="e">
        <f t="shared" si="48"/>
        <v>#DIV/0!</v>
      </c>
      <c r="AG209" s="35" t="e">
        <f t="shared" si="48"/>
        <v>#DIV/0!</v>
      </c>
      <c r="AH209" s="35" t="e">
        <f t="shared" si="48"/>
        <v>#DIV/0!</v>
      </c>
      <c r="AI209" s="35" t="e">
        <f t="shared" si="48"/>
        <v>#DIV/0!</v>
      </c>
      <c r="AJ209" s="35" t="e">
        <f t="shared" si="48"/>
        <v>#DIV/0!</v>
      </c>
    </row>
    <row r="210" spans="7:36" ht="15" hidden="1" customHeight="1" x14ac:dyDescent="0.2">
      <c r="G210" s="17"/>
      <c r="H210" s="17"/>
      <c r="I210" s="13"/>
      <c r="J210" s="13"/>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row>
    <row r="211" spans="7:36" ht="15" hidden="1" customHeight="1" x14ac:dyDescent="0.2">
      <c r="G211" s="17" t="s">
        <v>17</v>
      </c>
      <c r="H211" s="17"/>
      <c r="I211" s="13"/>
      <c r="J211" s="13"/>
      <c r="K211" s="35" t="e">
        <f>K208/(((Data!$P$186/100)+1)^K$73)</f>
        <v>#DIV/0!</v>
      </c>
      <c r="L211" s="35" t="e">
        <f>L208/(((Data!$P$186/100)+1)^L$73)</f>
        <v>#DIV/0!</v>
      </c>
      <c r="M211" s="35" t="e">
        <f>M208/(((Data!$P$186/100)+1)^M$73)</f>
        <v>#DIV/0!</v>
      </c>
      <c r="N211" s="35" t="e">
        <f>N208/(((Data!$P$186/100)+1)^N$73)</f>
        <v>#DIV/0!</v>
      </c>
      <c r="O211" s="35" t="e">
        <f>O208/(((Data!$P$186/100)+1)^O$73)</f>
        <v>#DIV/0!</v>
      </c>
      <c r="P211" s="35" t="e">
        <f>P208/(((Data!$P$186/100)+1)^P$73)</f>
        <v>#DIV/0!</v>
      </c>
      <c r="Q211" s="35" t="e">
        <f>Q208/(((Data!$P$186/100)+1)^Q$73)</f>
        <v>#DIV/0!</v>
      </c>
      <c r="R211" s="35" t="e">
        <f>R208/(((Data!$P$186/100)+1)^R$73)</f>
        <v>#DIV/0!</v>
      </c>
      <c r="S211" s="35" t="e">
        <f>S208/(((Data!$P$186/100)+1)^S$73)</f>
        <v>#DIV/0!</v>
      </c>
      <c r="T211" s="35" t="e">
        <f>T208/(((Data!$P$186/100)+1)^T$73)</f>
        <v>#DIV/0!</v>
      </c>
      <c r="U211" s="35" t="e">
        <f>U208/(((Data!$P$186/100)+1)^U$73)</f>
        <v>#DIV/0!</v>
      </c>
      <c r="V211" s="35" t="e">
        <f>V208/(((Data!$P$186/100)+1)^V$73)</f>
        <v>#DIV/0!</v>
      </c>
      <c r="W211" s="35" t="e">
        <f>W208/(((Data!$P$186/100)+1)^W$73)</f>
        <v>#DIV/0!</v>
      </c>
      <c r="X211" s="35" t="e">
        <f>X208/(((Data!$P$186/100)+1)^X$73)</f>
        <v>#DIV/0!</v>
      </c>
      <c r="Y211" s="35" t="e">
        <f>Y208/(((Data!$P$186/100)+1)^Y$73)</f>
        <v>#DIV/0!</v>
      </c>
      <c r="Z211" s="35" t="e">
        <f>Z208/(((Data!$P$186/100)+1)^Z$73)</f>
        <v>#DIV/0!</v>
      </c>
      <c r="AA211" s="35" t="e">
        <f>AA208/(((Data!$P$186/100)+1)^AA$73)</f>
        <v>#DIV/0!</v>
      </c>
      <c r="AB211" s="35" t="e">
        <f>AB208/(((Data!$P$186/100)+1)^AB$73)</f>
        <v>#DIV/0!</v>
      </c>
      <c r="AC211" s="35" t="e">
        <f>AC208/(((Data!$P$186/100)+1)^AC$73)</f>
        <v>#DIV/0!</v>
      </c>
      <c r="AD211" s="35" t="e">
        <f>AD208/(((Data!$P$186/100)+1)^AD$73)</f>
        <v>#DIV/0!</v>
      </c>
      <c r="AE211" s="35" t="e">
        <f>AE208/(((Data!$P$186/100)+1)^AE$73)</f>
        <v>#DIV/0!</v>
      </c>
      <c r="AF211" s="35" t="e">
        <f>AF208/(((Data!$P$186/100)+1)^AF$73)</f>
        <v>#DIV/0!</v>
      </c>
      <c r="AG211" s="35" t="e">
        <f>AG208/(((Data!$P$186/100)+1)^AG$73)</f>
        <v>#DIV/0!</v>
      </c>
      <c r="AH211" s="35" t="e">
        <f>AH208/(((Data!$P$186/100)+1)^AH$73)</f>
        <v>#DIV/0!</v>
      </c>
      <c r="AI211" s="35" t="e">
        <f>AI208/(((Data!$P$186/100)+1)^AI$73)</f>
        <v>#DIV/0!</v>
      </c>
      <c r="AJ211" s="35" t="e">
        <f>AJ208/(((Data!$P$186/100)+1)^AJ$73)</f>
        <v>#DIV/0!</v>
      </c>
    </row>
    <row r="212" spans="7:36" ht="15" hidden="1" customHeight="1" x14ac:dyDescent="0.2">
      <c r="G212" s="15" t="s">
        <v>184</v>
      </c>
      <c r="H212" s="15"/>
      <c r="I212" s="13"/>
      <c r="J212" s="13"/>
      <c r="K212" s="36" t="e">
        <f>K211</f>
        <v>#DIV/0!</v>
      </c>
      <c r="L212" s="36" t="e">
        <f t="shared" ref="L212:AJ212" si="49">K212+L211</f>
        <v>#DIV/0!</v>
      </c>
      <c r="M212" s="36" t="e">
        <f t="shared" si="49"/>
        <v>#DIV/0!</v>
      </c>
      <c r="N212" s="36" t="e">
        <f t="shared" si="49"/>
        <v>#DIV/0!</v>
      </c>
      <c r="O212" s="36" t="e">
        <f t="shared" si="49"/>
        <v>#DIV/0!</v>
      </c>
      <c r="P212" s="36" t="e">
        <f t="shared" si="49"/>
        <v>#DIV/0!</v>
      </c>
      <c r="Q212" s="36" t="e">
        <f t="shared" si="49"/>
        <v>#DIV/0!</v>
      </c>
      <c r="R212" s="36" t="e">
        <f t="shared" si="49"/>
        <v>#DIV/0!</v>
      </c>
      <c r="S212" s="36" t="e">
        <f t="shared" si="49"/>
        <v>#DIV/0!</v>
      </c>
      <c r="T212" s="36" t="e">
        <f t="shared" si="49"/>
        <v>#DIV/0!</v>
      </c>
      <c r="U212" s="36" t="e">
        <f t="shared" si="49"/>
        <v>#DIV/0!</v>
      </c>
      <c r="V212" s="36" t="e">
        <f t="shared" si="49"/>
        <v>#DIV/0!</v>
      </c>
      <c r="W212" s="36" t="e">
        <f t="shared" si="49"/>
        <v>#DIV/0!</v>
      </c>
      <c r="X212" s="36" t="e">
        <f t="shared" si="49"/>
        <v>#DIV/0!</v>
      </c>
      <c r="Y212" s="36" t="e">
        <f t="shared" si="49"/>
        <v>#DIV/0!</v>
      </c>
      <c r="Z212" s="36" t="e">
        <f t="shared" si="49"/>
        <v>#DIV/0!</v>
      </c>
      <c r="AA212" s="36" t="e">
        <f t="shared" si="49"/>
        <v>#DIV/0!</v>
      </c>
      <c r="AB212" s="36" t="e">
        <f t="shared" si="49"/>
        <v>#DIV/0!</v>
      </c>
      <c r="AC212" s="36" t="e">
        <f t="shared" si="49"/>
        <v>#DIV/0!</v>
      </c>
      <c r="AD212" s="36" t="e">
        <f t="shared" si="49"/>
        <v>#DIV/0!</v>
      </c>
      <c r="AE212" s="36" t="e">
        <f t="shared" si="49"/>
        <v>#DIV/0!</v>
      </c>
      <c r="AF212" s="36" t="e">
        <f t="shared" si="49"/>
        <v>#DIV/0!</v>
      </c>
      <c r="AG212" s="36" t="e">
        <f t="shared" si="49"/>
        <v>#DIV/0!</v>
      </c>
      <c r="AH212" s="36" t="e">
        <f t="shared" si="49"/>
        <v>#DIV/0!</v>
      </c>
      <c r="AI212" s="36" t="e">
        <f t="shared" si="49"/>
        <v>#DIV/0!</v>
      </c>
      <c r="AJ212" s="36" t="e">
        <f t="shared" si="49"/>
        <v>#DIV/0!</v>
      </c>
    </row>
    <row r="213" spans="7:36" ht="15" hidden="1" customHeight="1" x14ac:dyDescent="0.2">
      <c r="G213" s="8"/>
      <c r="H213" s="8"/>
      <c r="I213" s="8"/>
      <c r="J213" s="8"/>
      <c r="K213" s="8"/>
      <c r="L213" s="8"/>
      <c r="M213" s="8"/>
      <c r="N213" s="8"/>
      <c r="O213" s="8"/>
      <c r="P213" s="8"/>
      <c r="Q213" s="8"/>
      <c r="R213" s="8"/>
      <c r="S213" s="8"/>
      <c r="T213" s="9"/>
      <c r="U213" s="8"/>
      <c r="V213" s="8"/>
      <c r="W213" s="8"/>
      <c r="X213" s="8"/>
      <c r="Y213" s="8"/>
      <c r="Z213" s="8"/>
      <c r="AA213" s="8"/>
      <c r="AB213" s="8"/>
      <c r="AC213" s="8"/>
      <c r="AD213" s="8"/>
      <c r="AE213" s="8"/>
      <c r="AF213" s="8"/>
      <c r="AG213" s="8"/>
      <c r="AH213" s="8"/>
      <c r="AI213" s="8"/>
      <c r="AJ213" s="8"/>
    </row>
    <row r="214" spans="7:36" ht="15" hidden="1" customHeight="1" x14ac:dyDescent="0.2">
      <c r="G214" s="906" t="s">
        <v>513</v>
      </c>
      <c r="H214" s="839"/>
      <c r="I214" s="839"/>
      <c r="J214" s="839"/>
      <c r="K214" s="917"/>
      <c r="L214" s="917"/>
      <c r="M214" s="917"/>
      <c r="N214" s="917"/>
      <c r="O214" s="917"/>
      <c r="P214" s="917"/>
      <c r="Q214" s="917"/>
      <c r="R214" s="917"/>
      <c r="S214" s="917"/>
      <c r="T214" s="917"/>
      <c r="U214" s="917"/>
      <c r="V214" s="917"/>
      <c r="W214" s="917"/>
      <c r="X214" s="917"/>
      <c r="Y214" s="917"/>
      <c r="Z214" s="917"/>
      <c r="AA214" s="917"/>
      <c r="AB214" s="917"/>
      <c r="AC214" s="917"/>
      <c r="AD214" s="917"/>
      <c r="AE214" s="917"/>
      <c r="AF214" s="917"/>
      <c r="AG214" s="917"/>
      <c r="AH214" s="917"/>
      <c r="AI214" s="917"/>
      <c r="AJ214" s="917"/>
    </row>
    <row r="215" spans="7:36" ht="15" hidden="1" customHeight="1" x14ac:dyDescent="0.2">
      <c r="G215" s="839"/>
      <c r="H215" s="839"/>
      <c r="I215" s="839"/>
      <c r="J215" s="839"/>
      <c r="K215" s="917"/>
      <c r="L215" s="917"/>
      <c r="M215" s="917"/>
      <c r="N215" s="917"/>
      <c r="O215" s="917"/>
      <c r="P215" s="917"/>
      <c r="Q215" s="917"/>
      <c r="R215" s="917"/>
      <c r="S215" s="917"/>
      <c r="T215" s="917"/>
      <c r="U215" s="917"/>
      <c r="V215" s="917"/>
      <c r="W215" s="917"/>
      <c r="X215" s="917"/>
      <c r="Y215" s="917"/>
      <c r="Z215" s="917"/>
      <c r="AA215" s="917"/>
      <c r="AB215" s="917"/>
      <c r="AC215" s="917"/>
      <c r="AD215" s="917"/>
      <c r="AE215" s="917"/>
      <c r="AF215" s="917"/>
      <c r="AG215" s="917"/>
      <c r="AH215" s="917"/>
      <c r="AI215" s="917"/>
      <c r="AJ215" s="917"/>
    </row>
    <row r="216" spans="7:36" ht="15" hidden="1" customHeight="1" x14ac:dyDescent="0.2">
      <c r="G216" s="839" t="s">
        <v>2</v>
      </c>
      <c r="H216" s="864"/>
      <c r="I216" s="864"/>
      <c r="J216" s="864"/>
      <c r="K216" s="925">
        <f>IF(K$73&lt;$AC$46,VLOOKUP($I$18,$G$78:$AJ$82,K$73+5,FALSE),VLOOKUP($AA$18,$G$78:$AJ$82,K$73+5,FALSE))</f>
        <v>0.184</v>
      </c>
      <c r="L216" s="925">
        <f t="shared" ref="L216:AJ216" si="50">IF(L$73&lt;$AC$46,VLOOKUP($I$18,$G$78:$AJ$82,L$73+5,FALSE),VLOOKUP($AA$18,$G$78:$AJ$82,L$73+5,FALSE))</f>
        <v>0.184</v>
      </c>
      <c r="M216" s="925">
        <f t="shared" si="50"/>
        <v>0.184</v>
      </c>
      <c r="N216" s="925">
        <f t="shared" si="50"/>
        <v>0.184</v>
      </c>
      <c r="O216" s="925">
        <f t="shared" si="50"/>
        <v>0.184</v>
      </c>
      <c r="P216" s="925">
        <f t="shared" si="50"/>
        <v>0.184</v>
      </c>
      <c r="Q216" s="925">
        <f t="shared" si="50"/>
        <v>0.184</v>
      </c>
      <c r="R216" s="925">
        <f t="shared" si="50"/>
        <v>0.184</v>
      </c>
      <c r="S216" s="925">
        <f t="shared" si="50"/>
        <v>0.184</v>
      </c>
      <c r="T216" s="925">
        <f t="shared" si="50"/>
        <v>0.184</v>
      </c>
      <c r="U216" s="925">
        <f t="shared" si="50"/>
        <v>0.184</v>
      </c>
      <c r="V216" s="925">
        <f t="shared" si="50"/>
        <v>0.184</v>
      </c>
      <c r="W216" s="925">
        <f t="shared" si="50"/>
        <v>0.184</v>
      </c>
      <c r="X216" s="925">
        <f t="shared" si="50"/>
        <v>0.184</v>
      </c>
      <c r="Y216" s="925">
        <f t="shared" si="50"/>
        <v>0.184</v>
      </c>
      <c r="Z216" s="925">
        <f t="shared" si="50"/>
        <v>0.184</v>
      </c>
      <c r="AA216" s="925">
        <f t="shared" si="50"/>
        <v>0.184</v>
      </c>
      <c r="AB216" s="925">
        <f t="shared" si="50"/>
        <v>0.184</v>
      </c>
      <c r="AC216" s="925">
        <f t="shared" si="50"/>
        <v>0.184</v>
      </c>
      <c r="AD216" s="925">
        <f t="shared" si="50"/>
        <v>0.184</v>
      </c>
      <c r="AE216" s="925">
        <f t="shared" si="50"/>
        <v>0.184</v>
      </c>
      <c r="AF216" s="925">
        <f t="shared" si="50"/>
        <v>0.184</v>
      </c>
      <c r="AG216" s="925">
        <f t="shared" si="50"/>
        <v>0.184</v>
      </c>
      <c r="AH216" s="925">
        <f t="shared" si="50"/>
        <v>0.184</v>
      </c>
      <c r="AI216" s="925">
        <f t="shared" si="50"/>
        <v>0.184</v>
      </c>
      <c r="AJ216" s="925">
        <f t="shared" si="50"/>
        <v>0.184</v>
      </c>
    </row>
    <row r="217" spans="7:36" ht="15" hidden="1" customHeight="1" x14ac:dyDescent="0.2">
      <c r="G217" s="839" t="s">
        <v>1</v>
      </c>
      <c r="H217" s="864"/>
      <c r="I217" s="864"/>
      <c r="J217" s="864"/>
      <c r="K217" s="925">
        <f t="shared" ref="K217:AJ217" si="51">IF(K$73&lt;$AC$46,VLOOKUP($I$18,$G$84:$AJ$88,K$73+5,FALSE),VLOOKUP($AA$18,$G$84:$AJ$88,K$73+5,FALSE))</f>
        <v>0.09</v>
      </c>
      <c r="L217" s="925">
        <f t="shared" si="51"/>
        <v>9.5399999999999999E-2</v>
      </c>
      <c r="M217" s="925">
        <f t="shared" si="51"/>
        <v>0.10112400000000001</v>
      </c>
      <c r="N217" s="925">
        <f t="shared" si="51"/>
        <v>0.10719144000000001</v>
      </c>
      <c r="O217" s="925">
        <f t="shared" si="51"/>
        <v>0.11362292640000002</v>
      </c>
      <c r="P217" s="925">
        <f t="shared" si="51"/>
        <v>0.12044030198400002</v>
      </c>
      <c r="Q217" s="925">
        <f t="shared" si="51"/>
        <v>0.12766672010304003</v>
      </c>
      <c r="R217" s="925">
        <f t="shared" si="51"/>
        <v>0.13532672330922244</v>
      </c>
      <c r="S217" s="925">
        <f t="shared" si="51"/>
        <v>0.1434463267077758</v>
      </c>
      <c r="T217" s="925">
        <f t="shared" si="51"/>
        <v>0.15205310631024235</v>
      </c>
      <c r="U217" s="925">
        <f t="shared" si="51"/>
        <v>0.16117629268885691</v>
      </c>
      <c r="V217" s="925">
        <f t="shared" si="51"/>
        <v>0.17084687025018833</v>
      </c>
      <c r="W217" s="925">
        <f t="shared" si="51"/>
        <v>0.18109768246519964</v>
      </c>
      <c r="X217" s="925">
        <f t="shared" si="51"/>
        <v>0.19196354341311161</v>
      </c>
      <c r="Y217" s="925">
        <f t="shared" si="51"/>
        <v>0.20348135601789832</v>
      </c>
      <c r="Z217" s="925">
        <f t="shared" si="51"/>
        <v>0.21569023737897222</v>
      </c>
      <c r="AA217" s="925">
        <f t="shared" si="51"/>
        <v>0.22863165162171056</v>
      </c>
      <c r="AB217" s="925">
        <f t="shared" si="51"/>
        <v>0.24234955071901321</v>
      </c>
      <c r="AC217" s="925">
        <f t="shared" si="51"/>
        <v>0.25689052376215399</v>
      </c>
      <c r="AD217" s="925">
        <f t="shared" si="51"/>
        <v>0.27230395518788325</v>
      </c>
      <c r="AE217" s="925">
        <f t="shared" si="51"/>
        <v>0.28864219249915624</v>
      </c>
      <c r="AF217" s="925">
        <f t="shared" si="51"/>
        <v>0.30596072404910563</v>
      </c>
      <c r="AG217" s="925">
        <f t="shared" si="51"/>
        <v>0.32431836749205201</v>
      </c>
      <c r="AH217" s="925">
        <f t="shared" si="51"/>
        <v>0.34377746954157512</v>
      </c>
      <c r="AI217" s="925">
        <f t="shared" si="51"/>
        <v>0.36440411771406966</v>
      </c>
      <c r="AJ217" s="925">
        <f t="shared" si="51"/>
        <v>0.38626836477691384</v>
      </c>
    </row>
    <row r="218" spans="7:36" ht="15" hidden="1" customHeight="1" x14ac:dyDescent="0.2">
      <c r="G218" s="864"/>
      <c r="H218" s="864"/>
      <c r="I218" s="864"/>
      <c r="J218" s="864"/>
      <c r="K218" s="864"/>
      <c r="L218" s="864"/>
      <c r="M218" s="864"/>
      <c r="N218" s="864"/>
      <c r="O218" s="864"/>
      <c r="P218" s="864"/>
      <c r="Q218" s="864"/>
      <c r="R218" s="864"/>
      <c r="S218" s="864"/>
      <c r="T218" s="864"/>
      <c r="U218" s="864"/>
      <c r="V218" s="864"/>
      <c r="W218" s="864"/>
      <c r="X218" s="864"/>
      <c r="Y218" s="864"/>
      <c r="Z218" s="864"/>
      <c r="AA218" s="864"/>
      <c r="AB218" s="864"/>
      <c r="AC218" s="864"/>
      <c r="AD218" s="864"/>
      <c r="AE218" s="864"/>
      <c r="AF218" s="864"/>
      <c r="AG218" s="864"/>
      <c r="AH218" s="864"/>
      <c r="AI218" s="864"/>
      <c r="AJ218" s="864"/>
    </row>
    <row r="219" spans="7:36" ht="15" hidden="1" customHeight="1" x14ac:dyDescent="0.2">
      <c r="G219" s="839" t="s">
        <v>4</v>
      </c>
      <c r="H219" s="839"/>
      <c r="I219" s="839"/>
      <c r="J219" s="839"/>
      <c r="K219" s="920"/>
      <c r="L219" s="920"/>
      <c r="M219" s="920"/>
      <c r="N219" s="920"/>
      <c r="O219" s="920"/>
      <c r="P219" s="920"/>
      <c r="Q219" s="920"/>
      <c r="R219" s="920"/>
      <c r="S219" s="920"/>
      <c r="T219" s="920"/>
      <c r="U219" s="920"/>
      <c r="V219" s="920"/>
      <c r="W219" s="920"/>
      <c r="X219" s="920"/>
      <c r="Y219" s="920"/>
      <c r="Z219" s="920"/>
      <c r="AA219" s="920"/>
      <c r="AB219" s="920"/>
      <c r="AC219" s="920"/>
      <c r="AD219" s="920"/>
      <c r="AE219" s="920"/>
      <c r="AF219" s="920"/>
      <c r="AG219" s="920"/>
      <c r="AH219" s="920"/>
      <c r="AI219" s="920"/>
      <c r="AJ219" s="920"/>
    </row>
    <row r="220" spans="7:36" ht="15" hidden="1" customHeight="1" x14ac:dyDescent="0.2">
      <c r="G220" s="839" t="s">
        <v>5</v>
      </c>
      <c r="H220" s="839"/>
      <c r="I220" s="839"/>
      <c r="J220" s="839"/>
      <c r="K220" s="920"/>
      <c r="L220" s="920"/>
      <c r="M220" s="920"/>
      <c r="N220" s="920"/>
      <c r="O220" s="920"/>
      <c r="P220" s="920"/>
      <c r="Q220" s="920"/>
      <c r="R220" s="920"/>
      <c r="S220" s="920"/>
      <c r="T220" s="920"/>
      <c r="U220" s="920"/>
      <c r="V220" s="920"/>
      <c r="W220" s="920"/>
      <c r="X220" s="920"/>
      <c r="Y220" s="920"/>
      <c r="Z220" s="920"/>
      <c r="AA220" s="920"/>
      <c r="AB220" s="920"/>
      <c r="AC220" s="920"/>
      <c r="AD220" s="920"/>
      <c r="AE220" s="920"/>
      <c r="AF220" s="920"/>
      <c r="AG220" s="920"/>
      <c r="AH220" s="920"/>
      <c r="AI220" s="920"/>
      <c r="AJ220" s="920"/>
    </row>
    <row r="221" spans="7:36" ht="15" hidden="1" customHeight="1" x14ac:dyDescent="0.2">
      <c r="G221" s="839" t="s">
        <v>6</v>
      </c>
      <c r="H221" s="839"/>
      <c r="I221" s="839"/>
      <c r="J221" s="839"/>
      <c r="K221" s="917" t="e">
        <f>IF(K$73&lt;$AC$46,$K$13,$AC$13+$AC$14+$AC$15)</f>
        <v>#DIV/0!</v>
      </c>
      <c r="L221" s="917" t="e">
        <f>IF(L$73&lt;$AC$46,$K$13,$AC$13+$AC$14+$AC$15)</f>
        <v>#DIV/0!</v>
      </c>
      <c r="M221" s="917" t="e">
        <f t="shared" ref="M221:AI221" si="52">IF(M$73&lt;$AC$46,$K$13,$AC$13+$AC$14+$AC$15)</f>
        <v>#DIV/0!</v>
      </c>
      <c r="N221" s="917" t="e">
        <f t="shared" si="52"/>
        <v>#DIV/0!</v>
      </c>
      <c r="O221" s="917" t="e">
        <f t="shared" si="52"/>
        <v>#DIV/0!</v>
      </c>
      <c r="P221" s="917" t="e">
        <f t="shared" si="52"/>
        <v>#DIV/0!</v>
      </c>
      <c r="Q221" s="917" t="e">
        <f t="shared" si="52"/>
        <v>#DIV/0!</v>
      </c>
      <c r="R221" s="917" t="e">
        <f t="shared" si="52"/>
        <v>#DIV/0!</v>
      </c>
      <c r="S221" s="917" t="e">
        <f t="shared" si="52"/>
        <v>#DIV/0!</v>
      </c>
      <c r="T221" s="917" t="e">
        <f t="shared" si="52"/>
        <v>#DIV/0!</v>
      </c>
      <c r="U221" s="917" t="e">
        <f t="shared" si="52"/>
        <v>#DIV/0!</v>
      </c>
      <c r="V221" s="917" t="e">
        <f t="shared" si="52"/>
        <v>#DIV/0!</v>
      </c>
      <c r="W221" s="917" t="e">
        <f t="shared" si="52"/>
        <v>#DIV/0!</v>
      </c>
      <c r="X221" s="917" t="e">
        <f t="shared" si="52"/>
        <v>#DIV/0!</v>
      </c>
      <c r="Y221" s="917" t="e">
        <f t="shared" si="52"/>
        <v>#DIV/0!</v>
      </c>
      <c r="Z221" s="917" t="e">
        <f t="shared" si="52"/>
        <v>#DIV/0!</v>
      </c>
      <c r="AA221" s="917" t="e">
        <f t="shared" si="52"/>
        <v>#DIV/0!</v>
      </c>
      <c r="AB221" s="917" t="e">
        <f t="shared" si="52"/>
        <v>#DIV/0!</v>
      </c>
      <c r="AC221" s="917" t="e">
        <f t="shared" si="52"/>
        <v>#DIV/0!</v>
      </c>
      <c r="AD221" s="917" t="e">
        <f t="shared" si="52"/>
        <v>#DIV/0!</v>
      </c>
      <c r="AE221" s="917" t="e">
        <f t="shared" si="52"/>
        <v>#DIV/0!</v>
      </c>
      <c r="AF221" s="917" t="e">
        <f t="shared" si="52"/>
        <v>#DIV/0!</v>
      </c>
      <c r="AG221" s="917" t="e">
        <f t="shared" si="52"/>
        <v>#DIV/0!</v>
      </c>
      <c r="AH221" s="917" t="e">
        <f t="shared" si="52"/>
        <v>#DIV/0!</v>
      </c>
      <c r="AI221" s="917" t="e">
        <f t="shared" si="52"/>
        <v>#DIV/0!</v>
      </c>
      <c r="AJ221" s="917" t="e">
        <f>IF(AJ$73&lt;$AC$46,$K$13,$AC$13+$AC$14+$AC$15)</f>
        <v>#DIV/0!</v>
      </c>
    </row>
    <row r="222" spans="7:36" ht="15" hidden="1" customHeight="1" x14ac:dyDescent="0.2">
      <c r="G222" s="839"/>
      <c r="H222" s="839"/>
      <c r="I222" s="839"/>
      <c r="J222" s="839"/>
      <c r="K222" s="917"/>
      <c r="L222" s="917"/>
      <c r="M222" s="917"/>
      <c r="N222" s="917"/>
      <c r="O222" s="917"/>
      <c r="P222" s="917"/>
      <c r="Q222" s="917"/>
      <c r="R222" s="917"/>
      <c r="S222" s="917"/>
      <c r="T222" s="917"/>
      <c r="U222" s="917"/>
      <c r="V222" s="917"/>
      <c r="W222" s="917"/>
      <c r="X222" s="917"/>
      <c r="Y222" s="917"/>
      <c r="Z222" s="917"/>
      <c r="AA222" s="917"/>
      <c r="AB222" s="917"/>
      <c r="AC222" s="917"/>
      <c r="AD222" s="917"/>
      <c r="AE222" s="917"/>
      <c r="AF222" s="917"/>
      <c r="AG222" s="917"/>
      <c r="AH222" s="917"/>
      <c r="AI222" s="917"/>
      <c r="AJ222" s="917"/>
    </row>
    <row r="223" spans="7:36" ht="15" hidden="1" customHeight="1" x14ac:dyDescent="0.2">
      <c r="G223" s="839" t="s">
        <v>7</v>
      </c>
      <c r="H223" s="839"/>
      <c r="I223" s="839"/>
      <c r="J223" s="839"/>
      <c r="K223" s="920"/>
      <c r="L223" s="920"/>
      <c r="M223" s="920"/>
      <c r="N223" s="920"/>
      <c r="O223" s="920"/>
      <c r="P223" s="920"/>
      <c r="Q223" s="920"/>
      <c r="R223" s="920"/>
      <c r="S223" s="920"/>
      <c r="T223" s="920"/>
      <c r="U223" s="920"/>
      <c r="V223" s="920"/>
      <c r="W223" s="920"/>
      <c r="X223" s="920"/>
      <c r="Y223" s="920"/>
      <c r="Z223" s="920"/>
      <c r="AA223" s="920"/>
      <c r="AB223" s="920"/>
      <c r="AC223" s="920"/>
      <c r="AD223" s="920"/>
      <c r="AE223" s="920"/>
      <c r="AF223" s="920"/>
      <c r="AG223" s="920"/>
      <c r="AH223" s="920"/>
      <c r="AI223" s="920"/>
      <c r="AJ223" s="920"/>
    </row>
    <row r="224" spans="7:36" ht="15" hidden="1" customHeight="1" x14ac:dyDescent="0.2">
      <c r="G224" s="839" t="s">
        <v>8</v>
      </c>
      <c r="H224" s="839"/>
      <c r="I224" s="839"/>
      <c r="J224" s="839"/>
      <c r="K224" s="920"/>
      <c r="L224" s="920"/>
      <c r="M224" s="920"/>
      <c r="N224" s="920"/>
      <c r="O224" s="920"/>
      <c r="P224" s="920"/>
      <c r="Q224" s="920"/>
      <c r="R224" s="920"/>
      <c r="S224" s="920"/>
      <c r="T224" s="920"/>
      <c r="U224" s="920"/>
      <c r="V224" s="920"/>
      <c r="W224" s="920"/>
      <c r="X224" s="920"/>
      <c r="Y224" s="920"/>
      <c r="Z224" s="920"/>
      <c r="AA224" s="920"/>
      <c r="AB224" s="920"/>
      <c r="AC224" s="920"/>
      <c r="AD224" s="920"/>
      <c r="AE224" s="920"/>
      <c r="AF224" s="920"/>
      <c r="AG224" s="920"/>
      <c r="AH224" s="920"/>
      <c r="AI224" s="920"/>
      <c r="AJ224" s="920"/>
    </row>
    <row r="225" spans="7:36" ht="15" hidden="1" customHeight="1" x14ac:dyDescent="0.2">
      <c r="G225" s="839" t="s">
        <v>9</v>
      </c>
      <c r="H225" s="839"/>
      <c r="I225" s="839"/>
      <c r="J225" s="839"/>
      <c r="K225" s="917" t="e">
        <f>K216*K221</f>
        <v>#DIV/0!</v>
      </c>
      <c r="L225" s="917" t="e">
        <f>L216*L221</f>
        <v>#DIV/0!</v>
      </c>
      <c r="M225" s="917" t="e">
        <f t="shared" ref="M225:AI225" si="53">M216*M221</f>
        <v>#DIV/0!</v>
      </c>
      <c r="N225" s="917" t="e">
        <f t="shared" si="53"/>
        <v>#DIV/0!</v>
      </c>
      <c r="O225" s="917" t="e">
        <f t="shared" si="53"/>
        <v>#DIV/0!</v>
      </c>
      <c r="P225" s="917" t="e">
        <f t="shared" si="53"/>
        <v>#DIV/0!</v>
      </c>
      <c r="Q225" s="917" t="e">
        <f t="shared" si="53"/>
        <v>#DIV/0!</v>
      </c>
      <c r="R225" s="917" t="e">
        <f t="shared" si="53"/>
        <v>#DIV/0!</v>
      </c>
      <c r="S225" s="917" t="e">
        <f t="shared" si="53"/>
        <v>#DIV/0!</v>
      </c>
      <c r="T225" s="917" t="e">
        <f t="shared" si="53"/>
        <v>#DIV/0!</v>
      </c>
      <c r="U225" s="917" t="e">
        <f t="shared" si="53"/>
        <v>#DIV/0!</v>
      </c>
      <c r="V225" s="917" t="e">
        <f t="shared" si="53"/>
        <v>#DIV/0!</v>
      </c>
      <c r="W225" s="917" t="e">
        <f t="shared" si="53"/>
        <v>#DIV/0!</v>
      </c>
      <c r="X225" s="917" t="e">
        <f t="shared" si="53"/>
        <v>#DIV/0!</v>
      </c>
      <c r="Y225" s="917" t="e">
        <f t="shared" si="53"/>
        <v>#DIV/0!</v>
      </c>
      <c r="Z225" s="917" t="e">
        <f t="shared" si="53"/>
        <v>#DIV/0!</v>
      </c>
      <c r="AA225" s="917" t="e">
        <f t="shared" si="53"/>
        <v>#DIV/0!</v>
      </c>
      <c r="AB225" s="917" t="e">
        <f t="shared" si="53"/>
        <v>#DIV/0!</v>
      </c>
      <c r="AC225" s="917" t="e">
        <f t="shared" si="53"/>
        <v>#DIV/0!</v>
      </c>
      <c r="AD225" s="917" t="e">
        <f t="shared" si="53"/>
        <v>#DIV/0!</v>
      </c>
      <c r="AE225" s="917" t="e">
        <f t="shared" si="53"/>
        <v>#DIV/0!</v>
      </c>
      <c r="AF225" s="917" t="e">
        <f t="shared" si="53"/>
        <v>#DIV/0!</v>
      </c>
      <c r="AG225" s="917" t="e">
        <f t="shared" si="53"/>
        <v>#DIV/0!</v>
      </c>
      <c r="AH225" s="917" t="e">
        <f t="shared" si="53"/>
        <v>#DIV/0!</v>
      </c>
      <c r="AI225" s="917" t="e">
        <f t="shared" si="53"/>
        <v>#DIV/0!</v>
      </c>
      <c r="AJ225" s="917" t="e">
        <f>AJ216*AJ221</f>
        <v>#DIV/0!</v>
      </c>
    </row>
    <row r="226" spans="7:36" ht="15" hidden="1" customHeight="1" x14ac:dyDescent="0.2">
      <c r="G226" s="839"/>
      <c r="H226" s="839"/>
      <c r="I226" s="839"/>
      <c r="J226" s="839"/>
      <c r="K226" s="917"/>
      <c r="L226" s="917"/>
      <c r="M226" s="917"/>
      <c r="N226" s="917"/>
      <c r="O226" s="917"/>
      <c r="P226" s="917"/>
      <c r="Q226" s="917"/>
      <c r="R226" s="917"/>
      <c r="S226" s="917"/>
      <c r="T226" s="917"/>
      <c r="U226" s="917"/>
      <c r="V226" s="917"/>
      <c r="W226" s="917"/>
      <c r="X226" s="917"/>
      <c r="Y226" s="917"/>
      <c r="Z226" s="917"/>
      <c r="AA226" s="917"/>
      <c r="AB226" s="917"/>
      <c r="AC226" s="917"/>
      <c r="AD226" s="917"/>
      <c r="AE226" s="917"/>
      <c r="AF226" s="917"/>
      <c r="AG226" s="917"/>
      <c r="AH226" s="917"/>
      <c r="AI226" s="917"/>
      <c r="AJ226" s="917"/>
    </row>
    <row r="227" spans="7:36" ht="15" hidden="1" customHeight="1" x14ac:dyDescent="0.2">
      <c r="G227" s="839" t="s">
        <v>10</v>
      </c>
      <c r="H227" s="839"/>
      <c r="I227" s="839"/>
      <c r="J227" s="839"/>
      <c r="K227" s="920"/>
      <c r="L227" s="920"/>
      <c r="M227" s="920"/>
      <c r="N227" s="920"/>
      <c r="O227" s="920"/>
      <c r="P227" s="920"/>
      <c r="Q227" s="920"/>
      <c r="R227" s="920"/>
      <c r="S227" s="920"/>
      <c r="T227" s="920"/>
      <c r="U227" s="920"/>
      <c r="V227" s="920"/>
      <c r="W227" s="920"/>
      <c r="X227" s="920"/>
      <c r="Y227" s="920"/>
      <c r="Z227" s="920"/>
      <c r="AA227" s="920"/>
      <c r="AB227" s="920"/>
      <c r="AC227" s="920"/>
      <c r="AD227" s="920"/>
      <c r="AE227" s="920"/>
      <c r="AF227" s="920"/>
      <c r="AG227" s="920"/>
      <c r="AH227" s="920"/>
      <c r="AI227" s="920"/>
      <c r="AJ227" s="920"/>
    </row>
    <row r="228" spans="7:36" ht="15" hidden="1" customHeight="1" x14ac:dyDescent="0.2">
      <c r="G228" s="839" t="s">
        <v>11</v>
      </c>
      <c r="H228" s="839"/>
      <c r="I228" s="839"/>
      <c r="J228" s="839"/>
      <c r="K228" s="920"/>
      <c r="L228" s="920"/>
      <c r="M228" s="920"/>
      <c r="N228" s="920"/>
      <c r="O228" s="920"/>
      <c r="P228" s="920"/>
      <c r="Q228" s="920"/>
      <c r="R228" s="920"/>
      <c r="S228" s="920"/>
      <c r="T228" s="920"/>
      <c r="U228" s="920"/>
      <c r="V228" s="920"/>
      <c r="W228" s="920"/>
      <c r="X228" s="920"/>
      <c r="Y228" s="920"/>
      <c r="Z228" s="920"/>
      <c r="AA228" s="920"/>
      <c r="AB228" s="920"/>
      <c r="AC228" s="920"/>
      <c r="AD228" s="920"/>
      <c r="AE228" s="920"/>
      <c r="AF228" s="920"/>
      <c r="AG228" s="920"/>
      <c r="AH228" s="920"/>
      <c r="AI228" s="920"/>
      <c r="AJ228" s="920"/>
    </row>
    <row r="229" spans="7:36" ht="15" hidden="1" customHeight="1" x14ac:dyDescent="0.2">
      <c r="G229" s="839" t="s">
        <v>12</v>
      </c>
      <c r="H229" s="839"/>
      <c r="I229" s="839"/>
      <c r="J229" s="839"/>
      <c r="K229" s="917" t="e">
        <f>K217*K221</f>
        <v>#DIV/0!</v>
      </c>
      <c r="L229" s="917" t="e">
        <f>L217*L221</f>
        <v>#DIV/0!</v>
      </c>
      <c r="M229" s="917" t="e">
        <f>M217*M221</f>
        <v>#DIV/0!</v>
      </c>
      <c r="N229" s="917" t="e">
        <f t="shared" ref="N229:AI229" si="54">N217*N221</f>
        <v>#DIV/0!</v>
      </c>
      <c r="O229" s="917" t="e">
        <f t="shared" si="54"/>
        <v>#DIV/0!</v>
      </c>
      <c r="P229" s="917" t="e">
        <f t="shared" si="54"/>
        <v>#DIV/0!</v>
      </c>
      <c r="Q229" s="917" t="e">
        <f t="shared" si="54"/>
        <v>#DIV/0!</v>
      </c>
      <c r="R229" s="917" t="e">
        <f t="shared" si="54"/>
        <v>#DIV/0!</v>
      </c>
      <c r="S229" s="917" t="e">
        <f t="shared" si="54"/>
        <v>#DIV/0!</v>
      </c>
      <c r="T229" s="917" t="e">
        <f t="shared" si="54"/>
        <v>#DIV/0!</v>
      </c>
      <c r="U229" s="917" t="e">
        <f t="shared" si="54"/>
        <v>#DIV/0!</v>
      </c>
      <c r="V229" s="917" t="e">
        <f t="shared" si="54"/>
        <v>#DIV/0!</v>
      </c>
      <c r="W229" s="917" t="e">
        <f t="shared" si="54"/>
        <v>#DIV/0!</v>
      </c>
      <c r="X229" s="917" t="e">
        <f t="shared" si="54"/>
        <v>#DIV/0!</v>
      </c>
      <c r="Y229" s="917" t="e">
        <f t="shared" si="54"/>
        <v>#DIV/0!</v>
      </c>
      <c r="Z229" s="917" t="e">
        <f t="shared" si="54"/>
        <v>#DIV/0!</v>
      </c>
      <c r="AA229" s="917" t="e">
        <f t="shared" si="54"/>
        <v>#DIV/0!</v>
      </c>
      <c r="AB229" s="917" t="e">
        <f t="shared" si="54"/>
        <v>#DIV/0!</v>
      </c>
      <c r="AC229" s="917" t="e">
        <f t="shared" si="54"/>
        <v>#DIV/0!</v>
      </c>
      <c r="AD229" s="917" t="e">
        <f t="shared" si="54"/>
        <v>#DIV/0!</v>
      </c>
      <c r="AE229" s="917" t="e">
        <f t="shared" si="54"/>
        <v>#DIV/0!</v>
      </c>
      <c r="AF229" s="917" t="e">
        <f t="shared" si="54"/>
        <v>#DIV/0!</v>
      </c>
      <c r="AG229" s="917" t="e">
        <f t="shared" si="54"/>
        <v>#DIV/0!</v>
      </c>
      <c r="AH229" s="917" t="e">
        <f t="shared" si="54"/>
        <v>#DIV/0!</v>
      </c>
      <c r="AI229" s="917" t="e">
        <f t="shared" si="54"/>
        <v>#DIV/0!</v>
      </c>
      <c r="AJ229" s="917" t="e">
        <f>AJ217*AJ221</f>
        <v>#DIV/0!</v>
      </c>
    </row>
    <row r="230" spans="7:36" ht="15" hidden="1" customHeight="1" x14ac:dyDescent="0.2">
      <c r="G230" s="839" t="s">
        <v>13</v>
      </c>
      <c r="H230" s="839"/>
      <c r="I230" s="839"/>
      <c r="J230" s="839"/>
      <c r="K230" s="917" t="e">
        <f t="shared" ref="K230:AI230" si="55">K$91*K225</f>
        <v>#DIV/0!</v>
      </c>
      <c r="L230" s="917" t="e">
        <f t="shared" si="55"/>
        <v>#DIV/0!</v>
      </c>
      <c r="M230" s="917" t="e">
        <f t="shared" si="55"/>
        <v>#DIV/0!</v>
      </c>
      <c r="N230" s="917" t="e">
        <f t="shared" si="55"/>
        <v>#DIV/0!</v>
      </c>
      <c r="O230" s="917" t="e">
        <f t="shared" si="55"/>
        <v>#DIV/0!</v>
      </c>
      <c r="P230" s="917" t="e">
        <f t="shared" si="55"/>
        <v>#DIV/0!</v>
      </c>
      <c r="Q230" s="917" t="e">
        <f t="shared" si="55"/>
        <v>#DIV/0!</v>
      </c>
      <c r="R230" s="917" t="e">
        <f t="shared" si="55"/>
        <v>#DIV/0!</v>
      </c>
      <c r="S230" s="917" t="e">
        <f t="shared" si="55"/>
        <v>#DIV/0!</v>
      </c>
      <c r="T230" s="917" t="e">
        <f t="shared" si="55"/>
        <v>#DIV/0!</v>
      </c>
      <c r="U230" s="917" t="e">
        <f t="shared" si="55"/>
        <v>#DIV/0!</v>
      </c>
      <c r="V230" s="917" t="e">
        <f t="shared" si="55"/>
        <v>#DIV/0!</v>
      </c>
      <c r="W230" s="917" t="e">
        <f t="shared" si="55"/>
        <v>#DIV/0!</v>
      </c>
      <c r="X230" s="917" t="e">
        <f t="shared" si="55"/>
        <v>#DIV/0!</v>
      </c>
      <c r="Y230" s="917" t="e">
        <f t="shared" si="55"/>
        <v>#DIV/0!</v>
      </c>
      <c r="Z230" s="917" t="e">
        <f t="shared" si="55"/>
        <v>#DIV/0!</v>
      </c>
      <c r="AA230" s="917" t="e">
        <f t="shared" si="55"/>
        <v>#DIV/0!</v>
      </c>
      <c r="AB230" s="917" t="e">
        <f t="shared" si="55"/>
        <v>#DIV/0!</v>
      </c>
      <c r="AC230" s="917" t="e">
        <f t="shared" si="55"/>
        <v>#DIV/0!</v>
      </c>
      <c r="AD230" s="917" t="e">
        <f t="shared" si="55"/>
        <v>#DIV/0!</v>
      </c>
      <c r="AE230" s="917" t="e">
        <f t="shared" si="55"/>
        <v>#DIV/0!</v>
      </c>
      <c r="AF230" s="917" t="e">
        <f t="shared" si="55"/>
        <v>#DIV/0!</v>
      </c>
      <c r="AG230" s="917" t="e">
        <f t="shared" si="55"/>
        <v>#DIV/0!</v>
      </c>
      <c r="AH230" s="917" t="e">
        <f t="shared" si="55"/>
        <v>#DIV/0!</v>
      </c>
      <c r="AI230" s="917" t="e">
        <f t="shared" si="55"/>
        <v>#DIV/0!</v>
      </c>
      <c r="AJ230" s="917" t="e">
        <f>AJ$91*AJ225</f>
        <v>#DIV/0!</v>
      </c>
    </row>
    <row r="231" spans="7:36" ht="15" hidden="1" customHeight="1" x14ac:dyDescent="0.2">
      <c r="G231" s="839"/>
      <c r="H231" s="839"/>
      <c r="I231" s="839"/>
      <c r="J231" s="839"/>
      <c r="K231" s="917"/>
      <c r="L231" s="917"/>
      <c r="M231" s="917"/>
      <c r="N231" s="917"/>
      <c r="O231" s="917"/>
      <c r="P231" s="917"/>
      <c r="Q231" s="917"/>
      <c r="R231" s="917"/>
      <c r="S231" s="917"/>
      <c r="T231" s="917"/>
      <c r="U231" s="917"/>
      <c r="V231" s="917"/>
      <c r="W231" s="917"/>
      <c r="X231" s="917"/>
      <c r="Y231" s="917"/>
      <c r="Z231" s="917"/>
      <c r="AA231" s="917"/>
      <c r="AB231" s="917"/>
      <c r="AC231" s="917"/>
      <c r="AD231" s="917"/>
      <c r="AE231" s="917"/>
      <c r="AF231" s="917"/>
      <c r="AG231" s="917"/>
      <c r="AH231" s="917"/>
      <c r="AI231" s="917"/>
      <c r="AJ231" s="917"/>
    </row>
    <row r="232" spans="7:36" ht="15" hidden="1" customHeight="1" x14ac:dyDescent="0.2">
      <c r="G232" s="839" t="s">
        <v>14</v>
      </c>
      <c r="H232" s="839"/>
      <c r="I232" s="839"/>
      <c r="J232" s="839"/>
      <c r="K232" s="917" t="e">
        <f>SUM(K227:K230)</f>
        <v>#DIV/0!</v>
      </c>
      <c r="L232" s="917" t="e">
        <f t="shared" ref="L232:AH232" si="56">SUM(L227:L230)</f>
        <v>#DIV/0!</v>
      </c>
      <c r="M232" s="917" t="e">
        <f t="shared" si="56"/>
        <v>#DIV/0!</v>
      </c>
      <c r="N232" s="917" t="e">
        <f t="shared" si="56"/>
        <v>#DIV/0!</v>
      </c>
      <c r="O232" s="917" t="e">
        <f t="shared" si="56"/>
        <v>#DIV/0!</v>
      </c>
      <c r="P232" s="917" t="e">
        <f t="shared" si="56"/>
        <v>#DIV/0!</v>
      </c>
      <c r="Q232" s="917" t="e">
        <f t="shared" si="56"/>
        <v>#DIV/0!</v>
      </c>
      <c r="R232" s="917" t="e">
        <f t="shared" si="56"/>
        <v>#DIV/0!</v>
      </c>
      <c r="S232" s="917" t="e">
        <f t="shared" si="56"/>
        <v>#DIV/0!</v>
      </c>
      <c r="T232" s="917" t="e">
        <f t="shared" si="56"/>
        <v>#DIV/0!</v>
      </c>
      <c r="U232" s="917" t="e">
        <f t="shared" si="56"/>
        <v>#DIV/0!</v>
      </c>
      <c r="V232" s="917" t="e">
        <f t="shared" si="56"/>
        <v>#DIV/0!</v>
      </c>
      <c r="W232" s="917" t="e">
        <f t="shared" si="56"/>
        <v>#DIV/0!</v>
      </c>
      <c r="X232" s="917" t="e">
        <f t="shared" si="56"/>
        <v>#DIV/0!</v>
      </c>
      <c r="Y232" s="917" t="e">
        <f t="shared" si="56"/>
        <v>#DIV/0!</v>
      </c>
      <c r="Z232" s="917" t="e">
        <f t="shared" si="56"/>
        <v>#DIV/0!</v>
      </c>
      <c r="AA232" s="917" t="e">
        <f t="shared" si="56"/>
        <v>#DIV/0!</v>
      </c>
      <c r="AB232" s="917" t="e">
        <f t="shared" si="56"/>
        <v>#DIV/0!</v>
      </c>
      <c r="AC232" s="917" t="e">
        <f t="shared" si="56"/>
        <v>#DIV/0!</v>
      </c>
      <c r="AD232" s="917" t="e">
        <f t="shared" si="56"/>
        <v>#DIV/0!</v>
      </c>
      <c r="AE232" s="917" t="e">
        <f t="shared" si="56"/>
        <v>#DIV/0!</v>
      </c>
      <c r="AF232" s="917" t="e">
        <f t="shared" si="56"/>
        <v>#DIV/0!</v>
      </c>
      <c r="AG232" s="917" t="e">
        <f t="shared" si="56"/>
        <v>#DIV/0!</v>
      </c>
      <c r="AH232" s="917" t="e">
        <f t="shared" si="56"/>
        <v>#DIV/0!</v>
      </c>
      <c r="AI232" s="917" t="e">
        <f>SUM(AI227:AI230)</f>
        <v>#DIV/0!</v>
      </c>
      <c r="AJ232" s="917" t="e">
        <f>SUM(AJ227:AJ230)</f>
        <v>#DIV/0!</v>
      </c>
    </row>
    <row r="233" spans="7:36" ht="15" hidden="1" customHeight="1" x14ac:dyDescent="0.2">
      <c r="G233" s="839" t="s">
        <v>435</v>
      </c>
      <c r="H233" s="839"/>
      <c r="I233" s="839"/>
      <c r="J233" s="839"/>
      <c r="K233" s="917" t="e">
        <f>K232</f>
        <v>#DIV/0!</v>
      </c>
      <c r="L233" s="917" t="e">
        <f t="shared" ref="L233:AJ233" si="57">K233+L232</f>
        <v>#DIV/0!</v>
      </c>
      <c r="M233" s="917" t="e">
        <f t="shared" si="57"/>
        <v>#DIV/0!</v>
      </c>
      <c r="N233" s="917" t="e">
        <f t="shared" si="57"/>
        <v>#DIV/0!</v>
      </c>
      <c r="O233" s="917" t="e">
        <f t="shared" si="57"/>
        <v>#DIV/0!</v>
      </c>
      <c r="P233" s="917" t="e">
        <f t="shared" si="57"/>
        <v>#DIV/0!</v>
      </c>
      <c r="Q233" s="917" t="e">
        <f t="shared" si="57"/>
        <v>#DIV/0!</v>
      </c>
      <c r="R233" s="917" t="e">
        <f t="shared" si="57"/>
        <v>#DIV/0!</v>
      </c>
      <c r="S233" s="917" t="e">
        <f t="shared" si="57"/>
        <v>#DIV/0!</v>
      </c>
      <c r="T233" s="917" t="e">
        <f t="shared" si="57"/>
        <v>#DIV/0!</v>
      </c>
      <c r="U233" s="917" t="e">
        <f t="shared" si="57"/>
        <v>#DIV/0!</v>
      </c>
      <c r="V233" s="917" t="e">
        <f t="shared" si="57"/>
        <v>#DIV/0!</v>
      </c>
      <c r="W233" s="917" t="e">
        <f t="shared" si="57"/>
        <v>#DIV/0!</v>
      </c>
      <c r="X233" s="917" t="e">
        <f t="shared" si="57"/>
        <v>#DIV/0!</v>
      </c>
      <c r="Y233" s="917" t="e">
        <f t="shared" si="57"/>
        <v>#DIV/0!</v>
      </c>
      <c r="Z233" s="917" t="e">
        <f t="shared" si="57"/>
        <v>#DIV/0!</v>
      </c>
      <c r="AA233" s="917" t="e">
        <f t="shared" si="57"/>
        <v>#DIV/0!</v>
      </c>
      <c r="AB233" s="917" t="e">
        <f t="shared" si="57"/>
        <v>#DIV/0!</v>
      </c>
      <c r="AC233" s="917" t="e">
        <f t="shared" si="57"/>
        <v>#DIV/0!</v>
      </c>
      <c r="AD233" s="917" t="e">
        <f t="shared" si="57"/>
        <v>#DIV/0!</v>
      </c>
      <c r="AE233" s="917" t="e">
        <f t="shared" si="57"/>
        <v>#DIV/0!</v>
      </c>
      <c r="AF233" s="917" t="e">
        <f t="shared" si="57"/>
        <v>#DIV/0!</v>
      </c>
      <c r="AG233" s="917" t="e">
        <f t="shared" si="57"/>
        <v>#DIV/0!</v>
      </c>
      <c r="AH233" s="917" t="e">
        <f t="shared" si="57"/>
        <v>#DIV/0!</v>
      </c>
      <c r="AI233" s="917" t="e">
        <f t="shared" si="57"/>
        <v>#DIV/0!</v>
      </c>
      <c r="AJ233" s="917" t="e">
        <f t="shared" si="57"/>
        <v>#DIV/0!</v>
      </c>
    </row>
    <row r="234" spans="7:36" ht="15" hidden="1" customHeight="1" x14ac:dyDescent="0.2">
      <c r="G234" s="839"/>
      <c r="H234" s="839"/>
      <c r="I234" s="839"/>
      <c r="J234" s="839"/>
      <c r="K234" s="839"/>
      <c r="L234" s="839"/>
      <c r="M234" s="839"/>
      <c r="N234" s="839"/>
      <c r="O234" s="839"/>
      <c r="P234" s="839"/>
      <c r="Q234" s="839"/>
      <c r="R234" s="839"/>
      <c r="S234" s="839"/>
      <c r="T234" s="839"/>
      <c r="U234" s="839"/>
      <c r="V234" s="839"/>
      <c r="W234" s="839"/>
      <c r="X234" s="839"/>
      <c r="Y234" s="839"/>
      <c r="Z234" s="839"/>
      <c r="AA234" s="839"/>
      <c r="AB234" s="839"/>
      <c r="AC234" s="839"/>
      <c r="AD234" s="839"/>
      <c r="AE234" s="839"/>
      <c r="AF234" s="839"/>
      <c r="AG234" s="839"/>
      <c r="AH234" s="839"/>
      <c r="AI234" s="839"/>
      <c r="AJ234" s="839"/>
    </row>
    <row r="235" spans="7:36" ht="15" hidden="1" customHeight="1" x14ac:dyDescent="0.2">
      <c r="G235" s="839" t="s">
        <v>17</v>
      </c>
      <c r="H235" s="839"/>
      <c r="I235" s="839"/>
      <c r="J235" s="839"/>
      <c r="K235" s="917" t="e">
        <f>K232/(((Data!$P$186/100)+1)^K$73)</f>
        <v>#DIV/0!</v>
      </c>
      <c r="L235" s="917" t="e">
        <f>L232/(((Data!$P$186/100)+1)^L$73)</f>
        <v>#DIV/0!</v>
      </c>
      <c r="M235" s="917" t="e">
        <f>M232/(((Data!$P$186/100)+1)^M$73)</f>
        <v>#DIV/0!</v>
      </c>
      <c r="N235" s="917" t="e">
        <f>N232/(((Data!$P$186/100)+1)^N$73)</f>
        <v>#DIV/0!</v>
      </c>
      <c r="O235" s="917" t="e">
        <f>O232/(((Data!$P$186/100)+1)^O$73)</f>
        <v>#DIV/0!</v>
      </c>
      <c r="P235" s="917" t="e">
        <f>P232/(((Data!$P$186/100)+1)^P$73)</f>
        <v>#DIV/0!</v>
      </c>
      <c r="Q235" s="917" t="e">
        <f>Q232/(((Data!$P$186/100)+1)^Q$73)</f>
        <v>#DIV/0!</v>
      </c>
      <c r="R235" s="917" t="e">
        <f>R232/(((Data!$P$186/100)+1)^R$73)</f>
        <v>#DIV/0!</v>
      </c>
      <c r="S235" s="917" t="e">
        <f>S232/(((Data!$P$186/100)+1)^S$73)</f>
        <v>#DIV/0!</v>
      </c>
      <c r="T235" s="917" t="e">
        <f>T232/(((Data!$P$186/100)+1)^T$73)</f>
        <v>#DIV/0!</v>
      </c>
      <c r="U235" s="917" t="e">
        <f>U232/(((Data!$P$186/100)+1)^U$73)</f>
        <v>#DIV/0!</v>
      </c>
      <c r="V235" s="917" t="e">
        <f>V232/(((Data!$P$186/100)+1)^V$73)</f>
        <v>#DIV/0!</v>
      </c>
      <c r="W235" s="917" t="e">
        <f>W232/(((Data!$P$186/100)+1)^W$73)</f>
        <v>#DIV/0!</v>
      </c>
      <c r="X235" s="917" t="e">
        <f>X232/(((Data!$P$186/100)+1)^X$73)</f>
        <v>#DIV/0!</v>
      </c>
      <c r="Y235" s="917" t="e">
        <f>Y232/(((Data!$P$186/100)+1)^Y$73)</f>
        <v>#DIV/0!</v>
      </c>
      <c r="Z235" s="917" t="e">
        <f>Z232/(((Data!$P$186/100)+1)^Z$73)</f>
        <v>#DIV/0!</v>
      </c>
      <c r="AA235" s="917" t="e">
        <f>AA232/(((Data!$P$186/100)+1)^AA$73)</f>
        <v>#DIV/0!</v>
      </c>
      <c r="AB235" s="917" t="e">
        <f>AB232/(((Data!$P$186/100)+1)^AB$73)</f>
        <v>#DIV/0!</v>
      </c>
      <c r="AC235" s="917" t="e">
        <f>AC232/(((Data!$P$186/100)+1)^AC$73)</f>
        <v>#DIV/0!</v>
      </c>
      <c r="AD235" s="917" t="e">
        <f>AD232/(((Data!$P$186/100)+1)^AD$73)</f>
        <v>#DIV/0!</v>
      </c>
      <c r="AE235" s="917" t="e">
        <f>AE232/(((Data!$P$186/100)+1)^AE$73)</f>
        <v>#DIV/0!</v>
      </c>
      <c r="AF235" s="917" t="e">
        <f>AF232/(((Data!$P$186/100)+1)^AF$73)</f>
        <v>#DIV/0!</v>
      </c>
      <c r="AG235" s="917" t="e">
        <f>AG232/(((Data!$P$186/100)+1)^AG$73)</f>
        <v>#DIV/0!</v>
      </c>
      <c r="AH235" s="917" t="e">
        <f>AH232/(((Data!$P$186/100)+1)^AH$73)</f>
        <v>#DIV/0!</v>
      </c>
      <c r="AI235" s="917" t="e">
        <f>AI232/(((Data!$P$186/100)+1)^AI$73)</f>
        <v>#DIV/0!</v>
      </c>
      <c r="AJ235" s="917" t="e">
        <f>AJ232/(((Data!$P$186/100)+1)^AJ$73)</f>
        <v>#DIV/0!</v>
      </c>
    </row>
    <row r="236" spans="7:36" ht="15" hidden="1" customHeight="1" x14ac:dyDescent="0.2">
      <c r="G236" s="859" t="s">
        <v>185</v>
      </c>
      <c r="H236" s="859"/>
      <c r="I236" s="839"/>
      <c r="J236" s="839"/>
      <c r="K236" s="923" t="e">
        <f>K235</f>
        <v>#DIV/0!</v>
      </c>
      <c r="L236" s="923" t="e">
        <f t="shared" ref="L236:AI236" si="58">K236+L235</f>
        <v>#DIV/0!</v>
      </c>
      <c r="M236" s="923" t="e">
        <f t="shared" si="58"/>
        <v>#DIV/0!</v>
      </c>
      <c r="N236" s="923" t="e">
        <f t="shared" si="58"/>
        <v>#DIV/0!</v>
      </c>
      <c r="O236" s="923" t="e">
        <f t="shared" si="58"/>
        <v>#DIV/0!</v>
      </c>
      <c r="P236" s="923" t="e">
        <f t="shared" si="58"/>
        <v>#DIV/0!</v>
      </c>
      <c r="Q236" s="923" t="e">
        <f t="shared" si="58"/>
        <v>#DIV/0!</v>
      </c>
      <c r="R236" s="923" t="e">
        <f t="shared" si="58"/>
        <v>#DIV/0!</v>
      </c>
      <c r="S236" s="923" t="e">
        <f t="shared" si="58"/>
        <v>#DIV/0!</v>
      </c>
      <c r="T236" s="923" t="e">
        <f t="shared" si="58"/>
        <v>#DIV/0!</v>
      </c>
      <c r="U236" s="923" t="e">
        <f t="shared" si="58"/>
        <v>#DIV/0!</v>
      </c>
      <c r="V236" s="923" t="e">
        <f t="shared" si="58"/>
        <v>#DIV/0!</v>
      </c>
      <c r="W236" s="923" t="e">
        <f t="shared" si="58"/>
        <v>#DIV/0!</v>
      </c>
      <c r="X236" s="923" t="e">
        <f t="shared" si="58"/>
        <v>#DIV/0!</v>
      </c>
      <c r="Y236" s="923" t="e">
        <f t="shared" si="58"/>
        <v>#DIV/0!</v>
      </c>
      <c r="Z236" s="923" t="e">
        <f t="shared" si="58"/>
        <v>#DIV/0!</v>
      </c>
      <c r="AA236" s="923" t="e">
        <f t="shared" si="58"/>
        <v>#DIV/0!</v>
      </c>
      <c r="AB236" s="923" t="e">
        <f t="shared" si="58"/>
        <v>#DIV/0!</v>
      </c>
      <c r="AC236" s="923" t="e">
        <f t="shared" si="58"/>
        <v>#DIV/0!</v>
      </c>
      <c r="AD236" s="923" t="e">
        <f t="shared" si="58"/>
        <v>#DIV/0!</v>
      </c>
      <c r="AE236" s="923" t="e">
        <f t="shared" si="58"/>
        <v>#DIV/0!</v>
      </c>
      <c r="AF236" s="923" t="e">
        <f t="shared" si="58"/>
        <v>#DIV/0!</v>
      </c>
      <c r="AG236" s="923" t="e">
        <f t="shared" si="58"/>
        <v>#DIV/0!</v>
      </c>
      <c r="AH236" s="923" t="e">
        <f t="shared" si="58"/>
        <v>#DIV/0!</v>
      </c>
      <c r="AI236" s="923" t="e">
        <f t="shared" si="58"/>
        <v>#DIV/0!</v>
      </c>
      <c r="AJ236" s="923" t="e">
        <f>AI236+AJ235</f>
        <v>#DIV/0!</v>
      </c>
    </row>
    <row r="237" spans="7:36" ht="15" hidden="1" customHeight="1" x14ac:dyDescent="0.2"/>
    <row r="238" spans="7:36" ht="15" hidden="1" customHeight="1" x14ac:dyDescent="0.2"/>
    <row r="239" spans="7:36" ht="15" hidden="1" customHeight="1" x14ac:dyDescent="0.2">
      <c r="G239" s="489" t="s">
        <v>297</v>
      </c>
      <c r="H239" s="14"/>
      <c r="I239" s="13"/>
      <c r="J239" s="13"/>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row>
    <row r="240" spans="7:36" ht="15" hidden="1" customHeight="1" x14ac:dyDescent="0.2">
      <c r="G240" s="14"/>
      <c r="H240" s="14"/>
      <c r="I240" s="13"/>
      <c r="J240" s="13"/>
      <c r="K240" s="31"/>
      <c r="L240" s="31"/>
      <c r="M240" s="31"/>
      <c r="N240" s="31"/>
      <c r="O240" s="31"/>
      <c r="P240" s="31"/>
      <c r="Q240" s="31"/>
      <c r="R240" s="31"/>
      <c r="S240" s="31"/>
      <c r="T240" s="31"/>
      <c r="U240" s="31"/>
      <c r="V240" s="31"/>
      <c r="W240" s="31"/>
      <c r="X240" s="31"/>
      <c r="Y240" s="31"/>
      <c r="Z240" s="31"/>
      <c r="AA240" s="31"/>
      <c r="AB240" s="31"/>
      <c r="AC240" s="31"/>
      <c r="AD240" s="31"/>
      <c r="AE240" s="31"/>
      <c r="AF240" s="31"/>
      <c r="AG240" s="31"/>
      <c r="AH240" s="31"/>
      <c r="AI240" s="31"/>
      <c r="AJ240" s="31"/>
    </row>
    <row r="241" spans="7:36" ht="15" hidden="1" customHeight="1" x14ac:dyDescent="0.2">
      <c r="G241" s="14" t="s">
        <v>2</v>
      </c>
      <c r="H241" s="60"/>
      <c r="I241" s="60"/>
      <c r="J241" s="60"/>
      <c r="K241" s="39">
        <f>K$82</f>
        <v>0.19338</v>
      </c>
      <c r="L241" s="39">
        <f t="shared" ref="L241:AJ241" si="59">L$82</f>
        <v>0.18757859999999998</v>
      </c>
      <c r="M241" s="39">
        <f t="shared" si="59"/>
        <v>0.18195124199999999</v>
      </c>
      <c r="N241" s="39">
        <f t="shared" si="59"/>
        <v>0.17649270473999998</v>
      </c>
      <c r="O241" s="39">
        <f t="shared" si="59"/>
        <v>0.17119792359779998</v>
      </c>
      <c r="P241" s="39">
        <f t="shared" si="59"/>
        <v>0.16606198588986598</v>
      </c>
      <c r="Q241" s="39">
        <f t="shared" si="59"/>
        <v>0.16108012631317001</v>
      </c>
      <c r="R241" s="39">
        <f t="shared" si="59"/>
        <v>0.15624772252377489</v>
      </c>
      <c r="S241" s="39">
        <f t="shared" si="59"/>
        <v>0.15156029084806164</v>
      </c>
      <c r="T241" s="39">
        <f t="shared" si="59"/>
        <v>0.14701348212261978</v>
      </c>
      <c r="U241" s="39">
        <f t="shared" si="59"/>
        <v>0.14260307765894117</v>
      </c>
      <c r="V241" s="39">
        <f t="shared" si="59"/>
        <v>0.13832498532917292</v>
      </c>
      <c r="W241" s="39">
        <f t="shared" si="59"/>
        <v>0.13417523576929774</v>
      </c>
      <c r="X241" s="39">
        <f t="shared" si="59"/>
        <v>0.1301499786962188</v>
      </c>
      <c r="Y241" s="39">
        <f t="shared" si="59"/>
        <v>0.12624547933533223</v>
      </c>
      <c r="Z241" s="39">
        <f t="shared" si="59"/>
        <v>0.12245811495527226</v>
      </c>
      <c r="AA241" s="39">
        <f t="shared" si="59"/>
        <v>0.11878437150661408</v>
      </c>
      <c r="AB241" s="39">
        <f t="shared" si="59"/>
        <v>0.11522084036141565</v>
      </c>
      <c r="AC241" s="39">
        <f t="shared" si="59"/>
        <v>0.11176421515057318</v>
      </c>
      <c r="AD241" s="39">
        <f t="shared" si="59"/>
        <v>0.10841128869605599</v>
      </c>
      <c r="AE241" s="39">
        <f t="shared" si="59"/>
        <v>0.10515895003517431</v>
      </c>
      <c r="AF241" s="39">
        <f t="shared" si="59"/>
        <v>0.10200418153411908</v>
      </c>
      <c r="AG241" s="39">
        <f t="shared" si="59"/>
        <v>9.8944056088095506E-2</v>
      </c>
      <c r="AH241" s="39">
        <f t="shared" si="59"/>
        <v>9.5975734405452637E-2</v>
      </c>
      <c r="AI241" s="39">
        <f t="shared" si="59"/>
        <v>9.3096462373289057E-2</v>
      </c>
      <c r="AJ241" s="39">
        <f t="shared" si="59"/>
        <v>9.0303568502090384E-2</v>
      </c>
    </row>
    <row r="242" spans="7:36" ht="15" hidden="1" customHeight="1" x14ac:dyDescent="0.2">
      <c r="G242" s="14" t="s">
        <v>1</v>
      </c>
      <c r="H242" s="60"/>
      <c r="I242" s="60"/>
      <c r="J242" s="60"/>
      <c r="K242" s="39">
        <f>K$88</f>
        <v>0.31</v>
      </c>
      <c r="L242" s="39">
        <f t="shared" ref="L242:AJ242" si="60">L$88</f>
        <v>0.34100000000000003</v>
      </c>
      <c r="M242" s="39">
        <f t="shared" si="60"/>
        <v>0.37510000000000004</v>
      </c>
      <c r="N242" s="39">
        <f t="shared" si="60"/>
        <v>0.41261000000000009</v>
      </c>
      <c r="O242" s="39">
        <f t="shared" si="60"/>
        <v>0.45387100000000014</v>
      </c>
      <c r="P242" s="39">
        <f t="shared" si="60"/>
        <v>0.4992581000000002</v>
      </c>
      <c r="Q242" s="39">
        <f t="shared" si="60"/>
        <v>0.54918391000000022</v>
      </c>
      <c r="R242" s="39">
        <f t="shared" si="60"/>
        <v>0.60410230100000029</v>
      </c>
      <c r="S242" s="39">
        <f t="shared" si="60"/>
        <v>0.66451253110000041</v>
      </c>
      <c r="T242" s="39">
        <f t="shared" si="60"/>
        <v>0.73096378421000052</v>
      </c>
      <c r="U242" s="39">
        <f t="shared" si="60"/>
        <v>0.80406016263100066</v>
      </c>
      <c r="V242" s="39">
        <f t="shared" si="60"/>
        <v>0.88446617889410084</v>
      </c>
      <c r="W242" s="39">
        <f t="shared" si="60"/>
        <v>0.97291279678351106</v>
      </c>
      <c r="X242" s="39">
        <f t="shared" si="60"/>
        <v>1.0702040764618623</v>
      </c>
      <c r="Y242" s="39">
        <f t="shared" si="60"/>
        <v>1.1772244841080486</v>
      </c>
      <c r="Z242" s="39">
        <f t="shared" si="60"/>
        <v>1.2949469325188536</v>
      </c>
      <c r="AA242" s="39">
        <f t="shared" si="60"/>
        <v>1.4244416257707391</v>
      </c>
      <c r="AB242" s="39">
        <f t="shared" si="60"/>
        <v>1.5668857883478131</v>
      </c>
      <c r="AC242" s="39">
        <f t="shared" si="60"/>
        <v>1.7235743671825945</v>
      </c>
      <c r="AD242" s="39">
        <f t="shared" si="60"/>
        <v>1.8959318039008541</v>
      </c>
      <c r="AE242" s="39">
        <f t="shared" si="60"/>
        <v>2.0855249842909398</v>
      </c>
      <c r="AF242" s="39">
        <f t="shared" si="60"/>
        <v>2.2940774827200339</v>
      </c>
      <c r="AG242" s="39">
        <f t="shared" si="60"/>
        <v>2.5234852309920375</v>
      </c>
      <c r="AH242" s="39">
        <f t="shared" si="60"/>
        <v>2.7758337540912414</v>
      </c>
      <c r="AI242" s="39">
        <f t="shared" si="60"/>
        <v>3.053417129500366</v>
      </c>
      <c r="AJ242" s="39">
        <f t="shared" si="60"/>
        <v>3.3587588424504031</v>
      </c>
    </row>
    <row r="243" spans="7:36" ht="15" hidden="1" customHeight="1" x14ac:dyDescent="0.2">
      <c r="G243" s="60"/>
      <c r="H243" s="60"/>
      <c r="I243" s="60"/>
      <c r="J243" s="60"/>
      <c r="K243" s="60"/>
      <c r="L243" s="60"/>
      <c r="M243" s="60"/>
      <c r="N243" s="60"/>
      <c r="O243" s="60"/>
      <c r="P243" s="60"/>
      <c r="Q243" s="60"/>
      <c r="R243" s="61"/>
      <c r="S243" s="60"/>
      <c r="T243" s="60"/>
      <c r="U243" s="60"/>
      <c r="V243" s="60"/>
      <c r="W243" s="60"/>
      <c r="X243" s="60"/>
      <c r="Y243" s="60"/>
      <c r="Z243" s="60"/>
      <c r="AA243" s="60"/>
      <c r="AB243" s="60"/>
      <c r="AC243" s="60"/>
      <c r="AD243" s="60"/>
      <c r="AE243" s="60"/>
      <c r="AF243" s="60"/>
      <c r="AG243" s="60"/>
      <c r="AH243" s="60"/>
      <c r="AI243" s="60"/>
      <c r="AJ243" s="60"/>
    </row>
    <row r="244" spans="7:36" ht="15" hidden="1" customHeight="1" x14ac:dyDescent="0.2">
      <c r="G244" s="14" t="s">
        <v>4</v>
      </c>
      <c r="H244" s="14"/>
      <c r="I244" s="13"/>
      <c r="J244" s="13"/>
      <c r="K244" s="42"/>
      <c r="L244" s="42"/>
      <c r="M244" s="42"/>
      <c r="N244" s="42"/>
      <c r="O244" s="42"/>
      <c r="P244" s="42"/>
      <c r="Q244" s="42"/>
      <c r="R244" s="42"/>
      <c r="S244" s="42"/>
      <c r="T244" s="42"/>
      <c r="U244" s="42"/>
      <c r="V244" s="42"/>
      <c r="W244" s="42"/>
      <c r="X244" s="42"/>
      <c r="Y244" s="42"/>
      <c r="Z244" s="42"/>
      <c r="AA244" s="42"/>
      <c r="AB244" s="42"/>
      <c r="AC244" s="42"/>
      <c r="AD244" s="42"/>
      <c r="AE244" s="42"/>
      <c r="AF244" s="42"/>
      <c r="AG244" s="42"/>
      <c r="AH244" s="42"/>
      <c r="AI244" s="42"/>
      <c r="AJ244" s="42"/>
    </row>
    <row r="245" spans="7:36" ht="15" hidden="1" customHeight="1" x14ac:dyDescent="0.2">
      <c r="G245" s="14" t="s">
        <v>5</v>
      </c>
      <c r="H245" s="14"/>
      <c r="I245" s="13"/>
      <c r="J245" s="13"/>
      <c r="K245" s="42"/>
      <c r="L245" s="42"/>
      <c r="M245" s="42"/>
      <c r="N245" s="42"/>
      <c r="O245" s="42"/>
      <c r="P245" s="42"/>
      <c r="Q245" s="42"/>
      <c r="R245" s="42"/>
      <c r="S245" s="42"/>
      <c r="T245" s="42"/>
      <c r="U245" s="42"/>
      <c r="V245" s="42"/>
      <c r="W245" s="42"/>
      <c r="X245" s="42"/>
      <c r="Y245" s="42"/>
      <c r="Z245" s="42"/>
      <c r="AA245" s="42"/>
      <c r="AB245" s="42"/>
      <c r="AC245" s="42"/>
      <c r="AD245" s="42"/>
      <c r="AE245" s="42"/>
      <c r="AF245" s="42"/>
      <c r="AG245" s="42"/>
      <c r="AH245" s="42"/>
      <c r="AI245" s="42"/>
      <c r="AJ245" s="42"/>
    </row>
    <row r="246" spans="7:36" ht="15" hidden="1" customHeight="1" x14ac:dyDescent="0.2">
      <c r="G246" s="14" t="s">
        <v>6</v>
      </c>
      <c r="H246" s="14"/>
      <c r="I246" s="13"/>
      <c r="J246" s="13"/>
      <c r="K246" s="31">
        <f>$J$34</f>
        <v>0</v>
      </c>
      <c r="L246" s="31">
        <f t="shared" ref="L246:AI246" si="61">$J$34</f>
        <v>0</v>
      </c>
      <c r="M246" s="31">
        <f t="shared" si="61"/>
        <v>0</v>
      </c>
      <c r="N246" s="31">
        <f t="shared" si="61"/>
        <v>0</v>
      </c>
      <c r="O246" s="31">
        <f t="shared" si="61"/>
        <v>0</v>
      </c>
      <c r="P246" s="31">
        <f t="shared" si="61"/>
        <v>0</v>
      </c>
      <c r="Q246" s="31">
        <f t="shared" si="61"/>
        <v>0</v>
      </c>
      <c r="R246" s="31">
        <f t="shared" si="61"/>
        <v>0</v>
      </c>
      <c r="S246" s="31">
        <f t="shared" si="61"/>
        <v>0</v>
      </c>
      <c r="T246" s="31">
        <f t="shared" si="61"/>
        <v>0</v>
      </c>
      <c r="U246" s="31">
        <f t="shared" si="61"/>
        <v>0</v>
      </c>
      <c r="V246" s="31">
        <f t="shared" si="61"/>
        <v>0</v>
      </c>
      <c r="W246" s="31">
        <f t="shared" si="61"/>
        <v>0</v>
      </c>
      <c r="X246" s="31">
        <f t="shared" si="61"/>
        <v>0</v>
      </c>
      <c r="Y246" s="31">
        <f t="shared" si="61"/>
        <v>0</v>
      </c>
      <c r="Z246" s="31">
        <f t="shared" si="61"/>
        <v>0</v>
      </c>
      <c r="AA246" s="31">
        <f t="shared" si="61"/>
        <v>0</v>
      </c>
      <c r="AB246" s="31">
        <f t="shared" si="61"/>
        <v>0</v>
      </c>
      <c r="AC246" s="31">
        <f t="shared" si="61"/>
        <v>0</v>
      </c>
      <c r="AD246" s="31">
        <f t="shared" si="61"/>
        <v>0</v>
      </c>
      <c r="AE246" s="31">
        <f t="shared" si="61"/>
        <v>0</v>
      </c>
      <c r="AF246" s="31">
        <f t="shared" si="61"/>
        <v>0</v>
      </c>
      <c r="AG246" s="31">
        <f t="shared" si="61"/>
        <v>0</v>
      </c>
      <c r="AH246" s="31">
        <f t="shared" si="61"/>
        <v>0</v>
      </c>
      <c r="AI246" s="31">
        <f t="shared" si="61"/>
        <v>0</v>
      </c>
      <c r="AJ246" s="31">
        <f>$J$34</f>
        <v>0</v>
      </c>
    </row>
    <row r="247" spans="7:36" ht="15" hidden="1" customHeight="1" x14ac:dyDescent="0.2">
      <c r="G247" s="14"/>
      <c r="H247" s="14"/>
      <c r="I247" s="13"/>
      <c r="J247" s="13"/>
      <c r="K247" s="31"/>
      <c r="L247" s="31"/>
      <c r="M247" s="31"/>
      <c r="N247" s="31"/>
      <c r="O247" s="31"/>
      <c r="P247" s="31"/>
      <c r="Q247" s="31"/>
      <c r="R247" s="31"/>
      <c r="S247" s="31"/>
      <c r="T247" s="31"/>
      <c r="U247" s="31"/>
      <c r="V247" s="31"/>
      <c r="W247" s="31"/>
      <c r="X247" s="31"/>
      <c r="Y247" s="31"/>
      <c r="Z247" s="31"/>
      <c r="AA247" s="31"/>
      <c r="AB247" s="31"/>
      <c r="AC247" s="31"/>
      <c r="AD247" s="31"/>
      <c r="AE247" s="31"/>
      <c r="AF247" s="31"/>
      <c r="AG247" s="31"/>
      <c r="AH247" s="31"/>
      <c r="AI247" s="31"/>
      <c r="AJ247" s="31"/>
    </row>
    <row r="248" spans="7:36" ht="15" hidden="1" customHeight="1" x14ac:dyDescent="0.2">
      <c r="G248" s="14" t="s">
        <v>7</v>
      </c>
      <c r="H248" s="14"/>
      <c r="I248" s="13"/>
      <c r="J248" s="13"/>
      <c r="K248" s="42"/>
      <c r="L248" s="42"/>
      <c r="M248" s="42"/>
      <c r="N248" s="42"/>
      <c r="O248" s="42"/>
      <c r="P248" s="42"/>
      <c r="Q248" s="42"/>
      <c r="R248" s="42"/>
      <c r="S248" s="42"/>
      <c r="T248" s="42"/>
      <c r="U248" s="42"/>
      <c r="V248" s="42"/>
      <c r="W248" s="42"/>
      <c r="X248" s="42"/>
      <c r="Y248" s="42"/>
      <c r="Z248" s="42"/>
      <c r="AA248" s="42"/>
      <c r="AB248" s="42"/>
      <c r="AC248" s="42"/>
      <c r="AD248" s="42"/>
      <c r="AE248" s="42"/>
      <c r="AF248" s="42"/>
      <c r="AG248" s="42"/>
      <c r="AH248" s="42"/>
      <c r="AI248" s="42"/>
      <c r="AJ248" s="42"/>
    </row>
    <row r="249" spans="7:36" ht="15" hidden="1" customHeight="1" x14ac:dyDescent="0.2">
      <c r="G249" s="14" t="s">
        <v>8</v>
      </c>
      <c r="H249" s="14"/>
      <c r="I249" s="13"/>
      <c r="J249" s="13"/>
      <c r="K249" s="42"/>
      <c r="L249" s="42"/>
      <c r="M249" s="42"/>
      <c r="N249" s="42"/>
      <c r="O249" s="42"/>
      <c r="P249" s="42"/>
      <c r="Q249" s="42"/>
      <c r="R249" s="42"/>
      <c r="S249" s="42"/>
      <c r="T249" s="42"/>
      <c r="U249" s="42"/>
      <c r="V249" s="42"/>
      <c r="W249" s="42"/>
      <c r="X249" s="42"/>
      <c r="Y249" s="42"/>
      <c r="Z249" s="42"/>
      <c r="AA249" s="42"/>
      <c r="AB249" s="42"/>
      <c r="AC249" s="42"/>
      <c r="AD249" s="42"/>
      <c r="AE249" s="42"/>
      <c r="AF249" s="42"/>
      <c r="AG249" s="42"/>
      <c r="AH249" s="42"/>
      <c r="AI249" s="42"/>
      <c r="AJ249" s="42"/>
    </row>
    <row r="250" spans="7:36" ht="15" hidden="1" customHeight="1" x14ac:dyDescent="0.2">
      <c r="G250" s="14" t="s">
        <v>9</v>
      </c>
      <c r="H250" s="14"/>
      <c r="I250" s="13"/>
      <c r="J250" s="13"/>
      <c r="K250" s="31">
        <f>K241*K246</f>
        <v>0</v>
      </c>
      <c r="L250" s="31">
        <f>L241*L246</f>
        <v>0</v>
      </c>
      <c r="M250" s="31">
        <f t="shared" ref="M250:AI250" si="62">M241*M246</f>
        <v>0</v>
      </c>
      <c r="N250" s="31">
        <f t="shared" si="62"/>
        <v>0</v>
      </c>
      <c r="O250" s="31">
        <f t="shared" si="62"/>
        <v>0</v>
      </c>
      <c r="P250" s="31">
        <f t="shared" si="62"/>
        <v>0</v>
      </c>
      <c r="Q250" s="31">
        <f t="shared" si="62"/>
        <v>0</v>
      </c>
      <c r="R250" s="31">
        <f t="shared" si="62"/>
        <v>0</v>
      </c>
      <c r="S250" s="31">
        <f t="shared" si="62"/>
        <v>0</v>
      </c>
      <c r="T250" s="31">
        <f t="shared" si="62"/>
        <v>0</v>
      </c>
      <c r="U250" s="31">
        <f t="shared" si="62"/>
        <v>0</v>
      </c>
      <c r="V250" s="31">
        <f t="shared" si="62"/>
        <v>0</v>
      </c>
      <c r="W250" s="31">
        <f t="shared" si="62"/>
        <v>0</v>
      </c>
      <c r="X250" s="31">
        <f t="shared" si="62"/>
        <v>0</v>
      </c>
      <c r="Y250" s="31">
        <f t="shared" si="62"/>
        <v>0</v>
      </c>
      <c r="Z250" s="31">
        <f t="shared" si="62"/>
        <v>0</v>
      </c>
      <c r="AA250" s="31">
        <f t="shared" si="62"/>
        <v>0</v>
      </c>
      <c r="AB250" s="31">
        <f t="shared" si="62"/>
        <v>0</v>
      </c>
      <c r="AC250" s="31">
        <f t="shared" si="62"/>
        <v>0</v>
      </c>
      <c r="AD250" s="31">
        <f t="shared" si="62"/>
        <v>0</v>
      </c>
      <c r="AE250" s="31">
        <f t="shared" si="62"/>
        <v>0</v>
      </c>
      <c r="AF250" s="31">
        <f t="shared" si="62"/>
        <v>0</v>
      </c>
      <c r="AG250" s="31">
        <f t="shared" si="62"/>
        <v>0</v>
      </c>
      <c r="AH250" s="31">
        <f t="shared" si="62"/>
        <v>0</v>
      </c>
      <c r="AI250" s="31">
        <f t="shared" si="62"/>
        <v>0</v>
      </c>
      <c r="AJ250" s="31">
        <f>AJ241*AJ246</f>
        <v>0</v>
      </c>
    </row>
    <row r="251" spans="7:36" ht="15" hidden="1" customHeight="1" x14ac:dyDescent="0.2">
      <c r="G251" s="14"/>
      <c r="H251" s="14"/>
      <c r="I251" s="13"/>
      <c r="J251" s="13"/>
      <c r="K251" s="31"/>
      <c r="L251" s="31"/>
      <c r="M251" s="31"/>
      <c r="N251" s="31"/>
      <c r="O251" s="31"/>
      <c r="P251" s="31"/>
      <c r="Q251" s="31"/>
      <c r="R251" s="31"/>
      <c r="S251" s="31"/>
      <c r="T251" s="31"/>
      <c r="U251" s="31"/>
      <c r="V251" s="31"/>
      <c r="W251" s="31"/>
      <c r="X251" s="31"/>
      <c r="Y251" s="31"/>
      <c r="Z251" s="31"/>
      <c r="AA251" s="31"/>
      <c r="AB251" s="31"/>
      <c r="AC251" s="31"/>
      <c r="AD251" s="31"/>
      <c r="AE251" s="31"/>
      <c r="AF251" s="31"/>
      <c r="AG251" s="31"/>
      <c r="AH251" s="31"/>
      <c r="AI251" s="31"/>
      <c r="AJ251" s="31"/>
    </row>
    <row r="252" spans="7:36" ht="15" hidden="1" customHeight="1" x14ac:dyDescent="0.2">
      <c r="G252" s="14" t="s">
        <v>10</v>
      </c>
      <c r="H252" s="14"/>
      <c r="I252" s="13"/>
      <c r="J252" s="13"/>
      <c r="K252" s="42"/>
      <c r="L252" s="42"/>
      <c r="M252" s="42"/>
      <c r="N252" s="42"/>
      <c r="O252" s="42"/>
      <c r="P252" s="42"/>
      <c r="Q252" s="42"/>
      <c r="R252" s="42"/>
      <c r="S252" s="42"/>
      <c r="T252" s="42"/>
      <c r="U252" s="42"/>
      <c r="V252" s="42"/>
      <c r="W252" s="42"/>
      <c r="X252" s="42"/>
      <c r="Y252" s="42"/>
      <c r="Z252" s="42"/>
      <c r="AA252" s="42"/>
      <c r="AB252" s="42"/>
      <c r="AC252" s="42"/>
      <c r="AD252" s="42"/>
      <c r="AE252" s="42"/>
      <c r="AF252" s="42"/>
      <c r="AG252" s="42"/>
      <c r="AH252" s="42"/>
      <c r="AI252" s="42"/>
      <c r="AJ252" s="42"/>
    </row>
    <row r="253" spans="7:36" ht="15" hidden="1" customHeight="1" x14ac:dyDescent="0.2">
      <c r="G253" s="14" t="s">
        <v>11</v>
      </c>
      <c r="H253" s="14"/>
      <c r="I253" s="13"/>
      <c r="J253" s="13"/>
      <c r="K253" s="42"/>
      <c r="L253" s="42"/>
      <c r="M253" s="42"/>
      <c r="N253" s="42"/>
      <c r="O253" s="42"/>
      <c r="P253" s="42"/>
      <c r="Q253" s="42"/>
      <c r="R253" s="42"/>
      <c r="S253" s="42"/>
      <c r="T253" s="42"/>
      <c r="U253" s="42"/>
      <c r="V253" s="42"/>
      <c r="W253" s="42"/>
      <c r="X253" s="42"/>
      <c r="Y253" s="42"/>
      <c r="Z253" s="42"/>
      <c r="AA253" s="42"/>
      <c r="AB253" s="42"/>
      <c r="AC253" s="42"/>
      <c r="AD253" s="42"/>
      <c r="AE253" s="42"/>
      <c r="AF253" s="42"/>
      <c r="AG253" s="42"/>
      <c r="AH253" s="42"/>
      <c r="AI253" s="42"/>
      <c r="AJ253" s="42"/>
    </row>
    <row r="254" spans="7:36" ht="15" hidden="1" customHeight="1" x14ac:dyDescent="0.2">
      <c r="G254" s="14" t="s">
        <v>12</v>
      </c>
      <c r="H254" s="14"/>
      <c r="I254" s="13"/>
      <c r="J254" s="13"/>
      <c r="K254" s="31">
        <f>K$242*K246</f>
        <v>0</v>
      </c>
      <c r="L254" s="31">
        <f>L$242*L246</f>
        <v>0</v>
      </c>
      <c r="M254" s="31">
        <f t="shared" ref="M254:AI254" si="63">M$242*M246</f>
        <v>0</v>
      </c>
      <c r="N254" s="31">
        <f t="shared" si="63"/>
        <v>0</v>
      </c>
      <c r="O254" s="31">
        <f t="shared" si="63"/>
        <v>0</v>
      </c>
      <c r="P254" s="31">
        <f t="shared" si="63"/>
        <v>0</v>
      </c>
      <c r="Q254" s="31">
        <f t="shared" si="63"/>
        <v>0</v>
      </c>
      <c r="R254" s="31">
        <f t="shared" si="63"/>
        <v>0</v>
      </c>
      <c r="S254" s="31">
        <f t="shared" si="63"/>
        <v>0</v>
      </c>
      <c r="T254" s="31">
        <f t="shared" si="63"/>
        <v>0</v>
      </c>
      <c r="U254" s="31">
        <f t="shared" si="63"/>
        <v>0</v>
      </c>
      <c r="V254" s="31">
        <f t="shared" si="63"/>
        <v>0</v>
      </c>
      <c r="W254" s="31">
        <f t="shared" si="63"/>
        <v>0</v>
      </c>
      <c r="X254" s="31">
        <f t="shared" si="63"/>
        <v>0</v>
      </c>
      <c r="Y254" s="31">
        <f t="shared" si="63"/>
        <v>0</v>
      </c>
      <c r="Z254" s="31">
        <f t="shared" si="63"/>
        <v>0</v>
      </c>
      <c r="AA254" s="31">
        <f t="shared" si="63"/>
        <v>0</v>
      </c>
      <c r="AB254" s="31">
        <f t="shared" si="63"/>
        <v>0</v>
      </c>
      <c r="AC254" s="31">
        <f t="shared" si="63"/>
        <v>0</v>
      </c>
      <c r="AD254" s="31">
        <f t="shared" si="63"/>
        <v>0</v>
      </c>
      <c r="AE254" s="31">
        <f t="shared" si="63"/>
        <v>0</v>
      </c>
      <c r="AF254" s="31">
        <f t="shared" si="63"/>
        <v>0</v>
      </c>
      <c r="AG254" s="31">
        <f t="shared" si="63"/>
        <v>0</v>
      </c>
      <c r="AH254" s="31">
        <f t="shared" si="63"/>
        <v>0</v>
      </c>
      <c r="AI254" s="31">
        <f t="shared" si="63"/>
        <v>0</v>
      </c>
      <c r="AJ254" s="31">
        <f>AJ$242*AJ246</f>
        <v>0</v>
      </c>
    </row>
    <row r="255" spans="7:36" ht="15" hidden="1" customHeight="1" x14ac:dyDescent="0.2">
      <c r="G255" s="14" t="s">
        <v>13</v>
      </c>
      <c r="H255" s="14"/>
      <c r="I255" s="13"/>
      <c r="J255" s="13"/>
      <c r="K255" s="31">
        <f t="shared" ref="K255:AJ255" si="64">K$91*K250</f>
        <v>0</v>
      </c>
      <c r="L255" s="31">
        <f t="shared" si="64"/>
        <v>0</v>
      </c>
      <c r="M255" s="31">
        <f t="shared" si="64"/>
        <v>0</v>
      </c>
      <c r="N255" s="31">
        <f t="shared" si="64"/>
        <v>0</v>
      </c>
      <c r="O255" s="31">
        <f t="shared" si="64"/>
        <v>0</v>
      </c>
      <c r="P255" s="31">
        <f t="shared" si="64"/>
        <v>0</v>
      </c>
      <c r="Q255" s="31">
        <f t="shared" si="64"/>
        <v>0</v>
      </c>
      <c r="R255" s="31">
        <f t="shared" si="64"/>
        <v>0</v>
      </c>
      <c r="S255" s="31">
        <f t="shared" si="64"/>
        <v>0</v>
      </c>
      <c r="T255" s="31">
        <f t="shared" si="64"/>
        <v>0</v>
      </c>
      <c r="U255" s="31">
        <f t="shared" si="64"/>
        <v>0</v>
      </c>
      <c r="V255" s="31">
        <f t="shared" si="64"/>
        <v>0</v>
      </c>
      <c r="W255" s="31">
        <f t="shared" si="64"/>
        <v>0</v>
      </c>
      <c r="X255" s="31">
        <f t="shared" si="64"/>
        <v>0</v>
      </c>
      <c r="Y255" s="31">
        <f t="shared" si="64"/>
        <v>0</v>
      </c>
      <c r="Z255" s="31">
        <f t="shared" si="64"/>
        <v>0</v>
      </c>
      <c r="AA255" s="31">
        <f t="shared" si="64"/>
        <v>0</v>
      </c>
      <c r="AB255" s="31">
        <f t="shared" si="64"/>
        <v>0</v>
      </c>
      <c r="AC255" s="31">
        <f t="shared" si="64"/>
        <v>0</v>
      </c>
      <c r="AD255" s="31">
        <f t="shared" si="64"/>
        <v>0</v>
      </c>
      <c r="AE255" s="31">
        <f t="shared" si="64"/>
        <v>0</v>
      </c>
      <c r="AF255" s="31">
        <f t="shared" si="64"/>
        <v>0</v>
      </c>
      <c r="AG255" s="31">
        <f t="shared" si="64"/>
        <v>0</v>
      </c>
      <c r="AH255" s="31">
        <f t="shared" si="64"/>
        <v>0</v>
      </c>
      <c r="AI255" s="31">
        <f t="shared" si="64"/>
        <v>0</v>
      </c>
      <c r="AJ255" s="31">
        <f t="shared" si="64"/>
        <v>0</v>
      </c>
    </row>
    <row r="256" spans="7:36" ht="15" hidden="1" customHeight="1" x14ac:dyDescent="0.2">
      <c r="G256" s="14"/>
      <c r="H256" s="14"/>
      <c r="I256" s="13"/>
      <c r="J256" s="13"/>
      <c r="K256" s="31"/>
      <c r="L256" s="31"/>
      <c r="M256" s="31"/>
      <c r="N256" s="31"/>
      <c r="O256" s="31"/>
      <c r="P256" s="31"/>
      <c r="Q256" s="31"/>
      <c r="R256" s="31"/>
      <c r="S256" s="31"/>
      <c r="T256" s="31"/>
      <c r="U256" s="31"/>
      <c r="V256" s="31"/>
      <c r="W256" s="31"/>
      <c r="X256" s="31"/>
      <c r="Y256" s="31"/>
      <c r="Z256" s="31"/>
      <c r="AA256" s="31"/>
      <c r="AB256" s="31"/>
      <c r="AC256" s="31"/>
      <c r="AD256" s="31"/>
      <c r="AE256" s="31"/>
      <c r="AF256" s="31"/>
      <c r="AG256" s="31"/>
      <c r="AH256" s="31"/>
      <c r="AI256" s="31"/>
      <c r="AJ256" s="31"/>
    </row>
    <row r="257" spans="7:36" ht="15" hidden="1" customHeight="1" x14ac:dyDescent="0.2">
      <c r="G257" s="14" t="s">
        <v>14</v>
      </c>
      <c r="H257" s="14"/>
      <c r="I257" s="13"/>
      <c r="J257" s="13"/>
      <c r="K257" s="31">
        <f>SUM(K252:K255)</f>
        <v>0</v>
      </c>
      <c r="L257" s="31">
        <f t="shared" ref="L257:AI257" si="65">SUM(L252:L255)</f>
        <v>0</v>
      </c>
      <c r="M257" s="31">
        <f t="shared" si="65"/>
        <v>0</v>
      </c>
      <c r="N257" s="31">
        <f t="shared" si="65"/>
        <v>0</v>
      </c>
      <c r="O257" s="31">
        <f t="shared" si="65"/>
        <v>0</v>
      </c>
      <c r="P257" s="31">
        <f t="shared" si="65"/>
        <v>0</v>
      </c>
      <c r="Q257" s="31">
        <f t="shared" si="65"/>
        <v>0</v>
      </c>
      <c r="R257" s="31">
        <f t="shared" si="65"/>
        <v>0</v>
      </c>
      <c r="S257" s="31">
        <f t="shared" si="65"/>
        <v>0</v>
      </c>
      <c r="T257" s="31">
        <f t="shared" si="65"/>
        <v>0</v>
      </c>
      <c r="U257" s="31">
        <f t="shared" si="65"/>
        <v>0</v>
      </c>
      <c r="V257" s="31">
        <f t="shared" si="65"/>
        <v>0</v>
      </c>
      <c r="W257" s="31">
        <f t="shared" si="65"/>
        <v>0</v>
      </c>
      <c r="X257" s="31">
        <f t="shared" si="65"/>
        <v>0</v>
      </c>
      <c r="Y257" s="31">
        <f t="shared" si="65"/>
        <v>0</v>
      </c>
      <c r="Z257" s="31">
        <f t="shared" si="65"/>
        <v>0</v>
      </c>
      <c r="AA257" s="31">
        <f t="shared" si="65"/>
        <v>0</v>
      </c>
      <c r="AB257" s="31">
        <f t="shared" si="65"/>
        <v>0</v>
      </c>
      <c r="AC257" s="31">
        <f t="shared" si="65"/>
        <v>0</v>
      </c>
      <c r="AD257" s="31">
        <f t="shared" si="65"/>
        <v>0</v>
      </c>
      <c r="AE257" s="31">
        <f t="shared" si="65"/>
        <v>0</v>
      </c>
      <c r="AF257" s="31">
        <f t="shared" si="65"/>
        <v>0</v>
      </c>
      <c r="AG257" s="31">
        <f t="shared" si="65"/>
        <v>0</v>
      </c>
      <c r="AH257" s="31">
        <f t="shared" si="65"/>
        <v>0</v>
      </c>
      <c r="AI257" s="31">
        <f t="shared" si="65"/>
        <v>0</v>
      </c>
      <c r="AJ257" s="31">
        <f>SUM(AJ252:AJ255)</f>
        <v>0</v>
      </c>
    </row>
    <row r="258" spans="7:36" ht="15" hidden="1" customHeight="1" x14ac:dyDescent="0.2">
      <c r="G258" s="14" t="s">
        <v>15</v>
      </c>
      <c r="H258" s="14"/>
      <c r="I258" s="13"/>
      <c r="J258" s="13"/>
      <c r="K258" s="31">
        <f>K257</f>
        <v>0</v>
      </c>
      <c r="L258" s="31">
        <f t="shared" ref="L258:AI258" si="66">K258+L257</f>
        <v>0</v>
      </c>
      <c r="M258" s="31">
        <f t="shared" si="66"/>
        <v>0</v>
      </c>
      <c r="N258" s="31">
        <f t="shared" si="66"/>
        <v>0</v>
      </c>
      <c r="O258" s="31">
        <f t="shared" si="66"/>
        <v>0</v>
      </c>
      <c r="P258" s="31">
        <f t="shared" si="66"/>
        <v>0</v>
      </c>
      <c r="Q258" s="31">
        <f t="shared" si="66"/>
        <v>0</v>
      </c>
      <c r="R258" s="31">
        <f t="shared" si="66"/>
        <v>0</v>
      </c>
      <c r="S258" s="31">
        <f t="shared" si="66"/>
        <v>0</v>
      </c>
      <c r="T258" s="31">
        <f t="shared" si="66"/>
        <v>0</v>
      </c>
      <c r="U258" s="31">
        <f t="shared" si="66"/>
        <v>0</v>
      </c>
      <c r="V258" s="31">
        <f t="shared" si="66"/>
        <v>0</v>
      </c>
      <c r="W258" s="31">
        <f t="shared" si="66"/>
        <v>0</v>
      </c>
      <c r="X258" s="31">
        <f t="shared" si="66"/>
        <v>0</v>
      </c>
      <c r="Y258" s="31">
        <f t="shared" si="66"/>
        <v>0</v>
      </c>
      <c r="Z258" s="31">
        <f t="shared" si="66"/>
        <v>0</v>
      </c>
      <c r="AA258" s="31">
        <f t="shared" si="66"/>
        <v>0</v>
      </c>
      <c r="AB258" s="31">
        <f t="shared" si="66"/>
        <v>0</v>
      </c>
      <c r="AC258" s="31">
        <f t="shared" si="66"/>
        <v>0</v>
      </c>
      <c r="AD258" s="31">
        <f t="shared" si="66"/>
        <v>0</v>
      </c>
      <c r="AE258" s="31">
        <f t="shared" si="66"/>
        <v>0</v>
      </c>
      <c r="AF258" s="31">
        <f t="shared" si="66"/>
        <v>0</v>
      </c>
      <c r="AG258" s="31">
        <f t="shared" si="66"/>
        <v>0</v>
      </c>
      <c r="AH258" s="31">
        <f t="shared" si="66"/>
        <v>0</v>
      </c>
      <c r="AI258" s="31">
        <f t="shared" si="66"/>
        <v>0</v>
      </c>
      <c r="AJ258" s="31">
        <f>AI258+AJ257</f>
        <v>0</v>
      </c>
    </row>
    <row r="259" spans="7:36" ht="15" hidden="1" customHeight="1" x14ac:dyDescent="0.2">
      <c r="G259" s="13"/>
      <c r="H259" s="13"/>
      <c r="I259" s="13"/>
      <c r="J259" s="13"/>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row>
    <row r="260" spans="7:36" ht="15" hidden="1" customHeight="1" x14ac:dyDescent="0.2">
      <c r="G260" s="14" t="s">
        <v>17</v>
      </c>
      <c r="H260" s="13"/>
      <c r="I260" s="13"/>
      <c r="J260" s="13"/>
      <c r="K260" s="31">
        <f>K257/(((Data!$P$186/100)+1)^K$73)</f>
        <v>0</v>
      </c>
      <c r="L260" s="31">
        <f>L257/(((Data!$P$186/100)+1)^L$73)</f>
        <v>0</v>
      </c>
      <c r="M260" s="31">
        <f>M257/(((Data!$P$186/100)+1)^M$73)</f>
        <v>0</v>
      </c>
      <c r="N260" s="31">
        <f>N257/(((Data!$P$186/100)+1)^N$73)</f>
        <v>0</v>
      </c>
      <c r="O260" s="31">
        <f>O257/(((Data!$P$186/100)+1)^O$73)</f>
        <v>0</v>
      </c>
      <c r="P260" s="31">
        <f>P257/(((Data!$P$186/100)+1)^P$73)</f>
        <v>0</v>
      </c>
      <c r="Q260" s="31">
        <f>Q257/(((Data!$P$186/100)+1)^Q$73)</f>
        <v>0</v>
      </c>
      <c r="R260" s="31">
        <f>R257/(((Data!$P$186/100)+1)^R$73)</f>
        <v>0</v>
      </c>
      <c r="S260" s="31">
        <f>S257/(((Data!$P$186/100)+1)^S$73)</f>
        <v>0</v>
      </c>
      <c r="T260" s="31">
        <f>T257/(((Data!$P$186/100)+1)^T$73)</f>
        <v>0</v>
      </c>
      <c r="U260" s="31">
        <f>U257/(((Data!$P$186/100)+1)^U$73)</f>
        <v>0</v>
      </c>
      <c r="V260" s="31">
        <f>V257/(((Data!$P$186/100)+1)^V$73)</f>
        <v>0</v>
      </c>
      <c r="W260" s="31">
        <f>W257/(((Data!$P$186/100)+1)^W$73)</f>
        <v>0</v>
      </c>
      <c r="X260" s="31">
        <f>X257/(((Data!$P$186/100)+1)^X$73)</f>
        <v>0</v>
      </c>
      <c r="Y260" s="31">
        <f>Y257/(((Data!$P$186/100)+1)^Y$73)</f>
        <v>0</v>
      </c>
      <c r="Z260" s="31">
        <f>Z257/(((Data!$P$186/100)+1)^Z$73)</f>
        <v>0</v>
      </c>
      <c r="AA260" s="31">
        <f>AA257/(((Data!$P$186/100)+1)^AA$73)</f>
        <v>0</v>
      </c>
      <c r="AB260" s="31">
        <f>AB257/(((Data!$P$186/100)+1)^AB$73)</f>
        <v>0</v>
      </c>
      <c r="AC260" s="31">
        <f>AC257/(((Data!$P$186/100)+1)^AC$73)</f>
        <v>0</v>
      </c>
      <c r="AD260" s="31">
        <f>AD257/(((Data!$P$186/100)+1)^AD$73)</f>
        <v>0</v>
      </c>
      <c r="AE260" s="31">
        <f>AE257/(((Data!$P$186/100)+1)^AE$73)</f>
        <v>0</v>
      </c>
      <c r="AF260" s="31">
        <f>AF257/(((Data!$P$186/100)+1)^AF$73)</f>
        <v>0</v>
      </c>
      <c r="AG260" s="31">
        <f>AG257/(((Data!$P$186/100)+1)^AG$73)</f>
        <v>0</v>
      </c>
      <c r="AH260" s="31">
        <f>AH257/(((Data!$P$186/100)+1)^AH$73)</f>
        <v>0</v>
      </c>
      <c r="AI260" s="31">
        <f>AI257/(((Data!$P$186/100)+1)^AI$73)</f>
        <v>0</v>
      </c>
      <c r="AJ260" s="31">
        <f>AJ257/(((Data!$P$186/100)+1)^AJ$73)</f>
        <v>0</v>
      </c>
    </row>
    <row r="261" spans="7:36" ht="15" hidden="1" customHeight="1" x14ac:dyDescent="0.2">
      <c r="G261" s="30" t="s">
        <v>186</v>
      </c>
      <c r="H261" s="33"/>
      <c r="I261" s="13"/>
      <c r="J261" s="13"/>
      <c r="K261" s="34">
        <f>K260</f>
        <v>0</v>
      </c>
      <c r="L261" s="34">
        <f t="shared" ref="L261:AI261" si="67">K261+L260</f>
        <v>0</v>
      </c>
      <c r="M261" s="34">
        <f t="shared" si="67"/>
        <v>0</v>
      </c>
      <c r="N261" s="34">
        <f t="shared" si="67"/>
        <v>0</v>
      </c>
      <c r="O261" s="34">
        <f t="shared" si="67"/>
        <v>0</v>
      </c>
      <c r="P261" s="34">
        <f t="shared" si="67"/>
        <v>0</v>
      </c>
      <c r="Q261" s="34">
        <f t="shared" si="67"/>
        <v>0</v>
      </c>
      <c r="R261" s="34">
        <f t="shared" si="67"/>
        <v>0</v>
      </c>
      <c r="S261" s="34">
        <f t="shared" si="67"/>
        <v>0</v>
      </c>
      <c r="T261" s="34">
        <f t="shared" si="67"/>
        <v>0</v>
      </c>
      <c r="U261" s="34">
        <f t="shared" si="67"/>
        <v>0</v>
      </c>
      <c r="V261" s="34">
        <f t="shared" si="67"/>
        <v>0</v>
      </c>
      <c r="W261" s="34">
        <f t="shared" si="67"/>
        <v>0</v>
      </c>
      <c r="X261" s="34">
        <f t="shared" si="67"/>
        <v>0</v>
      </c>
      <c r="Y261" s="34">
        <f t="shared" si="67"/>
        <v>0</v>
      </c>
      <c r="Z261" s="34">
        <f t="shared" si="67"/>
        <v>0</v>
      </c>
      <c r="AA261" s="34">
        <f t="shared" si="67"/>
        <v>0</v>
      </c>
      <c r="AB261" s="34">
        <f t="shared" si="67"/>
        <v>0</v>
      </c>
      <c r="AC261" s="34">
        <f t="shared" si="67"/>
        <v>0</v>
      </c>
      <c r="AD261" s="34">
        <f t="shared" si="67"/>
        <v>0</v>
      </c>
      <c r="AE261" s="34">
        <f t="shared" si="67"/>
        <v>0</v>
      </c>
      <c r="AF261" s="34">
        <f t="shared" si="67"/>
        <v>0</v>
      </c>
      <c r="AG261" s="34">
        <f t="shared" si="67"/>
        <v>0</v>
      </c>
      <c r="AH261" s="34">
        <f t="shared" si="67"/>
        <v>0</v>
      </c>
      <c r="AI261" s="34">
        <f t="shared" si="67"/>
        <v>0</v>
      </c>
      <c r="AJ261" s="34">
        <f>AI261+AJ260</f>
        <v>0</v>
      </c>
    </row>
    <row r="262" spans="7:36" ht="15" hidden="1" customHeight="1" x14ac:dyDescent="0.2">
      <c r="G262" s="8"/>
      <c r="H262" s="8"/>
      <c r="I262" s="8"/>
      <c r="J262" s="8"/>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row>
    <row r="263" spans="7:36" ht="15" hidden="1" customHeight="1" x14ac:dyDescent="0.2">
      <c r="G263" s="532" t="s">
        <v>514</v>
      </c>
      <c r="H263" s="17"/>
      <c r="I263" s="13"/>
      <c r="J263" s="13"/>
      <c r="K263" s="35"/>
      <c r="L263" s="35"/>
      <c r="M263" s="35"/>
      <c r="N263" s="35"/>
      <c r="O263" s="35"/>
      <c r="P263" s="35"/>
      <c r="Q263" s="35"/>
      <c r="R263" s="35"/>
      <c r="S263" s="35"/>
      <c r="T263" s="35"/>
      <c r="U263" s="35"/>
      <c r="V263" s="35"/>
      <c r="W263" s="35"/>
      <c r="X263" s="35"/>
      <c r="Y263" s="35"/>
      <c r="Z263" s="35"/>
      <c r="AA263" s="35"/>
      <c r="AB263" s="35"/>
      <c r="AC263" s="35"/>
      <c r="AD263" s="35"/>
      <c r="AE263" s="35"/>
      <c r="AF263" s="35"/>
      <c r="AG263" s="35"/>
      <c r="AH263" s="35"/>
      <c r="AI263" s="35"/>
      <c r="AJ263" s="35"/>
    </row>
    <row r="264" spans="7:36" ht="15" hidden="1" customHeight="1" x14ac:dyDescent="0.2">
      <c r="G264" s="17"/>
      <c r="H264" s="17"/>
      <c r="I264" s="13"/>
      <c r="J264" s="13"/>
      <c r="K264" s="35"/>
      <c r="L264" s="35"/>
      <c r="M264" s="35"/>
      <c r="N264" s="35"/>
      <c r="O264" s="35"/>
      <c r="P264" s="35"/>
      <c r="Q264" s="35"/>
      <c r="R264" s="35"/>
      <c r="S264" s="35"/>
      <c r="T264" s="35"/>
      <c r="U264" s="35"/>
      <c r="V264" s="35"/>
      <c r="W264" s="35"/>
      <c r="X264" s="35"/>
      <c r="Y264" s="35"/>
      <c r="Z264" s="35"/>
      <c r="AA264" s="35"/>
      <c r="AB264" s="35"/>
      <c r="AC264" s="35"/>
      <c r="AD264" s="35"/>
      <c r="AE264" s="35"/>
      <c r="AF264" s="35"/>
      <c r="AG264" s="35"/>
      <c r="AH264" s="35"/>
      <c r="AI264" s="35"/>
      <c r="AJ264" s="35"/>
    </row>
    <row r="265" spans="7:36" ht="15" hidden="1" customHeight="1" x14ac:dyDescent="0.2">
      <c r="G265" s="17" t="s">
        <v>2</v>
      </c>
      <c r="H265" s="60"/>
      <c r="I265" s="60"/>
      <c r="J265" s="60"/>
      <c r="K265" s="101">
        <f>K$82</f>
        <v>0.19338</v>
      </c>
      <c r="L265" s="101">
        <f t="shared" ref="L265:AJ265" si="68">L$82</f>
        <v>0.18757859999999998</v>
      </c>
      <c r="M265" s="101">
        <f t="shared" si="68"/>
        <v>0.18195124199999999</v>
      </c>
      <c r="N265" s="101">
        <f t="shared" si="68"/>
        <v>0.17649270473999998</v>
      </c>
      <c r="O265" s="101">
        <f t="shared" si="68"/>
        <v>0.17119792359779998</v>
      </c>
      <c r="P265" s="101">
        <f t="shared" si="68"/>
        <v>0.16606198588986598</v>
      </c>
      <c r="Q265" s="101">
        <f t="shared" si="68"/>
        <v>0.16108012631317001</v>
      </c>
      <c r="R265" s="101">
        <f t="shared" si="68"/>
        <v>0.15624772252377489</v>
      </c>
      <c r="S265" s="101">
        <f t="shared" si="68"/>
        <v>0.15156029084806164</v>
      </c>
      <c r="T265" s="101">
        <f t="shared" si="68"/>
        <v>0.14701348212261978</v>
      </c>
      <c r="U265" s="101">
        <f t="shared" si="68"/>
        <v>0.14260307765894117</v>
      </c>
      <c r="V265" s="101">
        <f t="shared" si="68"/>
        <v>0.13832498532917292</v>
      </c>
      <c r="W265" s="101">
        <f t="shared" si="68"/>
        <v>0.13417523576929774</v>
      </c>
      <c r="X265" s="101">
        <f t="shared" si="68"/>
        <v>0.1301499786962188</v>
      </c>
      <c r="Y265" s="101">
        <f t="shared" si="68"/>
        <v>0.12624547933533223</v>
      </c>
      <c r="Z265" s="101">
        <f t="shared" si="68"/>
        <v>0.12245811495527226</v>
      </c>
      <c r="AA265" s="101">
        <f t="shared" si="68"/>
        <v>0.11878437150661408</v>
      </c>
      <c r="AB265" s="101">
        <f t="shared" si="68"/>
        <v>0.11522084036141565</v>
      </c>
      <c r="AC265" s="101">
        <f t="shared" si="68"/>
        <v>0.11176421515057318</v>
      </c>
      <c r="AD265" s="101">
        <f t="shared" si="68"/>
        <v>0.10841128869605599</v>
      </c>
      <c r="AE265" s="101">
        <f t="shared" si="68"/>
        <v>0.10515895003517431</v>
      </c>
      <c r="AF265" s="101">
        <f t="shared" si="68"/>
        <v>0.10200418153411908</v>
      </c>
      <c r="AG265" s="101">
        <f t="shared" si="68"/>
        <v>9.8944056088095506E-2</v>
      </c>
      <c r="AH265" s="101">
        <f t="shared" si="68"/>
        <v>9.5975734405452637E-2</v>
      </c>
      <c r="AI265" s="101">
        <f t="shared" si="68"/>
        <v>9.3096462373289057E-2</v>
      </c>
      <c r="AJ265" s="101">
        <f t="shared" si="68"/>
        <v>9.0303568502090384E-2</v>
      </c>
    </row>
    <row r="266" spans="7:36" ht="15" hidden="1" customHeight="1" x14ac:dyDescent="0.2">
      <c r="G266" s="17" t="s">
        <v>1</v>
      </c>
      <c r="H266" s="60"/>
      <c r="I266" s="60"/>
      <c r="J266" s="60"/>
      <c r="K266" s="101">
        <f>K$88</f>
        <v>0.31</v>
      </c>
      <c r="L266" s="101">
        <f t="shared" ref="L266:AJ266" si="69">L$88</f>
        <v>0.34100000000000003</v>
      </c>
      <c r="M266" s="101">
        <f t="shared" si="69"/>
        <v>0.37510000000000004</v>
      </c>
      <c r="N266" s="101">
        <f t="shared" si="69"/>
        <v>0.41261000000000009</v>
      </c>
      <c r="O266" s="101">
        <f t="shared" si="69"/>
        <v>0.45387100000000014</v>
      </c>
      <c r="P266" s="101">
        <f t="shared" si="69"/>
        <v>0.4992581000000002</v>
      </c>
      <c r="Q266" s="101">
        <f t="shared" si="69"/>
        <v>0.54918391000000022</v>
      </c>
      <c r="R266" s="101">
        <f t="shared" si="69"/>
        <v>0.60410230100000029</v>
      </c>
      <c r="S266" s="101">
        <f t="shared" si="69"/>
        <v>0.66451253110000041</v>
      </c>
      <c r="T266" s="101">
        <f t="shared" si="69"/>
        <v>0.73096378421000052</v>
      </c>
      <c r="U266" s="101">
        <f t="shared" si="69"/>
        <v>0.80406016263100066</v>
      </c>
      <c r="V266" s="101">
        <f t="shared" si="69"/>
        <v>0.88446617889410084</v>
      </c>
      <c r="W266" s="101">
        <f t="shared" si="69"/>
        <v>0.97291279678351106</v>
      </c>
      <c r="X266" s="101">
        <f t="shared" si="69"/>
        <v>1.0702040764618623</v>
      </c>
      <c r="Y266" s="101">
        <f t="shared" si="69"/>
        <v>1.1772244841080486</v>
      </c>
      <c r="Z266" s="101">
        <f t="shared" si="69"/>
        <v>1.2949469325188536</v>
      </c>
      <c r="AA266" s="101">
        <f t="shared" si="69"/>
        <v>1.4244416257707391</v>
      </c>
      <c r="AB266" s="101">
        <f t="shared" si="69"/>
        <v>1.5668857883478131</v>
      </c>
      <c r="AC266" s="101">
        <f t="shared" si="69"/>
        <v>1.7235743671825945</v>
      </c>
      <c r="AD266" s="101">
        <f t="shared" si="69"/>
        <v>1.8959318039008541</v>
      </c>
      <c r="AE266" s="101">
        <f t="shared" si="69"/>
        <v>2.0855249842909398</v>
      </c>
      <c r="AF266" s="101">
        <f t="shared" si="69"/>
        <v>2.2940774827200339</v>
      </c>
      <c r="AG266" s="101">
        <f t="shared" si="69"/>
        <v>2.5234852309920375</v>
      </c>
      <c r="AH266" s="101">
        <f t="shared" si="69"/>
        <v>2.7758337540912414</v>
      </c>
      <c r="AI266" s="101">
        <f t="shared" si="69"/>
        <v>3.053417129500366</v>
      </c>
      <c r="AJ266" s="101">
        <f t="shared" si="69"/>
        <v>3.3587588424504031</v>
      </c>
    </row>
    <row r="267" spans="7:36" ht="15" hidden="1" customHeight="1" x14ac:dyDescent="0.2">
      <c r="G267" s="60"/>
      <c r="H267" s="60"/>
      <c r="I267" s="60"/>
      <c r="J267" s="60"/>
      <c r="K267" s="60"/>
      <c r="L267" s="60"/>
      <c r="M267" s="60"/>
      <c r="N267" s="60"/>
      <c r="O267" s="60"/>
      <c r="P267" s="60"/>
      <c r="Q267" s="60"/>
      <c r="R267" s="61"/>
      <c r="S267" s="60"/>
      <c r="T267" s="60"/>
      <c r="U267" s="60"/>
      <c r="V267" s="60"/>
      <c r="W267" s="60"/>
      <c r="X267" s="60"/>
      <c r="Y267" s="60"/>
      <c r="Z267" s="60"/>
      <c r="AA267" s="60"/>
      <c r="AB267" s="60"/>
      <c r="AC267" s="60"/>
      <c r="AD267" s="60"/>
      <c r="AE267" s="60"/>
      <c r="AF267" s="60"/>
      <c r="AG267" s="60"/>
      <c r="AH267" s="60"/>
      <c r="AI267" s="60"/>
      <c r="AJ267" s="60"/>
    </row>
    <row r="268" spans="7:36" ht="15" hidden="1" customHeight="1" x14ac:dyDescent="0.2">
      <c r="G268" s="17" t="s">
        <v>4</v>
      </c>
      <c r="H268" s="17"/>
      <c r="I268" s="13"/>
      <c r="J268" s="13"/>
      <c r="K268" s="43"/>
      <c r="L268" s="43"/>
      <c r="M268" s="43"/>
      <c r="N268" s="43"/>
      <c r="O268" s="43"/>
      <c r="P268" s="43"/>
      <c r="Q268" s="43"/>
      <c r="R268" s="43"/>
      <c r="S268" s="43"/>
      <c r="T268" s="43"/>
      <c r="U268" s="43"/>
      <c r="V268" s="43"/>
      <c r="W268" s="43"/>
      <c r="X268" s="43"/>
      <c r="Y268" s="43"/>
      <c r="Z268" s="43"/>
      <c r="AA268" s="43"/>
      <c r="AB268" s="43"/>
      <c r="AC268" s="43"/>
      <c r="AD268" s="43"/>
      <c r="AE268" s="43"/>
      <c r="AF268" s="43"/>
      <c r="AG268" s="43"/>
      <c r="AH268" s="43"/>
      <c r="AI268" s="43"/>
      <c r="AJ268" s="43"/>
    </row>
    <row r="269" spans="7:36" ht="15" hidden="1" customHeight="1" x14ac:dyDescent="0.2">
      <c r="G269" s="17" t="s">
        <v>5</v>
      </c>
      <c r="H269" s="17"/>
      <c r="I269" s="13"/>
      <c r="J269" s="13"/>
      <c r="K269" s="43"/>
      <c r="L269" s="43"/>
      <c r="M269" s="43"/>
      <c r="N269" s="43"/>
      <c r="O269" s="43"/>
      <c r="P269" s="43"/>
      <c r="Q269" s="43"/>
      <c r="R269" s="43"/>
      <c r="S269" s="43"/>
      <c r="T269" s="43"/>
      <c r="U269" s="43"/>
      <c r="V269" s="43"/>
      <c r="W269" s="43"/>
      <c r="X269" s="43"/>
      <c r="Y269" s="43"/>
      <c r="Z269" s="43"/>
      <c r="AA269" s="43"/>
      <c r="AB269" s="43"/>
      <c r="AC269" s="43"/>
      <c r="AD269" s="43"/>
      <c r="AE269" s="43"/>
      <c r="AF269" s="43"/>
      <c r="AG269" s="43"/>
      <c r="AH269" s="43"/>
      <c r="AI269" s="43"/>
      <c r="AJ269" s="43"/>
    </row>
    <row r="270" spans="7:36" ht="15" hidden="1" customHeight="1" x14ac:dyDescent="0.2">
      <c r="G270" s="17" t="s">
        <v>6</v>
      </c>
      <c r="H270" s="17"/>
      <c r="I270" s="13"/>
      <c r="J270" s="13"/>
      <c r="K270" s="35">
        <f>IF(K$73&lt;$Q$46,$J$34,$P$34)</f>
        <v>0</v>
      </c>
      <c r="L270" s="35">
        <f t="shared" ref="L270:AI270" si="70">IF(L$73&lt;$Q$46,$J$34,$P$34)</f>
        <v>0</v>
      </c>
      <c r="M270" s="35">
        <f t="shared" si="70"/>
        <v>0</v>
      </c>
      <c r="N270" s="35">
        <f t="shared" si="70"/>
        <v>0</v>
      </c>
      <c r="O270" s="35">
        <f t="shared" si="70"/>
        <v>0</v>
      </c>
      <c r="P270" s="35">
        <f t="shared" si="70"/>
        <v>0</v>
      </c>
      <c r="Q270" s="35">
        <f t="shared" si="70"/>
        <v>0</v>
      </c>
      <c r="R270" s="35">
        <f t="shared" si="70"/>
        <v>0</v>
      </c>
      <c r="S270" s="35">
        <f t="shared" si="70"/>
        <v>0</v>
      </c>
      <c r="T270" s="35">
        <f t="shared" si="70"/>
        <v>0</v>
      </c>
      <c r="U270" s="35">
        <f t="shared" si="70"/>
        <v>0</v>
      </c>
      <c r="V270" s="35">
        <f t="shared" si="70"/>
        <v>0</v>
      </c>
      <c r="W270" s="35">
        <f t="shared" si="70"/>
        <v>0</v>
      </c>
      <c r="X270" s="35">
        <f t="shared" si="70"/>
        <v>0</v>
      </c>
      <c r="Y270" s="35">
        <f t="shared" si="70"/>
        <v>0</v>
      </c>
      <c r="Z270" s="35">
        <f t="shared" si="70"/>
        <v>0</v>
      </c>
      <c r="AA270" s="35">
        <f t="shared" si="70"/>
        <v>0</v>
      </c>
      <c r="AB270" s="35">
        <f t="shared" si="70"/>
        <v>0</v>
      </c>
      <c r="AC270" s="35">
        <f t="shared" si="70"/>
        <v>0</v>
      </c>
      <c r="AD270" s="35">
        <f t="shared" si="70"/>
        <v>0</v>
      </c>
      <c r="AE270" s="35">
        <f t="shared" si="70"/>
        <v>0</v>
      </c>
      <c r="AF270" s="35">
        <f t="shared" si="70"/>
        <v>0</v>
      </c>
      <c r="AG270" s="35">
        <f t="shared" si="70"/>
        <v>0</v>
      </c>
      <c r="AH270" s="35">
        <f t="shared" si="70"/>
        <v>0</v>
      </c>
      <c r="AI270" s="35">
        <f t="shared" si="70"/>
        <v>0</v>
      </c>
      <c r="AJ270" s="35">
        <f>IF(AJ$73&lt;$Q$46,$J$34,$P$34)</f>
        <v>0</v>
      </c>
    </row>
    <row r="271" spans="7:36" ht="15" hidden="1" customHeight="1" x14ac:dyDescent="0.2">
      <c r="G271" s="17"/>
      <c r="H271" s="17"/>
      <c r="I271" s="13"/>
      <c r="J271" s="13"/>
      <c r="K271" s="35"/>
      <c r="L271" s="35"/>
      <c r="M271" s="35"/>
      <c r="N271" s="35"/>
      <c r="O271" s="35"/>
      <c r="P271" s="35"/>
      <c r="Q271" s="35"/>
      <c r="R271" s="35"/>
      <c r="S271" s="35"/>
      <c r="T271" s="35"/>
      <c r="U271" s="35"/>
      <c r="V271" s="35"/>
      <c r="W271" s="35"/>
      <c r="X271" s="35"/>
      <c r="Y271" s="35"/>
      <c r="Z271" s="35"/>
      <c r="AA271" s="35"/>
      <c r="AB271" s="35"/>
      <c r="AC271" s="35"/>
      <c r="AD271" s="35"/>
      <c r="AE271" s="35"/>
      <c r="AF271" s="35"/>
      <c r="AG271" s="35"/>
      <c r="AH271" s="35"/>
      <c r="AI271" s="35"/>
      <c r="AJ271" s="35"/>
    </row>
    <row r="272" spans="7:36" ht="15" hidden="1" customHeight="1" x14ac:dyDescent="0.2">
      <c r="G272" s="17" t="s">
        <v>7</v>
      </c>
      <c r="H272" s="17"/>
      <c r="I272" s="13"/>
      <c r="J272" s="13"/>
      <c r="K272" s="43"/>
      <c r="L272" s="43"/>
      <c r="M272" s="43"/>
      <c r="N272" s="43"/>
      <c r="O272" s="43"/>
      <c r="P272" s="43"/>
      <c r="Q272" s="43"/>
      <c r="R272" s="43"/>
      <c r="S272" s="43"/>
      <c r="T272" s="43"/>
      <c r="U272" s="43"/>
      <c r="V272" s="43"/>
      <c r="W272" s="43"/>
      <c r="X272" s="43"/>
      <c r="Y272" s="43"/>
      <c r="Z272" s="43"/>
      <c r="AA272" s="43"/>
      <c r="AB272" s="43"/>
      <c r="AC272" s="43"/>
      <c r="AD272" s="43"/>
      <c r="AE272" s="43"/>
      <c r="AF272" s="43"/>
      <c r="AG272" s="43"/>
      <c r="AH272" s="43"/>
      <c r="AI272" s="43"/>
      <c r="AJ272" s="43"/>
    </row>
    <row r="273" spans="7:37" ht="15" hidden="1" customHeight="1" x14ac:dyDescent="0.2">
      <c r="G273" s="17" t="s">
        <v>8</v>
      </c>
      <c r="H273" s="17"/>
      <c r="I273" s="13"/>
      <c r="J273" s="13"/>
      <c r="K273" s="43"/>
      <c r="L273" s="43"/>
      <c r="M273" s="43"/>
      <c r="N273" s="43"/>
      <c r="O273" s="43"/>
      <c r="P273" s="43"/>
      <c r="Q273" s="43"/>
      <c r="R273" s="43"/>
      <c r="S273" s="43"/>
      <c r="T273" s="43"/>
      <c r="U273" s="43"/>
      <c r="V273" s="43"/>
      <c r="W273" s="43"/>
      <c r="X273" s="43"/>
      <c r="Y273" s="43"/>
      <c r="Z273" s="43"/>
      <c r="AA273" s="43"/>
      <c r="AB273" s="43"/>
      <c r="AC273" s="43"/>
      <c r="AD273" s="43"/>
      <c r="AE273" s="43"/>
      <c r="AF273" s="43"/>
      <c r="AG273" s="43"/>
      <c r="AH273" s="43"/>
      <c r="AI273" s="43"/>
      <c r="AJ273" s="43"/>
    </row>
    <row r="274" spans="7:37" ht="15" hidden="1" customHeight="1" x14ac:dyDescent="0.2">
      <c r="G274" s="17" t="s">
        <v>9</v>
      </c>
      <c r="H274" s="17"/>
      <c r="I274" s="13"/>
      <c r="J274" s="13"/>
      <c r="K274" s="35">
        <f>K265*K270</f>
        <v>0</v>
      </c>
      <c r="L274" s="35">
        <f>L265*L270</f>
        <v>0</v>
      </c>
      <c r="M274" s="35">
        <f t="shared" ref="M274:AI274" si="71">M265*M270</f>
        <v>0</v>
      </c>
      <c r="N274" s="35">
        <f t="shared" si="71"/>
        <v>0</v>
      </c>
      <c r="O274" s="35">
        <f t="shared" si="71"/>
        <v>0</v>
      </c>
      <c r="P274" s="35">
        <f t="shared" si="71"/>
        <v>0</v>
      </c>
      <c r="Q274" s="35">
        <f t="shared" si="71"/>
        <v>0</v>
      </c>
      <c r="R274" s="35">
        <f t="shared" si="71"/>
        <v>0</v>
      </c>
      <c r="S274" s="35">
        <f t="shared" si="71"/>
        <v>0</v>
      </c>
      <c r="T274" s="35">
        <f t="shared" si="71"/>
        <v>0</v>
      </c>
      <c r="U274" s="35">
        <f t="shared" si="71"/>
        <v>0</v>
      </c>
      <c r="V274" s="35">
        <f t="shared" si="71"/>
        <v>0</v>
      </c>
      <c r="W274" s="35">
        <f t="shared" si="71"/>
        <v>0</v>
      </c>
      <c r="X274" s="35">
        <f t="shared" si="71"/>
        <v>0</v>
      </c>
      <c r="Y274" s="35">
        <f t="shared" si="71"/>
        <v>0</v>
      </c>
      <c r="Z274" s="35">
        <f t="shared" si="71"/>
        <v>0</v>
      </c>
      <c r="AA274" s="35">
        <f t="shared" si="71"/>
        <v>0</v>
      </c>
      <c r="AB274" s="35">
        <f t="shared" si="71"/>
        <v>0</v>
      </c>
      <c r="AC274" s="35">
        <f t="shared" si="71"/>
        <v>0</v>
      </c>
      <c r="AD274" s="35">
        <f t="shared" si="71"/>
        <v>0</v>
      </c>
      <c r="AE274" s="35">
        <f t="shared" si="71"/>
        <v>0</v>
      </c>
      <c r="AF274" s="35">
        <f t="shared" si="71"/>
        <v>0</v>
      </c>
      <c r="AG274" s="35">
        <f t="shared" si="71"/>
        <v>0</v>
      </c>
      <c r="AH274" s="35">
        <f t="shared" si="71"/>
        <v>0</v>
      </c>
      <c r="AI274" s="35">
        <f t="shared" si="71"/>
        <v>0</v>
      </c>
      <c r="AJ274" s="35">
        <f>AJ265*AJ270</f>
        <v>0</v>
      </c>
    </row>
    <row r="275" spans="7:37" ht="15" hidden="1" customHeight="1" x14ac:dyDescent="0.2">
      <c r="G275" s="17"/>
      <c r="H275" s="17"/>
      <c r="I275" s="13"/>
      <c r="J275" s="13"/>
      <c r="K275" s="35"/>
      <c r="L275" s="35"/>
      <c r="M275" s="35"/>
      <c r="N275" s="35"/>
      <c r="O275" s="35"/>
      <c r="P275" s="35"/>
      <c r="Q275" s="35"/>
      <c r="R275" s="35"/>
      <c r="S275" s="35"/>
      <c r="T275" s="35"/>
      <c r="U275" s="35"/>
      <c r="V275" s="35"/>
      <c r="W275" s="35"/>
      <c r="X275" s="35"/>
      <c r="Y275" s="35"/>
      <c r="Z275" s="35"/>
      <c r="AA275" s="35"/>
      <c r="AB275" s="35"/>
      <c r="AC275" s="35"/>
      <c r="AD275" s="35"/>
      <c r="AE275" s="35"/>
      <c r="AF275" s="35"/>
      <c r="AG275" s="35"/>
      <c r="AH275" s="35"/>
      <c r="AI275" s="35"/>
      <c r="AJ275" s="35"/>
    </row>
    <row r="276" spans="7:37" ht="15" hidden="1" customHeight="1" x14ac:dyDescent="0.2">
      <c r="G276" s="17" t="s">
        <v>10</v>
      </c>
      <c r="H276" s="17"/>
      <c r="I276" s="13"/>
      <c r="J276" s="13"/>
      <c r="K276" s="43"/>
      <c r="L276" s="43"/>
      <c r="M276" s="43"/>
      <c r="N276" s="43"/>
      <c r="O276" s="43"/>
      <c r="P276" s="43"/>
      <c r="Q276" s="43"/>
      <c r="R276" s="43"/>
      <c r="S276" s="43"/>
      <c r="T276" s="43"/>
      <c r="U276" s="43"/>
      <c r="V276" s="43"/>
      <c r="W276" s="43"/>
      <c r="X276" s="43"/>
      <c r="Y276" s="43"/>
      <c r="Z276" s="43"/>
      <c r="AA276" s="43"/>
      <c r="AB276" s="43"/>
      <c r="AC276" s="43"/>
      <c r="AD276" s="43"/>
      <c r="AE276" s="43"/>
      <c r="AF276" s="43"/>
      <c r="AG276" s="43"/>
      <c r="AH276" s="43"/>
      <c r="AI276" s="43"/>
      <c r="AJ276" s="43"/>
    </row>
    <row r="277" spans="7:37" ht="15" hidden="1" customHeight="1" x14ac:dyDescent="0.2">
      <c r="G277" s="17" t="s">
        <v>11</v>
      </c>
      <c r="H277" s="17"/>
      <c r="I277" s="13"/>
      <c r="J277" s="13"/>
      <c r="K277" s="43"/>
      <c r="L277" s="43"/>
      <c r="M277" s="43"/>
      <c r="N277" s="43"/>
      <c r="O277" s="43"/>
      <c r="P277" s="43"/>
      <c r="Q277" s="43"/>
      <c r="R277" s="43"/>
      <c r="S277" s="43"/>
      <c r="T277" s="43"/>
      <c r="U277" s="43"/>
      <c r="V277" s="43"/>
      <c r="W277" s="43"/>
      <c r="X277" s="43"/>
      <c r="Y277" s="43"/>
      <c r="Z277" s="43"/>
      <c r="AA277" s="43"/>
      <c r="AB277" s="43"/>
      <c r="AC277" s="43"/>
      <c r="AD277" s="43"/>
      <c r="AE277" s="43"/>
      <c r="AF277" s="43"/>
      <c r="AG277" s="43"/>
      <c r="AH277" s="43"/>
      <c r="AI277" s="43"/>
      <c r="AJ277" s="43"/>
    </row>
    <row r="278" spans="7:37" ht="15" hidden="1" customHeight="1" x14ac:dyDescent="0.2">
      <c r="G278" s="17" t="s">
        <v>12</v>
      </c>
      <c r="H278" s="17"/>
      <c r="I278" s="13"/>
      <c r="J278" s="13"/>
      <c r="K278" s="35">
        <f>K$266*K270</f>
        <v>0</v>
      </c>
      <c r="L278" s="35">
        <f t="shared" ref="L278:AI278" si="72">L$266*L270</f>
        <v>0</v>
      </c>
      <c r="M278" s="35">
        <f t="shared" si="72"/>
        <v>0</v>
      </c>
      <c r="N278" s="35">
        <f t="shared" si="72"/>
        <v>0</v>
      </c>
      <c r="O278" s="35">
        <f t="shared" si="72"/>
        <v>0</v>
      </c>
      <c r="P278" s="35">
        <f t="shared" si="72"/>
        <v>0</v>
      </c>
      <c r="Q278" s="35">
        <f t="shared" si="72"/>
        <v>0</v>
      </c>
      <c r="R278" s="35">
        <f t="shared" si="72"/>
        <v>0</v>
      </c>
      <c r="S278" s="35">
        <f t="shared" si="72"/>
        <v>0</v>
      </c>
      <c r="T278" s="35">
        <f t="shared" si="72"/>
        <v>0</v>
      </c>
      <c r="U278" s="35">
        <f t="shared" si="72"/>
        <v>0</v>
      </c>
      <c r="V278" s="35">
        <f t="shared" si="72"/>
        <v>0</v>
      </c>
      <c r="W278" s="35">
        <f t="shared" si="72"/>
        <v>0</v>
      </c>
      <c r="X278" s="35">
        <f t="shared" si="72"/>
        <v>0</v>
      </c>
      <c r="Y278" s="35">
        <f t="shared" si="72"/>
        <v>0</v>
      </c>
      <c r="Z278" s="35">
        <f t="shared" si="72"/>
        <v>0</v>
      </c>
      <c r="AA278" s="35">
        <f t="shared" si="72"/>
        <v>0</v>
      </c>
      <c r="AB278" s="35">
        <f t="shared" si="72"/>
        <v>0</v>
      </c>
      <c r="AC278" s="35">
        <f t="shared" si="72"/>
        <v>0</v>
      </c>
      <c r="AD278" s="35">
        <f t="shared" si="72"/>
        <v>0</v>
      </c>
      <c r="AE278" s="35">
        <f t="shared" si="72"/>
        <v>0</v>
      </c>
      <c r="AF278" s="35">
        <f t="shared" si="72"/>
        <v>0</v>
      </c>
      <c r="AG278" s="35">
        <f t="shared" si="72"/>
        <v>0</v>
      </c>
      <c r="AH278" s="35">
        <f t="shared" si="72"/>
        <v>0</v>
      </c>
      <c r="AI278" s="35">
        <f t="shared" si="72"/>
        <v>0</v>
      </c>
      <c r="AJ278" s="35">
        <f>AJ$266*AJ270</f>
        <v>0</v>
      </c>
      <c r="AK278" s="112"/>
    </row>
    <row r="279" spans="7:37" ht="15" hidden="1" customHeight="1" x14ac:dyDescent="0.2">
      <c r="G279" s="17" t="s">
        <v>13</v>
      </c>
      <c r="H279" s="17"/>
      <c r="I279" s="13"/>
      <c r="J279" s="13"/>
      <c r="K279" s="35">
        <f t="shared" ref="K279:AI279" si="73">K$91*K274</f>
        <v>0</v>
      </c>
      <c r="L279" s="35">
        <f t="shared" si="73"/>
        <v>0</v>
      </c>
      <c r="M279" s="35">
        <f t="shared" si="73"/>
        <v>0</v>
      </c>
      <c r="N279" s="35">
        <f t="shared" si="73"/>
        <v>0</v>
      </c>
      <c r="O279" s="35">
        <f t="shared" si="73"/>
        <v>0</v>
      </c>
      <c r="P279" s="35">
        <f t="shared" si="73"/>
        <v>0</v>
      </c>
      <c r="Q279" s="35">
        <f t="shared" si="73"/>
        <v>0</v>
      </c>
      <c r="R279" s="35">
        <f t="shared" si="73"/>
        <v>0</v>
      </c>
      <c r="S279" s="35">
        <f t="shared" si="73"/>
        <v>0</v>
      </c>
      <c r="T279" s="35">
        <f t="shared" si="73"/>
        <v>0</v>
      </c>
      <c r="U279" s="35">
        <f t="shared" si="73"/>
        <v>0</v>
      </c>
      <c r="V279" s="35">
        <f t="shared" si="73"/>
        <v>0</v>
      </c>
      <c r="W279" s="35">
        <f t="shared" si="73"/>
        <v>0</v>
      </c>
      <c r="X279" s="35">
        <f t="shared" si="73"/>
        <v>0</v>
      </c>
      <c r="Y279" s="35">
        <f t="shared" si="73"/>
        <v>0</v>
      </c>
      <c r="Z279" s="35">
        <f t="shared" si="73"/>
        <v>0</v>
      </c>
      <c r="AA279" s="35">
        <f t="shared" si="73"/>
        <v>0</v>
      </c>
      <c r="AB279" s="35">
        <f t="shared" si="73"/>
        <v>0</v>
      </c>
      <c r="AC279" s="35">
        <f t="shared" si="73"/>
        <v>0</v>
      </c>
      <c r="AD279" s="35">
        <f t="shared" si="73"/>
        <v>0</v>
      </c>
      <c r="AE279" s="35">
        <f t="shared" si="73"/>
        <v>0</v>
      </c>
      <c r="AF279" s="35">
        <f t="shared" si="73"/>
        <v>0</v>
      </c>
      <c r="AG279" s="35">
        <f t="shared" si="73"/>
        <v>0</v>
      </c>
      <c r="AH279" s="35">
        <f t="shared" si="73"/>
        <v>0</v>
      </c>
      <c r="AI279" s="35">
        <f t="shared" si="73"/>
        <v>0</v>
      </c>
      <c r="AJ279" s="35">
        <f>AJ$91*AJ274</f>
        <v>0</v>
      </c>
    </row>
    <row r="280" spans="7:37" ht="15" hidden="1" customHeight="1" x14ac:dyDescent="0.2">
      <c r="G280" s="17"/>
      <c r="H280" s="17"/>
      <c r="I280" s="13"/>
      <c r="J280" s="13"/>
      <c r="K280" s="35"/>
      <c r="L280" s="35"/>
      <c r="M280" s="35"/>
      <c r="N280" s="35"/>
      <c r="O280" s="35"/>
      <c r="P280" s="35"/>
      <c r="Q280" s="35"/>
      <c r="R280" s="35"/>
      <c r="S280" s="35"/>
      <c r="T280" s="35"/>
      <c r="U280" s="35"/>
      <c r="V280" s="35"/>
      <c r="W280" s="35"/>
      <c r="X280" s="35"/>
      <c r="Y280" s="35"/>
      <c r="Z280" s="35"/>
      <c r="AA280" s="35"/>
      <c r="AB280" s="35"/>
      <c r="AC280" s="35"/>
      <c r="AD280" s="35"/>
      <c r="AE280" s="35"/>
      <c r="AF280" s="35"/>
      <c r="AG280" s="35"/>
      <c r="AH280" s="35"/>
      <c r="AI280" s="35"/>
      <c r="AJ280" s="35"/>
    </row>
    <row r="281" spans="7:37" ht="15" hidden="1" customHeight="1" x14ac:dyDescent="0.2">
      <c r="G281" s="17" t="s">
        <v>14</v>
      </c>
      <c r="H281" s="17"/>
      <c r="I281" s="13"/>
      <c r="J281" s="13"/>
      <c r="K281" s="35">
        <f>SUM(K276:K279)</f>
        <v>0</v>
      </c>
      <c r="L281" s="35">
        <f t="shared" ref="L281:AH281" si="74">SUM(L276:L279)</f>
        <v>0</v>
      </c>
      <c r="M281" s="35">
        <f t="shared" si="74"/>
        <v>0</v>
      </c>
      <c r="N281" s="35">
        <f t="shared" si="74"/>
        <v>0</v>
      </c>
      <c r="O281" s="35">
        <f t="shared" si="74"/>
        <v>0</v>
      </c>
      <c r="P281" s="35">
        <f t="shared" si="74"/>
        <v>0</v>
      </c>
      <c r="Q281" s="35">
        <f t="shared" si="74"/>
        <v>0</v>
      </c>
      <c r="R281" s="35">
        <f t="shared" si="74"/>
        <v>0</v>
      </c>
      <c r="S281" s="35">
        <f t="shared" si="74"/>
        <v>0</v>
      </c>
      <c r="T281" s="35">
        <f t="shared" si="74"/>
        <v>0</v>
      </c>
      <c r="U281" s="35">
        <f t="shared" si="74"/>
        <v>0</v>
      </c>
      <c r="V281" s="35">
        <f t="shared" si="74"/>
        <v>0</v>
      </c>
      <c r="W281" s="35">
        <f t="shared" si="74"/>
        <v>0</v>
      </c>
      <c r="X281" s="35">
        <f t="shared" si="74"/>
        <v>0</v>
      </c>
      <c r="Y281" s="35">
        <f t="shared" si="74"/>
        <v>0</v>
      </c>
      <c r="Z281" s="35">
        <f t="shared" si="74"/>
        <v>0</v>
      </c>
      <c r="AA281" s="35">
        <f t="shared" si="74"/>
        <v>0</v>
      </c>
      <c r="AB281" s="35">
        <f t="shared" si="74"/>
        <v>0</v>
      </c>
      <c r="AC281" s="35">
        <f t="shared" si="74"/>
        <v>0</v>
      </c>
      <c r="AD281" s="35">
        <f t="shared" si="74"/>
        <v>0</v>
      </c>
      <c r="AE281" s="35">
        <f t="shared" si="74"/>
        <v>0</v>
      </c>
      <c r="AF281" s="35">
        <f t="shared" si="74"/>
        <v>0</v>
      </c>
      <c r="AG281" s="35">
        <f t="shared" si="74"/>
        <v>0</v>
      </c>
      <c r="AH281" s="35">
        <f t="shared" si="74"/>
        <v>0</v>
      </c>
      <c r="AI281" s="35">
        <f>SUM(AI276:AI279)</f>
        <v>0</v>
      </c>
      <c r="AJ281" s="35">
        <f>SUM(AJ276:AJ279)</f>
        <v>0</v>
      </c>
    </row>
    <row r="282" spans="7:37" ht="15" hidden="1" customHeight="1" x14ac:dyDescent="0.2">
      <c r="G282" s="17" t="s">
        <v>435</v>
      </c>
      <c r="H282" s="17"/>
      <c r="I282" s="13"/>
      <c r="J282" s="13"/>
      <c r="K282" s="35">
        <f>K281</f>
        <v>0</v>
      </c>
      <c r="L282" s="35">
        <f t="shared" ref="L282:AI282" si="75">K282+L281</f>
        <v>0</v>
      </c>
      <c r="M282" s="35">
        <f t="shared" si="75"/>
        <v>0</v>
      </c>
      <c r="N282" s="35">
        <f t="shared" si="75"/>
        <v>0</v>
      </c>
      <c r="O282" s="35">
        <f t="shared" si="75"/>
        <v>0</v>
      </c>
      <c r="P282" s="35">
        <f t="shared" si="75"/>
        <v>0</v>
      </c>
      <c r="Q282" s="35">
        <f t="shared" si="75"/>
        <v>0</v>
      </c>
      <c r="R282" s="35">
        <f t="shared" si="75"/>
        <v>0</v>
      </c>
      <c r="S282" s="35">
        <f t="shared" si="75"/>
        <v>0</v>
      </c>
      <c r="T282" s="35">
        <f t="shared" si="75"/>
        <v>0</v>
      </c>
      <c r="U282" s="35">
        <f t="shared" si="75"/>
        <v>0</v>
      </c>
      <c r="V282" s="35">
        <f t="shared" si="75"/>
        <v>0</v>
      </c>
      <c r="W282" s="35">
        <f t="shared" si="75"/>
        <v>0</v>
      </c>
      <c r="X282" s="35">
        <f t="shared" si="75"/>
        <v>0</v>
      </c>
      <c r="Y282" s="35">
        <f t="shared" si="75"/>
        <v>0</v>
      </c>
      <c r="Z282" s="35">
        <f t="shared" si="75"/>
        <v>0</v>
      </c>
      <c r="AA282" s="35">
        <f t="shared" si="75"/>
        <v>0</v>
      </c>
      <c r="AB282" s="35">
        <f t="shared" si="75"/>
        <v>0</v>
      </c>
      <c r="AC282" s="35">
        <f t="shared" si="75"/>
        <v>0</v>
      </c>
      <c r="AD282" s="35">
        <f t="shared" si="75"/>
        <v>0</v>
      </c>
      <c r="AE282" s="35">
        <f t="shared" si="75"/>
        <v>0</v>
      </c>
      <c r="AF282" s="35">
        <f t="shared" si="75"/>
        <v>0</v>
      </c>
      <c r="AG282" s="35">
        <f t="shared" si="75"/>
        <v>0</v>
      </c>
      <c r="AH282" s="35">
        <f t="shared" si="75"/>
        <v>0</v>
      </c>
      <c r="AI282" s="35">
        <f t="shared" si="75"/>
        <v>0</v>
      </c>
      <c r="AJ282" s="35">
        <f>AI282+AJ281</f>
        <v>0</v>
      </c>
    </row>
    <row r="283" spans="7:37" ht="15" hidden="1" customHeight="1" x14ac:dyDescent="0.2">
      <c r="G283" s="17"/>
      <c r="H283" s="17"/>
      <c r="I283" s="13"/>
      <c r="J283" s="13"/>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row>
    <row r="284" spans="7:37" ht="15" hidden="1" customHeight="1" x14ac:dyDescent="0.2">
      <c r="G284" s="17" t="s">
        <v>17</v>
      </c>
      <c r="H284" s="17"/>
      <c r="I284" s="13"/>
      <c r="J284" s="13"/>
      <c r="K284" s="35">
        <f>K281/(((Data!$P$186/100)+1)^K$73)</f>
        <v>0</v>
      </c>
      <c r="L284" s="35">
        <f>L281/(((Data!$P$186/100)+1)^L$73)</f>
        <v>0</v>
      </c>
      <c r="M284" s="35">
        <f>M281/(((Data!$P$186/100)+1)^M$73)</f>
        <v>0</v>
      </c>
      <c r="N284" s="35">
        <f>N281/(((Data!$P$186/100)+1)^N$73)</f>
        <v>0</v>
      </c>
      <c r="O284" s="35">
        <f>O281/(((Data!$P$186/100)+1)^O$73)</f>
        <v>0</v>
      </c>
      <c r="P284" s="35">
        <f>P281/(((Data!$P$186/100)+1)^P$73)</f>
        <v>0</v>
      </c>
      <c r="Q284" s="35">
        <f>Q281/(((Data!$P$186/100)+1)^Q$73)</f>
        <v>0</v>
      </c>
      <c r="R284" s="35">
        <f>R281/(((Data!$P$186/100)+1)^R$73)</f>
        <v>0</v>
      </c>
      <c r="S284" s="35">
        <f>S281/(((Data!$P$186/100)+1)^S$73)</f>
        <v>0</v>
      </c>
      <c r="T284" s="35">
        <f>T281/(((Data!$P$186/100)+1)^T$73)</f>
        <v>0</v>
      </c>
      <c r="U284" s="35">
        <f>U281/(((Data!$P$186/100)+1)^U$73)</f>
        <v>0</v>
      </c>
      <c r="V284" s="35">
        <f>V281/(((Data!$P$186/100)+1)^V$73)</f>
        <v>0</v>
      </c>
      <c r="W284" s="35">
        <f>W281/(((Data!$P$186/100)+1)^W$73)</f>
        <v>0</v>
      </c>
      <c r="X284" s="35">
        <f>X281/(((Data!$P$186/100)+1)^X$73)</f>
        <v>0</v>
      </c>
      <c r="Y284" s="35">
        <f>Y281/(((Data!$P$186/100)+1)^Y$73)</f>
        <v>0</v>
      </c>
      <c r="Z284" s="35">
        <f>Z281/(((Data!$P$186/100)+1)^Z$73)</f>
        <v>0</v>
      </c>
      <c r="AA284" s="35">
        <f>AA281/(((Data!$P$186/100)+1)^AA$73)</f>
        <v>0</v>
      </c>
      <c r="AB284" s="35">
        <f>AB281/(((Data!$P$186/100)+1)^AB$73)</f>
        <v>0</v>
      </c>
      <c r="AC284" s="35">
        <f>AC281/(((Data!$P$186/100)+1)^AC$73)</f>
        <v>0</v>
      </c>
      <c r="AD284" s="35">
        <f>AD281/(((Data!$P$186/100)+1)^AD$73)</f>
        <v>0</v>
      </c>
      <c r="AE284" s="35">
        <f>AE281/(((Data!$P$186/100)+1)^AE$73)</f>
        <v>0</v>
      </c>
      <c r="AF284" s="35">
        <f>AF281/(((Data!$P$186/100)+1)^AF$73)</f>
        <v>0</v>
      </c>
      <c r="AG284" s="35">
        <f>AG281/(((Data!$P$186/100)+1)^AG$73)</f>
        <v>0</v>
      </c>
      <c r="AH284" s="35">
        <f>AH281/(((Data!$P$186/100)+1)^AH$73)</f>
        <v>0</v>
      </c>
      <c r="AI284" s="35">
        <f>AI281/(((Data!$P$186/100)+1)^AI$73)</f>
        <v>0</v>
      </c>
      <c r="AJ284" s="35">
        <f>AJ281/(((Data!$P$186/100)+1)^AJ$73)</f>
        <v>0</v>
      </c>
    </row>
    <row r="285" spans="7:37" ht="15" hidden="1" customHeight="1" x14ac:dyDescent="0.2">
      <c r="G285" s="15" t="s">
        <v>184</v>
      </c>
      <c r="H285" s="15"/>
      <c r="I285" s="13"/>
      <c r="J285" s="13"/>
      <c r="K285" s="36">
        <f>K284</f>
        <v>0</v>
      </c>
      <c r="L285" s="36">
        <f t="shared" ref="L285:AJ285" si="76">K285+L284</f>
        <v>0</v>
      </c>
      <c r="M285" s="36">
        <f t="shared" si="76"/>
        <v>0</v>
      </c>
      <c r="N285" s="36">
        <f t="shared" si="76"/>
        <v>0</v>
      </c>
      <c r="O285" s="36">
        <f t="shared" si="76"/>
        <v>0</v>
      </c>
      <c r="P285" s="36">
        <f t="shared" si="76"/>
        <v>0</v>
      </c>
      <c r="Q285" s="36">
        <f t="shared" si="76"/>
        <v>0</v>
      </c>
      <c r="R285" s="36">
        <f t="shared" si="76"/>
        <v>0</v>
      </c>
      <c r="S285" s="36">
        <f t="shared" si="76"/>
        <v>0</v>
      </c>
      <c r="T285" s="36">
        <f t="shared" si="76"/>
        <v>0</v>
      </c>
      <c r="U285" s="36">
        <f t="shared" si="76"/>
        <v>0</v>
      </c>
      <c r="V285" s="36">
        <f t="shared" si="76"/>
        <v>0</v>
      </c>
      <c r="W285" s="36">
        <f t="shared" si="76"/>
        <v>0</v>
      </c>
      <c r="X285" s="36">
        <f t="shared" si="76"/>
        <v>0</v>
      </c>
      <c r="Y285" s="36">
        <f t="shared" si="76"/>
        <v>0</v>
      </c>
      <c r="Z285" s="36">
        <f t="shared" si="76"/>
        <v>0</v>
      </c>
      <c r="AA285" s="36">
        <f t="shared" si="76"/>
        <v>0</v>
      </c>
      <c r="AB285" s="36">
        <f t="shared" si="76"/>
        <v>0</v>
      </c>
      <c r="AC285" s="36">
        <f t="shared" si="76"/>
        <v>0</v>
      </c>
      <c r="AD285" s="36">
        <f t="shared" si="76"/>
        <v>0</v>
      </c>
      <c r="AE285" s="36">
        <f t="shared" si="76"/>
        <v>0</v>
      </c>
      <c r="AF285" s="36">
        <f t="shared" si="76"/>
        <v>0</v>
      </c>
      <c r="AG285" s="36">
        <f t="shared" si="76"/>
        <v>0</v>
      </c>
      <c r="AH285" s="36">
        <f t="shared" si="76"/>
        <v>0</v>
      </c>
      <c r="AI285" s="36">
        <f t="shared" si="76"/>
        <v>0</v>
      </c>
      <c r="AJ285" s="36">
        <f t="shared" si="76"/>
        <v>0</v>
      </c>
    </row>
    <row r="286" spans="7:37" ht="15" hidden="1" customHeight="1" x14ac:dyDescent="0.2">
      <c r="G286" s="8"/>
      <c r="H286" s="8"/>
      <c r="I286" s="8"/>
      <c r="J286" s="8"/>
      <c r="K286" s="8"/>
      <c r="L286" s="8"/>
      <c r="M286" s="8"/>
      <c r="N286" s="8"/>
      <c r="O286" s="8"/>
      <c r="P286" s="8"/>
      <c r="Q286" s="8"/>
      <c r="R286" s="8"/>
      <c r="S286" s="8"/>
      <c r="T286" s="9"/>
      <c r="U286" s="8"/>
      <c r="V286" s="8"/>
      <c r="W286" s="8"/>
      <c r="X286" s="8"/>
      <c r="Y286" s="8"/>
      <c r="Z286" s="8"/>
      <c r="AA286" s="8"/>
      <c r="AB286" s="8"/>
      <c r="AC286" s="8"/>
      <c r="AD286" s="8"/>
      <c r="AE286" s="8"/>
      <c r="AF286" s="8"/>
      <c r="AG286" s="8"/>
      <c r="AH286" s="8"/>
      <c r="AI286" s="8"/>
      <c r="AJ286" s="8"/>
    </row>
    <row r="287" spans="7:37" ht="15" hidden="1" customHeight="1" x14ac:dyDescent="0.2">
      <c r="G287" s="906" t="s">
        <v>515</v>
      </c>
      <c r="H287" s="839"/>
      <c r="I287" s="839"/>
      <c r="J287" s="839"/>
      <c r="K287" s="917"/>
      <c r="L287" s="917"/>
      <c r="M287" s="917"/>
      <c r="N287" s="917"/>
      <c r="O287" s="917"/>
      <c r="P287" s="917"/>
      <c r="Q287" s="917"/>
      <c r="R287" s="917"/>
      <c r="S287" s="917"/>
      <c r="T287" s="917"/>
      <c r="U287" s="917"/>
      <c r="V287" s="917"/>
      <c r="W287" s="917"/>
      <c r="X287" s="917"/>
      <c r="Y287" s="917"/>
      <c r="Z287" s="917"/>
      <c r="AA287" s="917"/>
      <c r="AB287" s="917"/>
      <c r="AC287" s="917"/>
      <c r="AD287" s="917"/>
      <c r="AE287" s="917"/>
      <c r="AF287" s="917"/>
      <c r="AG287" s="917"/>
      <c r="AH287" s="917"/>
      <c r="AI287" s="917"/>
      <c r="AJ287" s="917"/>
    </row>
    <row r="288" spans="7:37" ht="15" hidden="1" customHeight="1" x14ac:dyDescent="0.2">
      <c r="G288" s="839"/>
      <c r="H288" s="839"/>
      <c r="I288" s="839"/>
      <c r="J288" s="839"/>
      <c r="K288" s="917"/>
      <c r="L288" s="917"/>
      <c r="M288" s="917"/>
      <c r="N288" s="917"/>
      <c r="O288" s="917"/>
      <c r="P288" s="917"/>
      <c r="Q288" s="917"/>
      <c r="R288" s="917"/>
      <c r="S288" s="917"/>
      <c r="T288" s="917"/>
      <c r="U288" s="917"/>
      <c r="V288" s="917"/>
      <c r="W288" s="917"/>
      <c r="X288" s="917"/>
      <c r="Y288" s="917"/>
      <c r="Z288" s="917"/>
      <c r="AA288" s="917"/>
      <c r="AB288" s="917"/>
      <c r="AC288" s="917"/>
      <c r="AD288" s="917"/>
      <c r="AE288" s="917"/>
      <c r="AF288" s="917"/>
      <c r="AG288" s="917"/>
      <c r="AH288" s="917"/>
      <c r="AI288" s="917"/>
      <c r="AJ288" s="917"/>
    </row>
    <row r="289" spans="7:36" ht="15" hidden="1" customHeight="1" x14ac:dyDescent="0.2">
      <c r="G289" s="839" t="s">
        <v>2</v>
      </c>
      <c r="H289" s="864"/>
      <c r="I289" s="864"/>
      <c r="J289" s="864"/>
      <c r="K289" s="925">
        <f>K$82</f>
        <v>0.19338</v>
      </c>
      <c r="L289" s="925">
        <f t="shared" ref="L289:AJ289" si="77">L$82</f>
        <v>0.18757859999999998</v>
      </c>
      <c r="M289" s="925">
        <f t="shared" si="77"/>
        <v>0.18195124199999999</v>
      </c>
      <c r="N289" s="925">
        <f t="shared" si="77"/>
        <v>0.17649270473999998</v>
      </c>
      <c r="O289" s="925">
        <f t="shared" si="77"/>
        <v>0.17119792359779998</v>
      </c>
      <c r="P289" s="925">
        <f t="shared" si="77"/>
        <v>0.16606198588986598</v>
      </c>
      <c r="Q289" s="925">
        <f t="shared" si="77"/>
        <v>0.16108012631317001</v>
      </c>
      <c r="R289" s="925">
        <f t="shared" si="77"/>
        <v>0.15624772252377489</v>
      </c>
      <c r="S289" s="925">
        <f t="shared" si="77"/>
        <v>0.15156029084806164</v>
      </c>
      <c r="T289" s="925">
        <f t="shared" si="77"/>
        <v>0.14701348212261978</v>
      </c>
      <c r="U289" s="925">
        <f t="shared" si="77"/>
        <v>0.14260307765894117</v>
      </c>
      <c r="V289" s="925">
        <f t="shared" si="77"/>
        <v>0.13832498532917292</v>
      </c>
      <c r="W289" s="925">
        <f t="shared" si="77"/>
        <v>0.13417523576929774</v>
      </c>
      <c r="X289" s="925">
        <f t="shared" si="77"/>
        <v>0.1301499786962188</v>
      </c>
      <c r="Y289" s="925">
        <f t="shared" si="77"/>
        <v>0.12624547933533223</v>
      </c>
      <c r="Z289" s="925">
        <f t="shared" si="77"/>
        <v>0.12245811495527226</v>
      </c>
      <c r="AA289" s="925">
        <f t="shared" si="77"/>
        <v>0.11878437150661408</v>
      </c>
      <c r="AB289" s="925">
        <f t="shared" si="77"/>
        <v>0.11522084036141565</v>
      </c>
      <c r="AC289" s="925">
        <f t="shared" si="77"/>
        <v>0.11176421515057318</v>
      </c>
      <c r="AD289" s="925">
        <f t="shared" si="77"/>
        <v>0.10841128869605599</v>
      </c>
      <c r="AE289" s="925">
        <f t="shared" si="77"/>
        <v>0.10515895003517431</v>
      </c>
      <c r="AF289" s="925">
        <f t="shared" si="77"/>
        <v>0.10200418153411908</v>
      </c>
      <c r="AG289" s="925">
        <f t="shared" si="77"/>
        <v>9.8944056088095506E-2</v>
      </c>
      <c r="AH289" s="925">
        <f t="shared" si="77"/>
        <v>9.5975734405452637E-2</v>
      </c>
      <c r="AI289" s="925">
        <f t="shared" si="77"/>
        <v>9.3096462373289057E-2</v>
      </c>
      <c r="AJ289" s="925">
        <f t="shared" si="77"/>
        <v>9.0303568502090384E-2</v>
      </c>
    </row>
    <row r="290" spans="7:36" ht="15" hidden="1" customHeight="1" x14ac:dyDescent="0.2">
      <c r="G290" s="839" t="s">
        <v>1</v>
      </c>
      <c r="H290" s="864"/>
      <c r="I290" s="864"/>
      <c r="J290" s="864"/>
      <c r="K290" s="925">
        <f>K$88</f>
        <v>0.31</v>
      </c>
      <c r="L290" s="925">
        <f t="shared" ref="L290:AJ290" si="78">L$88</f>
        <v>0.34100000000000003</v>
      </c>
      <c r="M290" s="925">
        <f t="shared" si="78"/>
        <v>0.37510000000000004</v>
      </c>
      <c r="N290" s="925">
        <f t="shared" si="78"/>
        <v>0.41261000000000009</v>
      </c>
      <c r="O290" s="925">
        <f t="shared" si="78"/>
        <v>0.45387100000000014</v>
      </c>
      <c r="P290" s="925">
        <f t="shared" si="78"/>
        <v>0.4992581000000002</v>
      </c>
      <c r="Q290" s="925">
        <f t="shared" si="78"/>
        <v>0.54918391000000022</v>
      </c>
      <c r="R290" s="925">
        <f t="shared" si="78"/>
        <v>0.60410230100000029</v>
      </c>
      <c r="S290" s="925">
        <f t="shared" si="78"/>
        <v>0.66451253110000041</v>
      </c>
      <c r="T290" s="925">
        <f t="shared" si="78"/>
        <v>0.73096378421000052</v>
      </c>
      <c r="U290" s="925">
        <f t="shared" si="78"/>
        <v>0.80406016263100066</v>
      </c>
      <c r="V290" s="925">
        <f t="shared" si="78"/>
        <v>0.88446617889410084</v>
      </c>
      <c r="W290" s="925">
        <f t="shared" si="78"/>
        <v>0.97291279678351106</v>
      </c>
      <c r="X290" s="925">
        <f t="shared" si="78"/>
        <v>1.0702040764618623</v>
      </c>
      <c r="Y290" s="925">
        <f t="shared" si="78"/>
        <v>1.1772244841080486</v>
      </c>
      <c r="Z290" s="925">
        <f t="shared" si="78"/>
        <v>1.2949469325188536</v>
      </c>
      <c r="AA290" s="925">
        <f t="shared" si="78"/>
        <v>1.4244416257707391</v>
      </c>
      <c r="AB290" s="925">
        <f t="shared" si="78"/>
        <v>1.5668857883478131</v>
      </c>
      <c r="AC290" s="925">
        <f t="shared" si="78"/>
        <v>1.7235743671825945</v>
      </c>
      <c r="AD290" s="925">
        <f t="shared" si="78"/>
        <v>1.8959318039008541</v>
      </c>
      <c r="AE290" s="925">
        <f t="shared" si="78"/>
        <v>2.0855249842909398</v>
      </c>
      <c r="AF290" s="925">
        <f t="shared" si="78"/>
        <v>2.2940774827200339</v>
      </c>
      <c r="AG290" s="925">
        <f t="shared" si="78"/>
        <v>2.5234852309920375</v>
      </c>
      <c r="AH290" s="925">
        <f t="shared" si="78"/>
        <v>2.7758337540912414</v>
      </c>
      <c r="AI290" s="925">
        <f t="shared" si="78"/>
        <v>3.053417129500366</v>
      </c>
      <c r="AJ290" s="925">
        <f t="shared" si="78"/>
        <v>3.3587588424504031</v>
      </c>
    </row>
    <row r="291" spans="7:36" ht="15" hidden="1" customHeight="1" x14ac:dyDescent="0.2">
      <c r="G291" s="864"/>
      <c r="H291" s="864"/>
      <c r="I291" s="864"/>
      <c r="J291" s="864"/>
      <c r="K291" s="864"/>
      <c r="L291" s="864"/>
      <c r="M291" s="864"/>
      <c r="N291" s="864"/>
      <c r="O291" s="864"/>
      <c r="P291" s="864"/>
      <c r="Q291" s="864"/>
      <c r="R291" s="864"/>
      <c r="S291" s="864"/>
      <c r="T291" s="864"/>
      <c r="U291" s="864"/>
      <c r="V291" s="864"/>
      <c r="W291" s="864"/>
      <c r="X291" s="864"/>
      <c r="Y291" s="864"/>
      <c r="Z291" s="864"/>
      <c r="AA291" s="864"/>
      <c r="AB291" s="864"/>
      <c r="AC291" s="864"/>
      <c r="AD291" s="864"/>
      <c r="AE291" s="864"/>
      <c r="AF291" s="864"/>
      <c r="AG291" s="864"/>
      <c r="AH291" s="864"/>
      <c r="AI291" s="864"/>
      <c r="AJ291" s="864"/>
    </row>
    <row r="292" spans="7:36" ht="15" hidden="1" customHeight="1" x14ac:dyDescent="0.2">
      <c r="G292" s="839" t="s">
        <v>4</v>
      </c>
      <c r="H292" s="839"/>
      <c r="I292" s="839"/>
      <c r="J292" s="839"/>
      <c r="K292" s="920"/>
      <c r="L292" s="920"/>
      <c r="M292" s="920"/>
      <c r="N292" s="920"/>
      <c r="O292" s="920"/>
      <c r="P292" s="920"/>
      <c r="Q292" s="920"/>
      <c r="R292" s="920"/>
      <c r="S292" s="920"/>
      <c r="T292" s="920"/>
      <c r="U292" s="920"/>
      <c r="V292" s="920"/>
      <c r="W292" s="920"/>
      <c r="X292" s="920"/>
      <c r="Y292" s="920"/>
      <c r="Z292" s="920"/>
      <c r="AA292" s="920"/>
      <c r="AB292" s="920"/>
      <c r="AC292" s="920"/>
      <c r="AD292" s="920"/>
      <c r="AE292" s="920"/>
      <c r="AF292" s="920"/>
      <c r="AG292" s="920"/>
      <c r="AH292" s="920"/>
      <c r="AI292" s="920"/>
      <c r="AJ292" s="920"/>
    </row>
    <row r="293" spans="7:36" ht="15" hidden="1" customHeight="1" x14ac:dyDescent="0.2">
      <c r="G293" s="839" t="s">
        <v>5</v>
      </c>
      <c r="H293" s="839"/>
      <c r="I293" s="839"/>
      <c r="J293" s="839"/>
      <c r="K293" s="920"/>
      <c r="L293" s="920"/>
      <c r="M293" s="920"/>
      <c r="N293" s="920"/>
      <c r="O293" s="920"/>
      <c r="P293" s="920"/>
      <c r="Q293" s="920"/>
      <c r="R293" s="920"/>
      <c r="S293" s="920"/>
      <c r="T293" s="920"/>
      <c r="U293" s="920"/>
      <c r="V293" s="920"/>
      <c r="W293" s="920"/>
      <c r="X293" s="920"/>
      <c r="Y293" s="920"/>
      <c r="Z293" s="920"/>
      <c r="AA293" s="920"/>
      <c r="AB293" s="920"/>
      <c r="AC293" s="920"/>
      <c r="AD293" s="920"/>
      <c r="AE293" s="920"/>
      <c r="AF293" s="920"/>
      <c r="AG293" s="920"/>
      <c r="AH293" s="920"/>
      <c r="AI293" s="920"/>
      <c r="AJ293" s="920"/>
    </row>
    <row r="294" spans="7:36" ht="15" hidden="1" customHeight="1" x14ac:dyDescent="0.2">
      <c r="G294" s="839" t="s">
        <v>6</v>
      </c>
      <c r="H294" s="839"/>
      <c r="I294" s="839"/>
      <c r="J294" s="839"/>
      <c r="K294" s="917">
        <f>IF(K$73&lt;$AC$46,$J$34,$AB$34)</f>
        <v>0</v>
      </c>
      <c r="L294" s="917">
        <f>IF(L$73&lt;$AC$46,$J$34,$AB$34)</f>
        <v>0</v>
      </c>
      <c r="M294" s="917">
        <f t="shared" ref="M294:AI294" si="79">IF(M$73&lt;$AC$46,$J$34,$AB$34)</f>
        <v>0</v>
      </c>
      <c r="N294" s="917">
        <f t="shared" si="79"/>
        <v>0</v>
      </c>
      <c r="O294" s="917">
        <f t="shared" si="79"/>
        <v>0</v>
      </c>
      <c r="P294" s="917">
        <f t="shared" si="79"/>
        <v>0</v>
      </c>
      <c r="Q294" s="917">
        <f t="shared" si="79"/>
        <v>0</v>
      </c>
      <c r="R294" s="917">
        <f t="shared" si="79"/>
        <v>0</v>
      </c>
      <c r="S294" s="917">
        <f t="shared" si="79"/>
        <v>0</v>
      </c>
      <c r="T294" s="917">
        <f t="shared" si="79"/>
        <v>0</v>
      </c>
      <c r="U294" s="917">
        <f t="shared" si="79"/>
        <v>0</v>
      </c>
      <c r="V294" s="917">
        <f t="shared" si="79"/>
        <v>0</v>
      </c>
      <c r="W294" s="917">
        <f t="shared" si="79"/>
        <v>0</v>
      </c>
      <c r="X294" s="917">
        <f t="shared" si="79"/>
        <v>0</v>
      </c>
      <c r="Y294" s="917">
        <f t="shared" si="79"/>
        <v>0</v>
      </c>
      <c r="Z294" s="917">
        <f t="shared" si="79"/>
        <v>0</v>
      </c>
      <c r="AA294" s="917">
        <f t="shared" si="79"/>
        <v>0</v>
      </c>
      <c r="AB294" s="917">
        <f t="shared" si="79"/>
        <v>0</v>
      </c>
      <c r="AC294" s="917">
        <f t="shared" si="79"/>
        <v>0</v>
      </c>
      <c r="AD294" s="917">
        <f t="shared" si="79"/>
        <v>0</v>
      </c>
      <c r="AE294" s="917">
        <f t="shared" si="79"/>
        <v>0</v>
      </c>
      <c r="AF294" s="917">
        <f t="shared" si="79"/>
        <v>0</v>
      </c>
      <c r="AG294" s="917">
        <f t="shared" si="79"/>
        <v>0</v>
      </c>
      <c r="AH294" s="917">
        <f t="shared" si="79"/>
        <v>0</v>
      </c>
      <c r="AI294" s="917">
        <f t="shared" si="79"/>
        <v>0</v>
      </c>
      <c r="AJ294" s="917">
        <f>IF(AJ$73&lt;$AC$46,$J$34,$AB$34)</f>
        <v>0</v>
      </c>
    </row>
    <row r="295" spans="7:36" ht="15" hidden="1" customHeight="1" x14ac:dyDescent="0.2">
      <c r="G295" s="839"/>
      <c r="H295" s="839"/>
      <c r="I295" s="839"/>
      <c r="J295" s="839"/>
      <c r="K295" s="917"/>
      <c r="L295" s="917"/>
      <c r="M295" s="917"/>
      <c r="N295" s="917"/>
      <c r="O295" s="917"/>
      <c r="P295" s="917"/>
      <c r="Q295" s="917"/>
      <c r="R295" s="917"/>
      <c r="S295" s="917"/>
      <c r="T295" s="917"/>
      <c r="U295" s="917"/>
      <c r="V295" s="917"/>
      <c r="W295" s="917"/>
      <c r="X295" s="917"/>
      <c r="Y295" s="917"/>
      <c r="Z295" s="917"/>
      <c r="AA295" s="917"/>
      <c r="AB295" s="917"/>
      <c r="AC295" s="917"/>
      <c r="AD295" s="917"/>
      <c r="AE295" s="917"/>
      <c r="AF295" s="917"/>
      <c r="AG295" s="917"/>
      <c r="AH295" s="917"/>
      <c r="AI295" s="917"/>
      <c r="AJ295" s="917"/>
    </row>
    <row r="296" spans="7:36" ht="15" hidden="1" customHeight="1" x14ac:dyDescent="0.2">
      <c r="G296" s="839" t="s">
        <v>7</v>
      </c>
      <c r="H296" s="839"/>
      <c r="I296" s="839"/>
      <c r="J296" s="839"/>
      <c r="K296" s="920"/>
      <c r="L296" s="920"/>
      <c r="M296" s="920"/>
      <c r="N296" s="920"/>
      <c r="O296" s="920"/>
      <c r="P296" s="920"/>
      <c r="Q296" s="920"/>
      <c r="R296" s="920"/>
      <c r="S296" s="920"/>
      <c r="T296" s="920"/>
      <c r="U296" s="920"/>
      <c r="V296" s="920"/>
      <c r="W296" s="920"/>
      <c r="X296" s="920"/>
      <c r="Y296" s="920"/>
      <c r="Z296" s="920"/>
      <c r="AA296" s="920"/>
      <c r="AB296" s="920"/>
      <c r="AC296" s="920"/>
      <c r="AD296" s="920"/>
      <c r="AE296" s="920"/>
      <c r="AF296" s="920"/>
      <c r="AG296" s="920"/>
      <c r="AH296" s="920"/>
      <c r="AI296" s="920"/>
      <c r="AJ296" s="920"/>
    </row>
    <row r="297" spans="7:36" ht="15" hidden="1" customHeight="1" x14ac:dyDescent="0.2">
      <c r="G297" s="839" t="s">
        <v>8</v>
      </c>
      <c r="H297" s="839"/>
      <c r="I297" s="839"/>
      <c r="J297" s="839"/>
      <c r="K297" s="920"/>
      <c r="L297" s="920"/>
      <c r="M297" s="920"/>
      <c r="N297" s="920"/>
      <c r="O297" s="920"/>
      <c r="P297" s="920"/>
      <c r="Q297" s="920"/>
      <c r="R297" s="920"/>
      <c r="S297" s="920"/>
      <c r="T297" s="920"/>
      <c r="U297" s="920"/>
      <c r="V297" s="920"/>
      <c r="W297" s="920"/>
      <c r="X297" s="920"/>
      <c r="Y297" s="920"/>
      <c r="Z297" s="920"/>
      <c r="AA297" s="920"/>
      <c r="AB297" s="920"/>
      <c r="AC297" s="920"/>
      <c r="AD297" s="920"/>
      <c r="AE297" s="920"/>
      <c r="AF297" s="920"/>
      <c r="AG297" s="920"/>
      <c r="AH297" s="920"/>
      <c r="AI297" s="920"/>
      <c r="AJ297" s="920"/>
    </row>
    <row r="298" spans="7:36" ht="15" hidden="1" customHeight="1" x14ac:dyDescent="0.2">
      <c r="G298" s="839" t="s">
        <v>9</v>
      </c>
      <c r="H298" s="839"/>
      <c r="I298" s="839"/>
      <c r="J298" s="839"/>
      <c r="K298" s="917">
        <f>K$289*K294</f>
        <v>0</v>
      </c>
      <c r="L298" s="917">
        <f t="shared" ref="L298:AI298" si="80">L$289*L294</f>
        <v>0</v>
      </c>
      <c r="M298" s="917">
        <f t="shared" si="80"/>
        <v>0</v>
      </c>
      <c r="N298" s="917">
        <f t="shared" si="80"/>
        <v>0</v>
      </c>
      <c r="O298" s="917">
        <f t="shared" si="80"/>
        <v>0</v>
      </c>
      <c r="P298" s="917">
        <f t="shared" si="80"/>
        <v>0</v>
      </c>
      <c r="Q298" s="917">
        <f t="shared" si="80"/>
        <v>0</v>
      </c>
      <c r="R298" s="917">
        <f t="shared" si="80"/>
        <v>0</v>
      </c>
      <c r="S298" s="917">
        <f t="shared" si="80"/>
        <v>0</v>
      </c>
      <c r="T298" s="917">
        <f t="shared" si="80"/>
        <v>0</v>
      </c>
      <c r="U298" s="917">
        <f t="shared" si="80"/>
        <v>0</v>
      </c>
      <c r="V298" s="917">
        <f t="shared" si="80"/>
        <v>0</v>
      </c>
      <c r="W298" s="917">
        <f t="shared" si="80"/>
        <v>0</v>
      </c>
      <c r="X298" s="917">
        <f t="shared" si="80"/>
        <v>0</v>
      </c>
      <c r="Y298" s="917">
        <f t="shared" si="80"/>
        <v>0</v>
      </c>
      <c r="Z298" s="917">
        <f t="shared" si="80"/>
        <v>0</v>
      </c>
      <c r="AA298" s="917">
        <f t="shared" si="80"/>
        <v>0</v>
      </c>
      <c r="AB298" s="917">
        <f t="shared" si="80"/>
        <v>0</v>
      </c>
      <c r="AC298" s="917">
        <f t="shared" si="80"/>
        <v>0</v>
      </c>
      <c r="AD298" s="917">
        <f t="shared" si="80"/>
        <v>0</v>
      </c>
      <c r="AE298" s="917">
        <f t="shared" si="80"/>
        <v>0</v>
      </c>
      <c r="AF298" s="917">
        <f t="shared" si="80"/>
        <v>0</v>
      </c>
      <c r="AG298" s="917">
        <f t="shared" si="80"/>
        <v>0</v>
      </c>
      <c r="AH298" s="917">
        <f t="shared" si="80"/>
        <v>0</v>
      </c>
      <c r="AI298" s="917">
        <f t="shared" si="80"/>
        <v>0</v>
      </c>
      <c r="AJ298" s="917">
        <f>AJ$289*AJ294</f>
        <v>0</v>
      </c>
    </row>
    <row r="299" spans="7:36" ht="15" hidden="1" customHeight="1" x14ac:dyDescent="0.2">
      <c r="G299" s="839"/>
      <c r="H299" s="839"/>
      <c r="I299" s="839"/>
      <c r="J299" s="839"/>
      <c r="K299" s="917"/>
      <c r="L299" s="917"/>
      <c r="M299" s="917"/>
      <c r="N299" s="917"/>
      <c r="O299" s="917"/>
      <c r="P299" s="917"/>
      <c r="Q299" s="917"/>
      <c r="R299" s="917"/>
      <c r="S299" s="917"/>
      <c r="T299" s="917"/>
      <c r="U299" s="917"/>
      <c r="V299" s="917"/>
      <c r="W299" s="917"/>
      <c r="X299" s="917"/>
      <c r="Y299" s="917"/>
      <c r="Z299" s="917"/>
      <c r="AA299" s="917"/>
      <c r="AB299" s="917"/>
      <c r="AC299" s="917"/>
      <c r="AD299" s="917"/>
      <c r="AE299" s="917"/>
      <c r="AF299" s="917"/>
      <c r="AG299" s="917"/>
      <c r="AH299" s="917"/>
      <c r="AI299" s="917"/>
      <c r="AJ299" s="917"/>
    </row>
    <row r="300" spans="7:36" ht="15" hidden="1" customHeight="1" x14ac:dyDescent="0.2">
      <c r="G300" s="839" t="s">
        <v>10</v>
      </c>
      <c r="H300" s="839"/>
      <c r="I300" s="839"/>
      <c r="J300" s="839"/>
      <c r="K300" s="920"/>
      <c r="L300" s="920"/>
      <c r="M300" s="920"/>
      <c r="N300" s="920"/>
      <c r="O300" s="920"/>
      <c r="P300" s="920"/>
      <c r="Q300" s="920"/>
      <c r="R300" s="920"/>
      <c r="S300" s="920"/>
      <c r="T300" s="920"/>
      <c r="U300" s="920"/>
      <c r="V300" s="920"/>
      <c r="W300" s="920"/>
      <c r="X300" s="920"/>
      <c r="Y300" s="920"/>
      <c r="Z300" s="920"/>
      <c r="AA300" s="920"/>
      <c r="AB300" s="920"/>
      <c r="AC300" s="920"/>
      <c r="AD300" s="920"/>
      <c r="AE300" s="920"/>
      <c r="AF300" s="920"/>
      <c r="AG300" s="920"/>
      <c r="AH300" s="920"/>
      <c r="AI300" s="920"/>
      <c r="AJ300" s="920"/>
    </row>
    <row r="301" spans="7:36" ht="15" hidden="1" customHeight="1" x14ac:dyDescent="0.2">
      <c r="G301" s="839" t="s">
        <v>11</v>
      </c>
      <c r="H301" s="839"/>
      <c r="I301" s="839"/>
      <c r="J301" s="839"/>
      <c r="K301" s="920"/>
      <c r="L301" s="920"/>
      <c r="M301" s="920"/>
      <c r="N301" s="920"/>
      <c r="O301" s="920"/>
      <c r="P301" s="920"/>
      <c r="Q301" s="920"/>
      <c r="R301" s="920"/>
      <c r="S301" s="920"/>
      <c r="T301" s="920"/>
      <c r="U301" s="920"/>
      <c r="V301" s="920"/>
      <c r="W301" s="920"/>
      <c r="X301" s="920"/>
      <c r="Y301" s="920"/>
      <c r="Z301" s="920"/>
      <c r="AA301" s="920"/>
      <c r="AB301" s="920"/>
      <c r="AC301" s="920"/>
      <c r="AD301" s="920"/>
      <c r="AE301" s="920"/>
      <c r="AF301" s="920"/>
      <c r="AG301" s="920"/>
      <c r="AH301" s="920"/>
      <c r="AI301" s="920"/>
      <c r="AJ301" s="920"/>
    </row>
    <row r="302" spans="7:36" ht="15" hidden="1" customHeight="1" x14ac:dyDescent="0.2">
      <c r="G302" s="839" t="s">
        <v>12</v>
      </c>
      <c r="H302" s="839"/>
      <c r="I302" s="839"/>
      <c r="J302" s="839"/>
      <c r="K302" s="917">
        <f>K$290*K294</f>
        <v>0</v>
      </c>
      <c r="L302" s="917">
        <f>L$290*L294</f>
        <v>0</v>
      </c>
      <c r="M302" s="917">
        <f t="shared" ref="M302:AI302" si="81">M$290*M294</f>
        <v>0</v>
      </c>
      <c r="N302" s="917">
        <f t="shared" si="81"/>
        <v>0</v>
      </c>
      <c r="O302" s="917">
        <f t="shared" si="81"/>
        <v>0</v>
      </c>
      <c r="P302" s="917">
        <f t="shared" si="81"/>
        <v>0</v>
      </c>
      <c r="Q302" s="917">
        <f t="shared" si="81"/>
        <v>0</v>
      </c>
      <c r="R302" s="917">
        <f t="shared" si="81"/>
        <v>0</v>
      </c>
      <c r="S302" s="917">
        <f t="shared" si="81"/>
        <v>0</v>
      </c>
      <c r="T302" s="917">
        <f t="shared" si="81"/>
        <v>0</v>
      </c>
      <c r="U302" s="917">
        <f t="shared" si="81"/>
        <v>0</v>
      </c>
      <c r="V302" s="917">
        <f t="shared" si="81"/>
        <v>0</v>
      </c>
      <c r="W302" s="917">
        <f t="shared" si="81"/>
        <v>0</v>
      </c>
      <c r="X302" s="917">
        <f t="shared" si="81"/>
        <v>0</v>
      </c>
      <c r="Y302" s="917">
        <f t="shared" si="81"/>
        <v>0</v>
      </c>
      <c r="Z302" s="917">
        <f t="shared" si="81"/>
        <v>0</v>
      </c>
      <c r="AA302" s="917">
        <f t="shared" si="81"/>
        <v>0</v>
      </c>
      <c r="AB302" s="917">
        <f t="shared" si="81"/>
        <v>0</v>
      </c>
      <c r="AC302" s="917">
        <f t="shared" si="81"/>
        <v>0</v>
      </c>
      <c r="AD302" s="917">
        <f t="shared" si="81"/>
        <v>0</v>
      </c>
      <c r="AE302" s="917">
        <f t="shared" si="81"/>
        <v>0</v>
      </c>
      <c r="AF302" s="917">
        <f t="shared" si="81"/>
        <v>0</v>
      </c>
      <c r="AG302" s="917">
        <f t="shared" si="81"/>
        <v>0</v>
      </c>
      <c r="AH302" s="917">
        <f t="shared" si="81"/>
        <v>0</v>
      </c>
      <c r="AI302" s="917">
        <f t="shared" si="81"/>
        <v>0</v>
      </c>
      <c r="AJ302" s="917">
        <f>AJ$290*AJ294</f>
        <v>0</v>
      </c>
    </row>
    <row r="303" spans="7:36" ht="15" hidden="1" customHeight="1" x14ac:dyDescent="0.2">
      <c r="G303" s="839" t="s">
        <v>13</v>
      </c>
      <c r="H303" s="839"/>
      <c r="I303" s="839"/>
      <c r="J303" s="839"/>
      <c r="K303" s="917">
        <f>K$91*K298</f>
        <v>0</v>
      </c>
      <c r="L303" s="917">
        <f t="shared" ref="L303:AI303" si="82">L$91*L298</f>
        <v>0</v>
      </c>
      <c r="M303" s="917">
        <f t="shared" si="82"/>
        <v>0</v>
      </c>
      <c r="N303" s="917">
        <f t="shared" si="82"/>
        <v>0</v>
      </c>
      <c r="O303" s="917">
        <f t="shared" si="82"/>
        <v>0</v>
      </c>
      <c r="P303" s="917">
        <f t="shared" si="82"/>
        <v>0</v>
      </c>
      <c r="Q303" s="917">
        <f t="shared" si="82"/>
        <v>0</v>
      </c>
      <c r="R303" s="917">
        <f t="shared" si="82"/>
        <v>0</v>
      </c>
      <c r="S303" s="917">
        <f t="shared" si="82"/>
        <v>0</v>
      </c>
      <c r="T303" s="917">
        <f t="shared" si="82"/>
        <v>0</v>
      </c>
      <c r="U303" s="917">
        <f t="shared" si="82"/>
        <v>0</v>
      </c>
      <c r="V303" s="917">
        <f t="shared" si="82"/>
        <v>0</v>
      </c>
      <c r="W303" s="917">
        <f t="shared" si="82"/>
        <v>0</v>
      </c>
      <c r="X303" s="917">
        <f t="shared" si="82"/>
        <v>0</v>
      </c>
      <c r="Y303" s="917">
        <f t="shared" si="82"/>
        <v>0</v>
      </c>
      <c r="Z303" s="917">
        <f t="shared" si="82"/>
        <v>0</v>
      </c>
      <c r="AA303" s="917">
        <f t="shared" si="82"/>
        <v>0</v>
      </c>
      <c r="AB303" s="917">
        <f t="shared" si="82"/>
        <v>0</v>
      </c>
      <c r="AC303" s="917">
        <f t="shared" si="82"/>
        <v>0</v>
      </c>
      <c r="AD303" s="917">
        <f t="shared" si="82"/>
        <v>0</v>
      </c>
      <c r="AE303" s="917">
        <f t="shared" si="82"/>
        <v>0</v>
      </c>
      <c r="AF303" s="917">
        <f t="shared" si="82"/>
        <v>0</v>
      </c>
      <c r="AG303" s="917">
        <f t="shared" si="82"/>
        <v>0</v>
      </c>
      <c r="AH303" s="917">
        <f t="shared" si="82"/>
        <v>0</v>
      </c>
      <c r="AI303" s="917">
        <f t="shared" si="82"/>
        <v>0</v>
      </c>
      <c r="AJ303" s="917">
        <f>AJ$91*AJ298</f>
        <v>0</v>
      </c>
    </row>
    <row r="304" spans="7:36" ht="15" hidden="1" customHeight="1" x14ac:dyDescent="0.2">
      <c r="G304" s="839"/>
      <c r="H304" s="839"/>
      <c r="I304" s="839"/>
      <c r="J304" s="839"/>
      <c r="K304" s="917"/>
      <c r="L304" s="917"/>
      <c r="M304" s="917"/>
      <c r="N304" s="917"/>
      <c r="O304" s="917"/>
      <c r="P304" s="917"/>
      <c r="Q304" s="917"/>
      <c r="R304" s="917"/>
      <c r="S304" s="917"/>
      <c r="T304" s="917"/>
      <c r="U304" s="917"/>
      <c r="V304" s="917"/>
      <c r="W304" s="917"/>
      <c r="X304" s="917"/>
      <c r="Y304" s="917"/>
      <c r="Z304" s="917"/>
      <c r="AA304" s="917"/>
      <c r="AB304" s="917"/>
      <c r="AC304" s="917"/>
      <c r="AD304" s="917"/>
      <c r="AE304" s="917"/>
      <c r="AF304" s="917"/>
      <c r="AG304" s="917"/>
      <c r="AH304" s="917"/>
      <c r="AI304" s="917"/>
      <c r="AJ304" s="917"/>
    </row>
    <row r="305" spans="7:36" ht="15" hidden="1" customHeight="1" x14ac:dyDescent="0.2">
      <c r="G305" s="839" t="s">
        <v>14</v>
      </c>
      <c r="H305" s="839"/>
      <c r="I305" s="839"/>
      <c r="J305" s="839"/>
      <c r="K305" s="917">
        <f>SUM(K300:K303)</f>
        <v>0</v>
      </c>
      <c r="L305" s="917">
        <f t="shared" ref="L305:AH305" si="83">SUM(L300:L303)</f>
        <v>0</v>
      </c>
      <c r="M305" s="917">
        <f t="shared" si="83"/>
        <v>0</v>
      </c>
      <c r="N305" s="917">
        <f t="shared" si="83"/>
        <v>0</v>
      </c>
      <c r="O305" s="917">
        <f t="shared" si="83"/>
        <v>0</v>
      </c>
      <c r="P305" s="917">
        <f t="shared" si="83"/>
        <v>0</v>
      </c>
      <c r="Q305" s="917">
        <f t="shared" si="83"/>
        <v>0</v>
      </c>
      <c r="R305" s="917">
        <f t="shared" si="83"/>
        <v>0</v>
      </c>
      <c r="S305" s="917">
        <f t="shared" si="83"/>
        <v>0</v>
      </c>
      <c r="T305" s="917">
        <f t="shared" si="83"/>
        <v>0</v>
      </c>
      <c r="U305" s="917">
        <f t="shared" si="83"/>
        <v>0</v>
      </c>
      <c r="V305" s="917">
        <f t="shared" si="83"/>
        <v>0</v>
      </c>
      <c r="W305" s="917">
        <f t="shared" si="83"/>
        <v>0</v>
      </c>
      <c r="X305" s="917">
        <f t="shared" si="83"/>
        <v>0</v>
      </c>
      <c r="Y305" s="917">
        <f t="shared" si="83"/>
        <v>0</v>
      </c>
      <c r="Z305" s="917">
        <f t="shared" si="83"/>
        <v>0</v>
      </c>
      <c r="AA305" s="917">
        <f t="shared" si="83"/>
        <v>0</v>
      </c>
      <c r="AB305" s="917">
        <f t="shared" si="83"/>
        <v>0</v>
      </c>
      <c r="AC305" s="917">
        <f t="shared" si="83"/>
        <v>0</v>
      </c>
      <c r="AD305" s="917">
        <f t="shared" si="83"/>
        <v>0</v>
      </c>
      <c r="AE305" s="917">
        <f t="shared" si="83"/>
        <v>0</v>
      </c>
      <c r="AF305" s="917">
        <f t="shared" si="83"/>
        <v>0</v>
      </c>
      <c r="AG305" s="917">
        <f t="shared" si="83"/>
        <v>0</v>
      </c>
      <c r="AH305" s="917">
        <f t="shared" si="83"/>
        <v>0</v>
      </c>
      <c r="AI305" s="917">
        <f>SUM(AI300:AI303)</f>
        <v>0</v>
      </c>
      <c r="AJ305" s="917">
        <f>SUM(AJ300:AJ303)</f>
        <v>0</v>
      </c>
    </row>
    <row r="306" spans="7:36" ht="15" hidden="1" customHeight="1" x14ac:dyDescent="0.2">
      <c r="G306" s="839" t="s">
        <v>435</v>
      </c>
      <c r="H306" s="839"/>
      <c r="I306" s="839"/>
      <c r="J306" s="839"/>
      <c r="K306" s="917">
        <f>K305</f>
        <v>0</v>
      </c>
      <c r="L306" s="917">
        <f t="shared" ref="L306:AJ306" si="84">K306+L305</f>
        <v>0</v>
      </c>
      <c r="M306" s="917">
        <f t="shared" si="84"/>
        <v>0</v>
      </c>
      <c r="N306" s="917">
        <f t="shared" si="84"/>
        <v>0</v>
      </c>
      <c r="O306" s="917">
        <f t="shared" si="84"/>
        <v>0</v>
      </c>
      <c r="P306" s="917">
        <f t="shared" si="84"/>
        <v>0</v>
      </c>
      <c r="Q306" s="917">
        <f t="shared" si="84"/>
        <v>0</v>
      </c>
      <c r="R306" s="917">
        <f t="shared" si="84"/>
        <v>0</v>
      </c>
      <c r="S306" s="917">
        <f t="shared" si="84"/>
        <v>0</v>
      </c>
      <c r="T306" s="917">
        <f t="shared" si="84"/>
        <v>0</v>
      </c>
      <c r="U306" s="917">
        <f t="shared" si="84"/>
        <v>0</v>
      </c>
      <c r="V306" s="917">
        <f t="shared" si="84"/>
        <v>0</v>
      </c>
      <c r="W306" s="917">
        <f t="shared" si="84"/>
        <v>0</v>
      </c>
      <c r="X306" s="917">
        <f t="shared" si="84"/>
        <v>0</v>
      </c>
      <c r="Y306" s="917">
        <f t="shared" si="84"/>
        <v>0</v>
      </c>
      <c r="Z306" s="917">
        <f t="shared" si="84"/>
        <v>0</v>
      </c>
      <c r="AA306" s="917">
        <f t="shared" si="84"/>
        <v>0</v>
      </c>
      <c r="AB306" s="917">
        <f t="shared" si="84"/>
        <v>0</v>
      </c>
      <c r="AC306" s="917">
        <f t="shared" si="84"/>
        <v>0</v>
      </c>
      <c r="AD306" s="917">
        <f t="shared" si="84"/>
        <v>0</v>
      </c>
      <c r="AE306" s="917">
        <f t="shared" si="84"/>
        <v>0</v>
      </c>
      <c r="AF306" s="917">
        <f t="shared" si="84"/>
        <v>0</v>
      </c>
      <c r="AG306" s="917">
        <f t="shared" si="84"/>
        <v>0</v>
      </c>
      <c r="AH306" s="917">
        <f t="shared" si="84"/>
        <v>0</v>
      </c>
      <c r="AI306" s="917">
        <f t="shared" si="84"/>
        <v>0</v>
      </c>
      <c r="AJ306" s="917">
        <f t="shared" si="84"/>
        <v>0</v>
      </c>
    </row>
    <row r="307" spans="7:36" ht="15" hidden="1" customHeight="1" x14ac:dyDescent="0.2">
      <c r="G307" s="839"/>
      <c r="H307" s="839"/>
      <c r="I307" s="839"/>
      <c r="J307" s="839"/>
      <c r="K307" s="839"/>
      <c r="L307" s="839"/>
      <c r="M307" s="839"/>
      <c r="N307" s="839"/>
      <c r="O307" s="839"/>
      <c r="P307" s="839"/>
      <c r="Q307" s="839"/>
      <c r="R307" s="839"/>
      <c r="S307" s="839"/>
      <c r="T307" s="839"/>
      <c r="U307" s="839"/>
      <c r="V307" s="839"/>
      <c r="W307" s="839"/>
      <c r="X307" s="839"/>
      <c r="Y307" s="839"/>
      <c r="Z307" s="839"/>
      <c r="AA307" s="839"/>
      <c r="AB307" s="839"/>
      <c r="AC307" s="839"/>
      <c r="AD307" s="839"/>
      <c r="AE307" s="839"/>
      <c r="AF307" s="839"/>
      <c r="AG307" s="839"/>
      <c r="AH307" s="839"/>
      <c r="AI307" s="839"/>
      <c r="AJ307" s="839"/>
    </row>
    <row r="308" spans="7:36" ht="15" hidden="1" customHeight="1" x14ac:dyDescent="0.2">
      <c r="G308" s="839" t="s">
        <v>17</v>
      </c>
      <c r="H308" s="839"/>
      <c r="I308" s="839"/>
      <c r="J308" s="839"/>
      <c r="K308" s="917">
        <f>K305/(((Data!$P$186/100)+1)^K$73)</f>
        <v>0</v>
      </c>
      <c r="L308" s="917">
        <f>L305/(((Data!$P$186/100)+1)^L$73)</f>
        <v>0</v>
      </c>
      <c r="M308" s="917">
        <f>M305/(((Data!$P$186/100)+1)^M$73)</f>
        <v>0</v>
      </c>
      <c r="N308" s="917">
        <f>N305/(((Data!$P$186/100)+1)^N$73)</f>
        <v>0</v>
      </c>
      <c r="O308" s="917">
        <f>O305/(((Data!$P$186/100)+1)^O$73)</f>
        <v>0</v>
      </c>
      <c r="P308" s="917">
        <f>P305/(((Data!$P$186/100)+1)^P$73)</f>
        <v>0</v>
      </c>
      <c r="Q308" s="917">
        <f>Q305/(((Data!$P$186/100)+1)^Q$73)</f>
        <v>0</v>
      </c>
      <c r="R308" s="917">
        <f>R305/(((Data!$P$186/100)+1)^R$73)</f>
        <v>0</v>
      </c>
      <c r="S308" s="917">
        <f>S305/(((Data!$P$186/100)+1)^S$73)</f>
        <v>0</v>
      </c>
      <c r="T308" s="917">
        <f>T305/(((Data!$P$186/100)+1)^T$73)</f>
        <v>0</v>
      </c>
      <c r="U308" s="917">
        <f>U305/(((Data!$P$186/100)+1)^U$73)</f>
        <v>0</v>
      </c>
      <c r="V308" s="917">
        <f>V305/(((Data!$P$186/100)+1)^V$73)</f>
        <v>0</v>
      </c>
      <c r="W308" s="917">
        <f>W305/(((Data!$P$186/100)+1)^W$73)</f>
        <v>0</v>
      </c>
      <c r="X308" s="917">
        <f>X305/(((Data!$P$186/100)+1)^X$73)</f>
        <v>0</v>
      </c>
      <c r="Y308" s="917">
        <f>Y305/(((Data!$P$186/100)+1)^Y$73)</f>
        <v>0</v>
      </c>
      <c r="Z308" s="917">
        <f>Z305/(((Data!$P$186/100)+1)^Z$73)</f>
        <v>0</v>
      </c>
      <c r="AA308" s="917">
        <f>AA305/(((Data!$P$186/100)+1)^AA$73)</f>
        <v>0</v>
      </c>
      <c r="AB308" s="917">
        <f>AB305/(((Data!$P$186/100)+1)^AB$73)</f>
        <v>0</v>
      </c>
      <c r="AC308" s="917">
        <f>AC305/(((Data!$P$186/100)+1)^AC$73)</f>
        <v>0</v>
      </c>
      <c r="AD308" s="917">
        <f>AD305/(((Data!$P$186/100)+1)^AD$73)</f>
        <v>0</v>
      </c>
      <c r="AE308" s="917">
        <f>AE305/(((Data!$P$186/100)+1)^AE$73)</f>
        <v>0</v>
      </c>
      <c r="AF308" s="917">
        <f>AF305/(((Data!$P$186/100)+1)^AF$73)</f>
        <v>0</v>
      </c>
      <c r="AG308" s="917">
        <f>AG305/(((Data!$P$186/100)+1)^AG$73)</f>
        <v>0</v>
      </c>
      <c r="AH308" s="917">
        <f>AH305/(((Data!$P$186/100)+1)^AH$73)</f>
        <v>0</v>
      </c>
      <c r="AI308" s="917">
        <f>AI305/(((Data!$P$186/100)+1)^AI$73)</f>
        <v>0</v>
      </c>
      <c r="AJ308" s="917">
        <f>AJ305/(((Data!$P$186/100)+1)^AJ$73)</f>
        <v>0</v>
      </c>
    </row>
    <row r="309" spans="7:36" ht="15" hidden="1" customHeight="1" x14ac:dyDescent="0.2">
      <c r="G309" s="859" t="s">
        <v>185</v>
      </c>
      <c r="H309" s="859"/>
      <c r="I309" s="839"/>
      <c r="J309" s="839"/>
      <c r="K309" s="923">
        <f>K308</f>
        <v>0</v>
      </c>
      <c r="L309" s="923">
        <f t="shared" ref="L309:AI309" si="85">K309+L308</f>
        <v>0</v>
      </c>
      <c r="M309" s="923">
        <f t="shared" si="85"/>
        <v>0</v>
      </c>
      <c r="N309" s="923">
        <f t="shared" si="85"/>
        <v>0</v>
      </c>
      <c r="O309" s="923">
        <f t="shared" si="85"/>
        <v>0</v>
      </c>
      <c r="P309" s="923">
        <f t="shared" si="85"/>
        <v>0</v>
      </c>
      <c r="Q309" s="923">
        <f t="shared" si="85"/>
        <v>0</v>
      </c>
      <c r="R309" s="923">
        <f t="shared" si="85"/>
        <v>0</v>
      </c>
      <c r="S309" s="923">
        <f t="shared" si="85"/>
        <v>0</v>
      </c>
      <c r="T309" s="923">
        <f t="shared" si="85"/>
        <v>0</v>
      </c>
      <c r="U309" s="923">
        <f t="shared" si="85"/>
        <v>0</v>
      </c>
      <c r="V309" s="923">
        <f t="shared" si="85"/>
        <v>0</v>
      </c>
      <c r="W309" s="923">
        <f t="shared" si="85"/>
        <v>0</v>
      </c>
      <c r="X309" s="923">
        <f t="shared" si="85"/>
        <v>0</v>
      </c>
      <c r="Y309" s="923">
        <f t="shared" si="85"/>
        <v>0</v>
      </c>
      <c r="Z309" s="923">
        <f t="shared" si="85"/>
        <v>0</v>
      </c>
      <c r="AA309" s="923">
        <f t="shared" si="85"/>
        <v>0</v>
      </c>
      <c r="AB309" s="923">
        <f t="shared" si="85"/>
        <v>0</v>
      </c>
      <c r="AC309" s="923">
        <f t="shared" si="85"/>
        <v>0</v>
      </c>
      <c r="AD309" s="923">
        <f t="shared" si="85"/>
        <v>0</v>
      </c>
      <c r="AE309" s="923">
        <f t="shared" si="85"/>
        <v>0</v>
      </c>
      <c r="AF309" s="923">
        <f t="shared" si="85"/>
        <v>0</v>
      </c>
      <c r="AG309" s="923">
        <f t="shared" si="85"/>
        <v>0</v>
      </c>
      <c r="AH309" s="923">
        <f t="shared" si="85"/>
        <v>0</v>
      </c>
      <c r="AI309" s="923">
        <f t="shared" si="85"/>
        <v>0</v>
      </c>
      <c r="AJ309" s="923">
        <f>AI309+AJ308</f>
        <v>0</v>
      </c>
    </row>
    <row r="311" spans="7:36" ht="15" customHeight="1" x14ac:dyDescent="0.2">
      <c r="G311" s="10"/>
      <c r="H311" s="8"/>
      <c r="I311" s="8"/>
      <c r="J311" s="8"/>
      <c r="K311" s="8"/>
      <c r="L311" s="8"/>
      <c r="M311" s="8"/>
      <c r="N311" s="8"/>
      <c r="O311" s="8"/>
      <c r="P311" s="8"/>
      <c r="Q311" s="8"/>
      <c r="R311" s="9"/>
      <c r="S311" s="8"/>
      <c r="T311" s="8"/>
      <c r="U311" s="8"/>
      <c r="V311" s="8"/>
      <c r="W311" s="8"/>
      <c r="X311" s="8"/>
      <c r="Y311" s="8"/>
      <c r="Z311" s="8"/>
      <c r="AA311" s="8"/>
      <c r="AB311" s="73"/>
      <c r="AC311" s="8"/>
      <c r="AD311" s="8"/>
      <c r="AE311" s="8"/>
      <c r="AF311" s="8"/>
      <c r="AG311" s="8"/>
      <c r="AH311" s="8"/>
      <c r="AI311" s="8"/>
      <c r="AJ311" s="8"/>
    </row>
    <row r="312" spans="7:36" ht="15" customHeight="1" x14ac:dyDescent="0.2">
      <c r="G312" s="421"/>
      <c r="H312" s="8"/>
      <c r="I312" s="8"/>
      <c r="J312" s="8"/>
      <c r="K312" s="8"/>
      <c r="L312" s="8"/>
      <c r="M312" s="8"/>
      <c r="N312" s="8"/>
      <c r="O312" s="8"/>
      <c r="P312" s="8"/>
      <c r="Q312" s="8"/>
      <c r="R312" s="9"/>
      <c r="S312" s="8"/>
      <c r="T312" s="8"/>
      <c r="U312" s="8"/>
      <c r="V312" s="8"/>
      <c r="W312" s="8"/>
      <c r="X312" s="8"/>
      <c r="Y312" s="8"/>
      <c r="Z312" s="8"/>
      <c r="AA312" s="8"/>
      <c r="AB312" s="73"/>
      <c r="AC312" s="8"/>
      <c r="AD312" s="8"/>
      <c r="AE312" s="8"/>
      <c r="AF312" s="8"/>
      <c r="AG312" s="8"/>
      <c r="AH312" s="8"/>
      <c r="AI312" s="8"/>
      <c r="AJ312" s="8"/>
    </row>
    <row r="313" spans="7:36" ht="15" customHeight="1" x14ac:dyDescent="0.2">
      <c r="G313" s="10"/>
      <c r="H313" s="8"/>
      <c r="I313" s="8"/>
      <c r="J313" s="8"/>
      <c r="K313" s="67"/>
      <c r="L313" s="67"/>
      <c r="M313" s="67"/>
      <c r="N313" s="67"/>
      <c r="O313" s="67"/>
      <c r="P313" s="67"/>
      <c r="Q313" s="67"/>
      <c r="R313" s="67"/>
      <c r="S313" s="67"/>
      <c r="T313" s="67"/>
      <c r="U313" s="67"/>
      <c r="V313" s="67"/>
      <c r="W313" s="67"/>
      <c r="X313" s="67"/>
      <c r="Y313" s="67"/>
      <c r="Z313" s="67"/>
      <c r="AA313" s="67"/>
      <c r="AB313" s="67"/>
      <c r="AC313" s="67"/>
      <c r="AD313" s="67"/>
      <c r="AE313" s="67"/>
      <c r="AF313" s="67"/>
      <c r="AG313" s="67"/>
      <c r="AH313" s="67"/>
      <c r="AI313" s="67"/>
      <c r="AJ313" s="67"/>
    </row>
    <row r="314" spans="7:36" ht="15" customHeight="1" x14ac:dyDescent="0.2">
      <c r="G314" s="10"/>
      <c r="H314" s="8"/>
      <c r="I314" s="8"/>
      <c r="J314" s="8"/>
      <c r="K314" s="67"/>
      <c r="L314" s="67"/>
      <c r="M314" s="67"/>
      <c r="N314" s="67"/>
      <c r="O314" s="67"/>
      <c r="P314" s="67"/>
      <c r="Q314" s="67"/>
      <c r="R314" s="67"/>
      <c r="S314" s="67"/>
      <c r="T314" s="67"/>
      <c r="U314" s="67"/>
      <c r="V314" s="67"/>
      <c r="W314" s="67"/>
      <c r="X314" s="67"/>
      <c r="Y314" s="67"/>
      <c r="Z314" s="67"/>
      <c r="AA314" s="67"/>
      <c r="AB314" s="67"/>
      <c r="AC314" s="67"/>
      <c r="AD314" s="67"/>
      <c r="AE314" s="67"/>
      <c r="AF314" s="67"/>
      <c r="AG314" s="67"/>
      <c r="AH314" s="67"/>
      <c r="AI314" s="67"/>
      <c r="AJ314" s="67"/>
    </row>
    <row r="315" spans="7:36" ht="15" customHeight="1" x14ac:dyDescent="0.2">
      <c r="G315" s="10"/>
      <c r="H315" s="8"/>
      <c r="I315" s="8"/>
      <c r="J315" s="8"/>
      <c r="K315" s="67"/>
      <c r="L315" s="67"/>
      <c r="M315" s="67"/>
      <c r="N315" s="67"/>
      <c r="O315" s="67"/>
      <c r="P315" s="67"/>
      <c r="Q315" s="67"/>
      <c r="R315" s="67"/>
      <c r="S315" s="67"/>
      <c r="T315" s="67"/>
      <c r="U315" s="67"/>
      <c r="V315" s="67"/>
      <c r="W315" s="67"/>
      <c r="X315" s="67"/>
      <c r="Y315" s="67"/>
      <c r="Z315" s="67"/>
      <c r="AA315" s="67"/>
      <c r="AB315" s="67"/>
      <c r="AC315" s="67"/>
      <c r="AD315" s="67"/>
      <c r="AE315" s="67"/>
      <c r="AF315" s="67"/>
      <c r="AG315" s="67"/>
      <c r="AH315" s="67"/>
      <c r="AI315" s="67"/>
      <c r="AJ315" s="67"/>
    </row>
    <row r="316" spans="7:36" ht="15" customHeight="1" x14ac:dyDescent="0.2">
      <c r="G316" s="8"/>
      <c r="H316" s="8"/>
      <c r="I316" s="8"/>
      <c r="J316" s="8"/>
      <c r="K316" s="8"/>
      <c r="L316" s="8"/>
      <c r="M316" s="8"/>
      <c r="N316" s="8"/>
      <c r="O316" s="8"/>
      <c r="P316" s="8"/>
      <c r="Q316" s="8"/>
      <c r="R316" s="9"/>
      <c r="S316" s="8"/>
      <c r="T316" s="8"/>
      <c r="U316" s="8"/>
      <c r="V316" s="8"/>
      <c r="W316" s="8"/>
      <c r="X316" s="8"/>
      <c r="Y316" s="8"/>
      <c r="Z316" s="8"/>
      <c r="AA316" s="8"/>
      <c r="AB316" s="73"/>
      <c r="AC316" s="8"/>
      <c r="AD316" s="8"/>
      <c r="AE316" s="8"/>
      <c r="AF316" s="8"/>
      <c r="AG316" s="8"/>
      <c r="AH316" s="8"/>
      <c r="AI316" s="8"/>
      <c r="AJ316" s="8"/>
    </row>
    <row r="317" spans="7:36" ht="15" customHeight="1" x14ac:dyDescent="0.2">
      <c r="G317" s="531"/>
      <c r="H317" s="66"/>
      <c r="I317" s="66"/>
      <c r="J317" s="66"/>
      <c r="K317" s="66"/>
      <c r="L317" s="66"/>
      <c r="M317" s="66"/>
      <c r="N317" s="66"/>
      <c r="O317" s="66"/>
      <c r="P317" s="66"/>
      <c r="Q317" s="66"/>
      <c r="R317" s="66"/>
      <c r="S317" s="66"/>
      <c r="T317" s="66"/>
      <c r="U317" s="66"/>
      <c r="V317" s="66"/>
      <c r="W317" s="66"/>
      <c r="X317" s="66"/>
      <c r="Y317" s="66"/>
      <c r="Z317" s="66"/>
      <c r="AA317" s="66"/>
      <c r="AB317" s="395"/>
      <c r="AC317" s="66"/>
      <c r="AD317" s="66"/>
      <c r="AE317" s="66"/>
      <c r="AF317" s="66"/>
      <c r="AG317" s="66"/>
      <c r="AH317" s="66"/>
      <c r="AI317" s="66"/>
      <c r="AJ317" s="66"/>
    </row>
    <row r="318" spans="7:36" ht="15" customHeight="1" x14ac:dyDescent="0.2">
      <c r="G318" s="66"/>
      <c r="H318" s="66"/>
      <c r="I318" s="66"/>
      <c r="J318" s="66"/>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row>
    <row r="319" spans="7:36" ht="15" customHeight="1" x14ac:dyDescent="0.2">
      <c r="G319" s="66"/>
      <c r="H319" s="66"/>
      <c r="I319" s="66"/>
      <c r="J319" s="66"/>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row>
    <row r="320" spans="7:36" ht="15" customHeight="1" x14ac:dyDescent="0.2">
      <c r="G320" s="66"/>
      <c r="H320" s="66"/>
      <c r="I320" s="66"/>
      <c r="J320" s="66"/>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row>
    <row r="321" spans="7:36" ht="15" customHeight="1" x14ac:dyDescent="0.2">
      <c r="G321" s="8"/>
      <c r="H321" s="8"/>
      <c r="I321" s="8"/>
      <c r="J321" s="8"/>
      <c r="K321" s="8"/>
      <c r="L321" s="8"/>
      <c r="M321" s="8"/>
      <c r="N321" s="8"/>
      <c r="O321" s="8"/>
      <c r="P321" s="8"/>
      <c r="Q321" s="8"/>
      <c r="R321" s="9"/>
      <c r="S321" s="8"/>
      <c r="T321" s="8"/>
      <c r="U321" s="8"/>
      <c r="V321" s="8"/>
      <c r="W321" s="8"/>
      <c r="X321" s="8"/>
      <c r="Y321" s="8"/>
      <c r="Z321" s="8"/>
      <c r="AA321" s="8"/>
      <c r="AB321" s="73"/>
      <c r="AC321" s="8"/>
      <c r="AD321" s="8"/>
      <c r="AE321" s="8"/>
      <c r="AF321" s="8"/>
      <c r="AG321" s="8"/>
      <c r="AH321" s="8"/>
      <c r="AI321" s="8"/>
      <c r="AJ321" s="8"/>
    </row>
    <row r="322" spans="7:36" ht="15" customHeight="1" x14ac:dyDescent="0.2">
      <c r="G322" s="521"/>
      <c r="H322" s="164"/>
      <c r="I322" s="164"/>
      <c r="J322" s="164"/>
      <c r="K322" s="164"/>
      <c r="L322" s="164"/>
      <c r="M322" s="164"/>
      <c r="N322" s="164"/>
      <c r="O322" s="164"/>
      <c r="P322" s="164"/>
      <c r="Q322" s="164"/>
      <c r="R322" s="164"/>
      <c r="S322" s="164"/>
      <c r="T322" s="164"/>
      <c r="U322" s="164"/>
      <c r="V322" s="164"/>
      <c r="W322" s="164"/>
      <c r="X322" s="164"/>
      <c r="Y322" s="164"/>
      <c r="Z322" s="164"/>
      <c r="AA322" s="164"/>
      <c r="AB322" s="396"/>
      <c r="AC322" s="164"/>
      <c r="AD322" s="164"/>
      <c r="AE322" s="164"/>
      <c r="AF322" s="164"/>
      <c r="AG322" s="164"/>
      <c r="AH322" s="164"/>
      <c r="AI322" s="164"/>
      <c r="AJ322" s="164"/>
    </row>
    <row r="323" spans="7:36" ht="15" customHeight="1" x14ac:dyDescent="0.2">
      <c r="G323" s="164"/>
      <c r="H323" s="164"/>
      <c r="I323" s="164"/>
      <c r="J323" s="164"/>
      <c r="K323" s="165"/>
      <c r="L323" s="165"/>
      <c r="M323" s="165"/>
      <c r="N323" s="165"/>
      <c r="O323" s="165"/>
      <c r="P323" s="165"/>
      <c r="Q323" s="165"/>
      <c r="R323" s="165"/>
      <c r="S323" s="165"/>
      <c r="T323" s="165"/>
      <c r="U323" s="165"/>
      <c r="V323" s="165"/>
      <c r="W323" s="165"/>
      <c r="X323" s="165"/>
      <c r="Y323" s="165"/>
      <c r="Z323" s="165"/>
      <c r="AA323" s="165"/>
      <c r="AB323" s="165"/>
      <c r="AC323" s="165"/>
      <c r="AD323" s="165"/>
      <c r="AE323" s="165"/>
      <c r="AF323" s="165"/>
      <c r="AG323" s="165"/>
      <c r="AH323" s="165"/>
      <c r="AI323" s="165"/>
      <c r="AJ323" s="165"/>
    </row>
    <row r="324" spans="7:36" ht="15" customHeight="1" x14ac:dyDescent="0.2">
      <c r="G324" s="164"/>
      <c r="H324" s="164"/>
      <c r="I324" s="164"/>
      <c r="J324" s="164"/>
      <c r="K324" s="165"/>
      <c r="L324" s="165"/>
      <c r="M324" s="165"/>
      <c r="N324" s="165"/>
      <c r="O324" s="165"/>
      <c r="P324" s="165"/>
      <c r="Q324" s="165"/>
      <c r="R324" s="165"/>
      <c r="S324" s="165"/>
      <c r="T324" s="165"/>
      <c r="U324" s="165"/>
      <c r="V324" s="165"/>
      <c r="W324" s="165"/>
      <c r="X324" s="165"/>
      <c r="Y324" s="165"/>
      <c r="Z324" s="165"/>
      <c r="AA324" s="165"/>
      <c r="AB324" s="165"/>
      <c r="AC324" s="165"/>
      <c r="AD324" s="165"/>
      <c r="AE324" s="165"/>
      <c r="AF324" s="165"/>
      <c r="AG324" s="165"/>
      <c r="AH324" s="165"/>
      <c r="AI324" s="165"/>
      <c r="AJ324" s="165"/>
    </row>
    <row r="325" spans="7:36" ht="15" customHeight="1" x14ac:dyDescent="0.2">
      <c r="G325" s="164"/>
      <c r="H325" s="164"/>
      <c r="I325" s="164"/>
      <c r="J325" s="164"/>
      <c r="K325" s="165"/>
      <c r="L325" s="165"/>
      <c r="M325" s="165"/>
      <c r="N325" s="165"/>
      <c r="O325" s="165"/>
      <c r="P325" s="165"/>
      <c r="Q325" s="165"/>
      <c r="R325" s="165"/>
      <c r="S325" s="165"/>
      <c r="T325" s="165"/>
      <c r="U325" s="165"/>
      <c r="V325" s="165"/>
      <c r="W325" s="165"/>
      <c r="X325" s="165"/>
      <c r="Y325" s="165"/>
      <c r="Z325" s="165"/>
      <c r="AA325" s="165"/>
      <c r="AB325" s="165"/>
      <c r="AC325" s="165"/>
      <c r="AD325" s="165"/>
      <c r="AE325" s="165"/>
      <c r="AF325" s="165"/>
      <c r="AG325" s="165"/>
      <c r="AH325" s="165"/>
      <c r="AI325" s="165"/>
      <c r="AJ325" s="165"/>
    </row>
    <row r="328" spans="7:36" ht="15" customHeight="1" x14ac:dyDescent="0.2">
      <c r="G328" s="421"/>
      <c r="H328" s="8"/>
      <c r="I328" s="8"/>
      <c r="J328" s="8"/>
      <c r="K328" s="8"/>
      <c r="L328" s="8"/>
      <c r="M328" s="8"/>
      <c r="N328" s="8"/>
      <c r="O328" s="8"/>
      <c r="P328" s="8"/>
      <c r="Q328" s="8"/>
      <c r="R328" s="9"/>
      <c r="S328" s="8"/>
      <c r="T328" s="8"/>
      <c r="U328" s="8"/>
      <c r="V328" s="8"/>
      <c r="W328" s="8"/>
      <c r="X328" s="8"/>
      <c r="Y328" s="8"/>
      <c r="Z328" s="8"/>
      <c r="AA328" s="8"/>
      <c r="AB328" s="73"/>
      <c r="AC328" s="8"/>
      <c r="AD328" s="8"/>
      <c r="AE328" s="8"/>
      <c r="AF328" s="8"/>
      <c r="AG328" s="8"/>
      <c r="AH328" s="8"/>
      <c r="AI328" s="8"/>
      <c r="AJ328" s="8"/>
    </row>
    <row r="329" spans="7:36" ht="15" customHeight="1" x14ac:dyDescent="0.2">
      <c r="G329" s="10"/>
      <c r="H329" s="8"/>
      <c r="I329" s="8"/>
      <c r="J329" s="8"/>
      <c r="K329" s="67"/>
      <c r="L329" s="67"/>
      <c r="M329" s="67"/>
      <c r="N329" s="67"/>
      <c r="O329" s="67"/>
      <c r="P329" s="67"/>
      <c r="Q329" s="67"/>
      <c r="R329" s="67"/>
      <c r="S329" s="67"/>
      <c r="T329" s="67"/>
      <c r="U329" s="67"/>
      <c r="V329" s="67"/>
      <c r="W329" s="67"/>
      <c r="X329" s="67"/>
      <c r="Y329" s="67"/>
      <c r="Z329" s="67"/>
      <c r="AA329" s="67"/>
      <c r="AB329" s="67"/>
      <c r="AC329" s="67"/>
      <c r="AD329" s="67"/>
      <c r="AE329" s="67"/>
      <c r="AF329" s="67"/>
      <c r="AG329" s="67"/>
      <c r="AH329" s="67"/>
      <c r="AI329" s="67"/>
      <c r="AJ329" s="67"/>
    </row>
    <row r="330" spans="7:36" ht="15" customHeight="1" x14ac:dyDescent="0.2">
      <c r="G330" s="10"/>
      <c r="H330" s="8"/>
      <c r="I330" s="8"/>
      <c r="J330" s="8"/>
      <c r="K330" s="67"/>
      <c r="L330" s="67"/>
      <c r="M330" s="67"/>
      <c r="N330" s="67"/>
      <c r="O330" s="67"/>
      <c r="P330" s="67"/>
      <c r="Q330" s="67"/>
      <c r="R330" s="67"/>
      <c r="S330" s="67"/>
      <c r="T330" s="67"/>
      <c r="U330" s="67"/>
      <c r="V330" s="67"/>
      <c r="W330" s="67"/>
      <c r="X330" s="67"/>
      <c r="Y330" s="67"/>
      <c r="Z330" s="67"/>
      <c r="AA330" s="67"/>
      <c r="AB330" s="67"/>
      <c r="AC330" s="67"/>
      <c r="AD330" s="67"/>
      <c r="AE330" s="67"/>
      <c r="AF330" s="67"/>
      <c r="AG330" s="67"/>
      <c r="AH330" s="67"/>
      <c r="AI330" s="67"/>
      <c r="AJ330" s="67"/>
    </row>
    <row r="331" spans="7:36" ht="15" customHeight="1" x14ac:dyDescent="0.2">
      <c r="G331" s="10"/>
      <c r="H331" s="8"/>
      <c r="I331" s="8"/>
      <c r="J331" s="8"/>
      <c r="K331" s="67"/>
      <c r="L331" s="67"/>
      <c r="M331" s="67"/>
      <c r="N331" s="67"/>
      <c r="O331" s="67"/>
      <c r="P331" s="67"/>
      <c r="Q331" s="67"/>
      <c r="R331" s="67"/>
      <c r="S331" s="67"/>
      <c r="T331" s="67"/>
      <c r="U331" s="67"/>
      <c r="V331" s="67"/>
      <c r="W331" s="67"/>
      <c r="X331" s="67"/>
      <c r="Y331" s="67"/>
      <c r="Z331" s="67"/>
      <c r="AA331" s="67"/>
      <c r="AB331" s="67"/>
      <c r="AC331" s="67"/>
      <c r="AD331" s="67"/>
      <c r="AE331" s="67"/>
      <c r="AF331" s="67"/>
      <c r="AG331" s="67"/>
      <c r="AH331" s="67"/>
      <c r="AI331" s="67"/>
      <c r="AJ331" s="67"/>
    </row>
    <row r="332" spans="7:36" ht="15" customHeight="1" x14ac:dyDescent="0.2">
      <c r="G332" s="8"/>
      <c r="H332" s="8"/>
      <c r="I332" s="8"/>
      <c r="J332" s="8"/>
      <c r="K332" s="8"/>
      <c r="L332" s="8"/>
      <c r="M332" s="8"/>
      <c r="N332" s="8"/>
      <c r="O332" s="8"/>
      <c r="P332" s="8"/>
      <c r="Q332" s="8"/>
      <c r="R332" s="9"/>
      <c r="S332" s="8"/>
      <c r="T332" s="8"/>
      <c r="U332" s="8"/>
      <c r="V332" s="8"/>
      <c r="W332" s="8"/>
      <c r="X332" s="8"/>
      <c r="Y332" s="8"/>
      <c r="Z332" s="8"/>
      <c r="AA332" s="8"/>
      <c r="AB332" s="73"/>
      <c r="AC332" s="8"/>
      <c r="AD332" s="8"/>
      <c r="AE332" s="8"/>
      <c r="AF332" s="8"/>
      <c r="AG332" s="8"/>
      <c r="AH332" s="8"/>
      <c r="AI332" s="8"/>
      <c r="AJ332" s="8"/>
    </row>
    <row r="333" spans="7:36" ht="15" customHeight="1" x14ac:dyDescent="0.2">
      <c r="G333" s="531"/>
      <c r="H333" s="66"/>
      <c r="I333" s="66"/>
      <c r="J333" s="66"/>
      <c r="K333" s="66"/>
      <c r="L333" s="66"/>
      <c r="M333" s="66"/>
      <c r="N333" s="66"/>
      <c r="O333" s="66"/>
      <c r="P333" s="66"/>
      <c r="Q333" s="66"/>
      <c r="R333" s="66"/>
      <c r="S333" s="66"/>
      <c r="T333" s="66"/>
      <c r="U333" s="66"/>
      <c r="V333" s="66"/>
      <c r="W333" s="66"/>
      <c r="X333" s="66"/>
      <c r="Y333" s="66"/>
      <c r="Z333" s="66"/>
      <c r="AA333" s="66"/>
      <c r="AB333" s="395"/>
      <c r="AC333" s="66"/>
      <c r="AD333" s="66"/>
      <c r="AE333" s="66"/>
      <c r="AF333" s="66"/>
      <c r="AG333" s="66"/>
      <c r="AH333" s="66"/>
      <c r="AI333" s="66"/>
      <c r="AJ333" s="66"/>
    </row>
    <row r="334" spans="7:36" ht="15" customHeight="1" x14ac:dyDescent="0.2">
      <c r="G334" s="66"/>
      <c r="H334" s="66"/>
      <c r="I334" s="66"/>
      <c r="J334" s="66"/>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row>
    <row r="335" spans="7:36" ht="15" customHeight="1" x14ac:dyDescent="0.2">
      <c r="G335" s="66"/>
      <c r="H335" s="66"/>
      <c r="I335" s="66"/>
      <c r="J335" s="66"/>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row>
    <row r="336" spans="7:36" ht="15" customHeight="1" x14ac:dyDescent="0.2">
      <c r="G336" s="66"/>
      <c r="H336" s="66"/>
      <c r="I336" s="66"/>
      <c r="J336" s="66"/>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row>
    <row r="337" spans="7:36" ht="15" customHeight="1" x14ac:dyDescent="0.2">
      <c r="G337" s="8"/>
      <c r="H337" s="8"/>
      <c r="I337" s="8"/>
      <c r="J337" s="8"/>
      <c r="K337" s="8"/>
      <c r="L337" s="8"/>
      <c r="M337" s="8"/>
      <c r="N337" s="8"/>
      <c r="O337" s="8"/>
      <c r="P337" s="8"/>
      <c r="Q337" s="8"/>
      <c r="R337" s="9"/>
      <c r="S337" s="8"/>
      <c r="T337" s="8"/>
      <c r="U337" s="8"/>
      <c r="V337" s="8"/>
      <c r="W337" s="8"/>
      <c r="X337" s="8"/>
      <c r="Y337" s="8"/>
      <c r="Z337" s="8"/>
      <c r="AA337" s="8"/>
      <c r="AB337" s="73"/>
      <c r="AC337" s="8"/>
      <c r="AD337" s="8"/>
      <c r="AE337" s="8"/>
      <c r="AF337" s="8"/>
      <c r="AG337" s="8"/>
      <c r="AH337" s="8"/>
      <c r="AI337" s="8"/>
      <c r="AJ337" s="8"/>
    </row>
    <row r="338" spans="7:36" ht="15" customHeight="1" x14ac:dyDescent="0.2">
      <c r="G338" s="521"/>
      <c r="H338" s="164"/>
      <c r="I338" s="164"/>
      <c r="J338" s="164"/>
      <c r="K338" s="164"/>
      <c r="L338" s="164"/>
      <c r="M338" s="164"/>
      <c r="N338" s="164"/>
      <c r="O338" s="164"/>
      <c r="P338" s="164"/>
      <c r="Q338" s="164"/>
      <c r="R338" s="164"/>
      <c r="S338" s="164"/>
      <c r="T338" s="164"/>
      <c r="U338" s="164"/>
      <c r="V338" s="164"/>
      <c r="W338" s="164"/>
      <c r="X338" s="164"/>
      <c r="Y338" s="164"/>
      <c r="Z338" s="164"/>
      <c r="AA338" s="164"/>
      <c r="AB338" s="396"/>
      <c r="AC338" s="164"/>
      <c r="AD338" s="164"/>
      <c r="AE338" s="164"/>
      <c r="AF338" s="164"/>
      <c r="AG338" s="164"/>
      <c r="AH338" s="164"/>
      <c r="AI338" s="164"/>
      <c r="AJ338" s="164"/>
    </row>
    <row r="339" spans="7:36" ht="15" customHeight="1" x14ac:dyDescent="0.2">
      <c r="G339" s="164"/>
      <c r="H339" s="164"/>
      <c r="I339" s="164"/>
      <c r="J339" s="164"/>
      <c r="K339" s="165"/>
      <c r="L339" s="165"/>
      <c r="M339" s="165"/>
      <c r="N339" s="165"/>
      <c r="O339" s="165"/>
      <c r="P339" s="165"/>
      <c r="Q339" s="165"/>
      <c r="R339" s="165"/>
      <c r="S339" s="165"/>
      <c r="T339" s="165"/>
      <c r="U339" s="165"/>
      <c r="V339" s="165"/>
      <c r="W339" s="165"/>
      <c r="X339" s="165"/>
      <c r="Y339" s="165"/>
      <c r="Z339" s="165"/>
      <c r="AA339" s="165"/>
      <c r="AB339" s="165"/>
      <c r="AC339" s="165"/>
      <c r="AD339" s="165"/>
      <c r="AE339" s="165"/>
      <c r="AF339" s="165"/>
      <c r="AG339" s="165"/>
      <c r="AH339" s="165"/>
      <c r="AI339" s="165"/>
      <c r="AJ339" s="165"/>
    </row>
    <row r="340" spans="7:36" ht="15" customHeight="1" x14ac:dyDescent="0.2">
      <c r="G340" s="164"/>
      <c r="H340" s="164"/>
      <c r="I340" s="164"/>
      <c r="J340" s="164"/>
      <c r="K340" s="165"/>
      <c r="L340" s="165"/>
      <c r="M340" s="165"/>
      <c r="N340" s="165"/>
      <c r="O340" s="165"/>
      <c r="P340" s="165"/>
      <c r="Q340" s="165"/>
      <c r="R340" s="165"/>
      <c r="S340" s="165"/>
      <c r="T340" s="165"/>
      <c r="U340" s="165"/>
      <c r="V340" s="165"/>
      <c r="W340" s="165"/>
      <c r="X340" s="165"/>
      <c r="Y340" s="165"/>
      <c r="Z340" s="165"/>
      <c r="AA340" s="165"/>
      <c r="AB340" s="165"/>
      <c r="AC340" s="165"/>
      <c r="AD340" s="165"/>
      <c r="AE340" s="165"/>
      <c r="AF340" s="165"/>
      <c r="AG340" s="165"/>
      <c r="AH340" s="165"/>
      <c r="AI340" s="165"/>
      <c r="AJ340" s="165"/>
    </row>
    <row r="341" spans="7:36" ht="15" customHeight="1" x14ac:dyDescent="0.2">
      <c r="G341" s="164"/>
      <c r="H341" s="164"/>
      <c r="I341" s="164"/>
      <c r="J341" s="164"/>
      <c r="K341" s="165"/>
      <c r="L341" s="165"/>
      <c r="M341" s="165"/>
      <c r="N341" s="165"/>
      <c r="O341" s="165"/>
      <c r="P341" s="165"/>
      <c r="Q341" s="165"/>
      <c r="R341" s="165"/>
      <c r="S341" s="165"/>
      <c r="T341" s="165"/>
      <c r="U341" s="165"/>
      <c r="V341" s="165"/>
      <c r="W341" s="165"/>
      <c r="X341" s="165"/>
      <c r="Y341" s="165"/>
      <c r="Z341" s="165"/>
      <c r="AA341" s="165"/>
      <c r="AB341" s="165"/>
      <c r="AC341" s="165"/>
      <c r="AD341" s="165"/>
      <c r="AE341" s="165"/>
      <c r="AF341" s="165"/>
      <c r="AG341" s="165"/>
      <c r="AH341" s="165"/>
      <c r="AI341" s="165"/>
      <c r="AJ341" s="165"/>
    </row>
  </sheetData>
  <mergeCells count="5">
    <mergeCell ref="G5:H7"/>
    <mergeCell ref="A1:E3"/>
    <mergeCell ref="B33:D33"/>
    <mergeCell ref="B7:D7"/>
    <mergeCell ref="S10:W10"/>
  </mergeCells>
  <conditionalFormatting sqref="G10">
    <cfRule type="expression" dxfId="277" priority="124">
      <formula>#REF!="No"</formula>
    </cfRule>
  </conditionalFormatting>
  <conditionalFormatting sqref="G22">
    <cfRule type="expression" dxfId="276" priority="172">
      <formula>#REF!="No"</formula>
    </cfRule>
  </conditionalFormatting>
  <conditionalFormatting sqref="G45">
    <cfRule type="expression" dxfId="275" priority="70">
      <formula>#REF!="No"</formula>
    </cfRule>
  </conditionalFormatting>
  <conditionalFormatting sqref="G48">
    <cfRule type="expression" dxfId="274" priority="28">
      <formula>#REF!="No"</formula>
    </cfRule>
  </conditionalFormatting>
  <conditionalFormatting sqref="G50">
    <cfRule type="expression" dxfId="273" priority="25">
      <formula>#REF!="No"</formula>
    </cfRule>
  </conditionalFormatting>
  <conditionalFormatting sqref="G93">
    <cfRule type="expression" dxfId="272" priority="87">
      <formula>#REF!="No"</formula>
    </cfRule>
  </conditionalFormatting>
  <conditionalFormatting sqref="G117">
    <cfRule type="expression" dxfId="271" priority="18">
      <formula>#REF!="No"</formula>
    </cfRule>
  </conditionalFormatting>
  <conditionalFormatting sqref="G141">
    <cfRule type="expression" dxfId="270" priority="19">
      <formula>#REF!="No"</formula>
    </cfRule>
  </conditionalFormatting>
  <conditionalFormatting sqref="G166">
    <cfRule type="expression" dxfId="269" priority="103">
      <formula>#REF!="No"</formula>
    </cfRule>
  </conditionalFormatting>
  <conditionalFormatting sqref="G190">
    <cfRule type="expression" dxfId="268" priority="102">
      <formula>#REF!="No"</formula>
    </cfRule>
  </conditionalFormatting>
  <conditionalFormatting sqref="G214">
    <cfRule type="expression" dxfId="267" priority="101">
      <formula>#REF!="No"</formula>
    </cfRule>
  </conditionalFormatting>
  <conditionalFormatting sqref="G239">
    <cfRule type="expression" dxfId="266" priority="100">
      <formula>#REF!="No"</formula>
    </cfRule>
  </conditionalFormatting>
  <conditionalFormatting sqref="G263">
    <cfRule type="expression" dxfId="265" priority="99">
      <formula>#REF!="No"</formula>
    </cfRule>
  </conditionalFormatting>
  <conditionalFormatting sqref="G287">
    <cfRule type="expression" dxfId="264" priority="98">
      <formula>#REF!="No"</formula>
    </cfRule>
  </conditionalFormatting>
  <conditionalFormatting sqref="G312">
    <cfRule type="expression" dxfId="263" priority="97">
      <formula>#REF!="No"</formula>
    </cfRule>
  </conditionalFormatting>
  <conditionalFormatting sqref="G317">
    <cfRule type="expression" dxfId="262" priority="96">
      <formula>#REF!="No"</formula>
    </cfRule>
  </conditionalFormatting>
  <conditionalFormatting sqref="G322">
    <cfRule type="expression" dxfId="261" priority="95">
      <formula>#REF!="No"</formula>
    </cfRule>
  </conditionalFormatting>
  <conditionalFormatting sqref="G328">
    <cfRule type="expression" dxfId="260" priority="94">
      <formula>#REF!="No"</formula>
    </cfRule>
  </conditionalFormatting>
  <conditionalFormatting sqref="G333">
    <cfRule type="expression" dxfId="259" priority="93">
      <formula>#REF!="No"</formula>
    </cfRule>
  </conditionalFormatting>
  <conditionalFormatting sqref="G338">
    <cfRule type="expression" dxfId="258" priority="92">
      <formula>#REF!="No"</formula>
    </cfRule>
  </conditionalFormatting>
  <conditionalFormatting sqref="J37">
    <cfRule type="expression" dxfId="257" priority="7">
      <formula>NOT(I37="User defined")</formula>
    </cfRule>
  </conditionalFormatting>
  <conditionalFormatting sqref="M10">
    <cfRule type="expression" dxfId="256" priority="26">
      <formula>#REF!="No"</formula>
    </cfRule>
  </conditionalFormatting>
  <conditionalFormatting sqref="M18">
    <cfRule type="expression" dxfId="255" priority="90">
      <formula>#REF!="No"</formula>
    </cfRule>
  </conditionalFormatting>
  <conditionalFormatting sqref="M25">
    <cfRule type="expression" dxfId="254" priority="171">
      <formula>#REF!="No"</formula>
    </cfRule>
  </conditionalFormatting>
  <conditionalFormatting sqref="M34:M35">
    <cfRule type="expression" dxfId="253" priority="179">
      <formula>#REF!="No"</formula>
    </cfRule>
  </conditionalFormatting>
  <conditionalFormatting sqref="M37">
    <cfRule type="expression" dxfId="252" priority="176">
      <formula>#REF!="No"</formula>
    </cfRule>
  </conditionalFormatting>
  <conditionalFormatting sqref="M45">
    <cfRule type="expression" dxfId="251" priority="226">
      <formula>#REF!="No"</formula>
    </cfRule>
  </conditionalFormatting>
  <conditionalFormatting sqref="M48">
    <cfRule type="expression" dxfId="250" priority="29">
      <formula>#REF!="No"</formula>
    </cfRule>
  </conditionalFormatting>
  <conditionalFormatting sqref="M50">
    <cfRule type="expression" dxfId="249" priority="24">
      <formula>#REF!="No"</formula>
    </cfRule>
  </conditionalFormatting>
  <conditionalFormatting sqref="M51">
    <cfRule type="expression" dxfId="248" priority="228">
      <formula>#REF!="No"</formula>
    </cfRule>
  </conditionalFormatting>
  <conditionalFormatting sqref="M27:Q28 N29:Q30 M29:M31 M32:N32 M33:Q33">
    <cfRule type="expression" dxfId="247" priority="68">
      <formula>OR($O$18="Grid electricity",$O$18="District heating")</formula>
    </cfRule>
  </conditionalFormatting>
  <conditionalFormatting sqref="N31">
    <cfRule type="expression" dxfId="246" priority="35">
      <formula>OR($O$18="Grid electricity",$O$18="District heating")</formula>
    </cfRule>
  </conditionalFormatting>
  <conditionalFormatting sqref="O31:Q32">
    <cfRule type="expression" dxfId="245" priority="39">
      <formula>OR($O$18="Grid electricity",$O$18="District heating")</formula>
    </cfRule>
  </conditionalFormatting>
  <conditionalFormatting sqref="P25">
    <cfRule type="expression" dxfId="244" priority="72">
      <formula>$O$18="District heating"</formula>
    </cfRule>
  </conditionalFormatting>
  <conditionalFormatting sqref="P37">
    <cfRule type="expression" dxfId="243" priority="6">
      <formula>NOT(O37="User defined")</formula>
    </cfRule>
  </conditionalFormatting>
  <conditionalFormatting sqref="S10">
    <cfRule type="expression" dxfId="242" priority="9">
      <formula>#REF!="No"</formula>
    </cfRule>
  </conditionalFormatting>
  <conditionalFormatting sqref="S42:S44">
    <cfRule type="expression" dxfId="241" priority="16">
      <formula>#REF!="No"</formula>
    </cfRule>
  </conditionalFormatting>
  <conditionalFormatting sqref="T42">
    <cfRule type="expression" dxfId="240" priority="83">
      <formula>#REF!="No"</formula>
    </cfRule>
  </conditionalFormatting>
  <conditionalFormatting sqref="V14">
    <cfRule type="expression" dxfId="239" priority="158">
      <formula>#REF!="No"</formula>
    </cfRule>
  </conditionalFormatting>
  <conditionalFormatting sqref="V43:W44">
    <cfRule type="expression" dxfId="238" priority="14">
      <formula>#REF!="No"</formula>
    </cfRule>
  </conditionalFormatting>
  <conditionalFormatting sqref="Y10">
    <cfRule type="expression" dxfId="237" priority="17">
      <formula>#REF!="No"</formula>
    </cfRule>
  </conditionalFormatting>
  <conditionalFormatting sqref="Y18 Y22 Y24:Y25">
    <cfRule type="expression" dxfId="236" priority="227">
      <formula>#REF!="No"</formula>
    </cfRule>
  </conditionalFormatting>
  <conditionalFormatting sqref="Y19 Y21">
    <cfRule type="expression" dxfId="235" priority="77">
      <formula>#REF!="No"</formula>
    </cfRule>
  </conditionalFormatting>
  <conditionalFormatting sqref="Y34:Y35">
    <cfRule type="expression" dxfId="234" priority="180">
      <formula>#REF!="No"</formula>
    </cfRule>
  </conditionalFormatting>
  <conditionalFormatting sqref="Y37">
    <cfRule type="expression" dxfId="233" priority="174">
      <formula>#REF!="No"</formula>
    </cfRule>
  </conditionalFormatting>
  <conditionalFormatting sqref="Y45">
    <cfRule type="expression" dxfId="232" priority="88">
      <formula>#REF!="No"</formula>
    </cfRule>
  </conditionalFormatting>
  <conditionalFormatting sqref="Y48">
    <cfRule type="expression" dxfId="231" priority="27">
      <formula>#REF!="No"</formula>
    </cfRule>
  </conditionalFormatting>
  <conditionalFormatting sqref="Y50:Y51">
    <cfRule type="expression" dxfId="230" priority="22">
      <formula>#REF!="No"</formula>
    </cfRule>
  </conditionalFormatting>
  <conditionalFormatting sqref="Y27:AC28 Z29:AC30 Y29:Y31 AB31:AC32 Y32:Z32 Y33:AC33">
    <cfRule type="expression" dxfId="229" priority="13">
      <formula>OR($AA$18="Grid electricity",$AA$18="District heating")</formula>
    </cfRule>
  </conditionalFormatting>
  <conditionalFormatting sqref="Z31:AA31">
    <cfRule type="expression" dxfId="228" priority="8">
      <formula>OR($AA$18="Grid electricity",$AA$18="District heating")</formula>
    </cfRule>
  </conditionalFormatting>
  <conditionalFormatting sqref="AA18">
    <cfRule type="expression" dxfId="227" priority="54">
      <formula>$AA$22="Yes"</formula>
    </cfRule>
  </conditionalFormatting>
  <conditionalFormatting sqref="AB14:AB15">
    <cfRule type="expression" dxfId="226" priority="71">
      <formula>#REF!="No"</formula>
    </cfRule>
  </conditionalFormatting>
  <conditionalFormatting sqref="AB25">
    <cfRule type="expression" dxfId="225" priority="4">
      <formula>$AA$18="District heating"</formula>
    </cfRule>
  </conditionalFormatting>
  <conditionalFormatting sqref="AB37">
    <cfRule type="expression" dxfId="224" priority="5">
      <formula>NOT(AA37="User defined")</formula>
    </cfRule>
  </conditionalFormatting>
  <conditionalFormatting sqref="AB40:AB42">
    <cfRule type="expression" dxfId="223" priority="56">
      <formula>$AA$22="Yes"</formula>
    </cfRule>
  </conditionalFormatting>
  <dataValidations count="2">
    <dataValidation type="list" allowBlank="1" showInputMessage="1" showErrorMessage="1" sqref="J28:J31 P28:P31 AB28:AB31" xr:uid="{00000000-0002-0000-0800-000000000000}">
      <formula1>"Yes, No"</formula1>
    </dataValidation>
    <dataValidation type="list" allowBlank="1" showInputMessage="1" showErrorMessage="1" sqref="O18 AA18" xr:uid="{00000000-0002-0000-0800-000001000000}">
      <formula1>"Natural gas, District heating, Grid electricity"</formula1>
    </dataValidation>
  </dataValidations>
  <hyperlinks>
    <hyperlink ref="G5:H7" location="SimpleStep2!A1" display="Done" xr:uid="{00000000-0004-0000-0800-000000000000}"/>
  </hyperlinks>
  <pageMargins left="0.25" right="0.25" top="0.75" bottom="0.75" header="0.3" footer="0.3"/>
  <pageSetup paperSize="9" scale="1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2000000}">
          <x14:formula1>
            <xm:f>Data!$G$90:$G$94</xm:f>
          </x14:formula1>
          <xm:sqref>I37 O37 AA37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16</vt:i4>
      </vt:variant>
    </vt:vector>
  </HeadingPairs>
  <TitlesOfParts>
    <vt:vector size="38" baseType="lpstr">
      <vt:lpstr>Home</vt:lpstr>
      <vt:lpstr>Step1</vt:lpstr>
      <vt:lpstr>SimpleStep2</vt:lpstr>
      <vt:lpstr>SimpleBA</vt:lpstr>
      <vt:lpstr>SimpleBB</vt:lpstr>
      <vt:lpstr>SimpleBC</vt:lpstr>
      <vt:lpstr>SimpleF</vt:lpstr>
      <vt:lpstr>SimpleV</vt:lpstr>
      <vt:lpstr>SimpleH</vt:lpstr>
      <vt:lpstr>SimpleH2</vt:lpstr>
      <vt:lpstr>SimpleC</vt:lpstr>
      <vt:lpstr>SimpleL</vt:lpstr>
      <vt:lpstr>SimpleStep3</vt:lpstr>
      <vt:lpstr>SimpleOutputs</vt:lpstr>
      <vt:lpstr>ComplexAt2Step2</vt:lpstr>
      <vt:lpstr>ComplexAt3Step2</vt:lpstr>
      <vt:lpstr>ComplexStep3</vt:lpstr>
      <vt:lpstr>ComplexOutputs</vt:lpstr>
      <vt:lpstr>Data</vt:lpstr>
      <vt:lpstr>Buildings</vt:lpstr>
      <vt:lpstr>BE</vt:lpstr>
      <vt:lpstr>BN</vt:lpstr>
      <vt:lpstr>Buildings!Print_Area</vt:lpstr>
      <vt:lpstr>ComplexAt3Step2!Print_Area</vt:lpstr>
      <vt:lpstr>ComplexStep3!Print_Area</vt:lpstr>
      <vt:lpstr>Home!Print_Area</vt:lpstr>
      <vt:lpstr>SimpleBA!Print_Area</vt:lpstr>
      <vt:lpstr>SimpleBB!Print_Area</vt:lpstr>
      <vt:lpstr>SimpleBC!Print_Area</vt:lpstr>
      <vt:lpstr>SimpleC!Print_Area</vt:lpstr>
      <vt:lpstr>SimpleF!Print_Area</vt:lpstr>
      <vt:lpstr>SimpleH!Print_Area</vt:lpstr>
      <vt:lpstr>SimpleH2!Print_Area</vt:lpstr>
      <vt:lpstr>SimpleL!Print_Area</vt:lpstr>
      <vt:lpstr>SimpleStep2!Print_Area</vt:lpstr>
      <vt:lpstr>SimpleStep3!Print_Area</vt:lpstr>
      <vt:lpstr>SimpleV!Print_Area</vt:lpstr>
      <vt:lpstr>Step1!Print_Area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Bengt Cousins-Jenvey</dc:creator>
  <cp:lastModifiedBy>Jebb, Ciaran</cp:lastModifiedBy>
  <cp:lastPrinted>2016-10-05T16:49:39Z</cp:lastPrinted>
  <dcterms:created xsi:type="dcterms:W3CDTF">2016-06-22T08:25:08Z</dcterms:created>
  <dcterms:modified xsi:type="dcterms:W3CDTF">2024-03-06T14:41:05Z</dcterms:modified>
</cp:coreProperties>
</file>