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05" activeTab="1"/>
  </bookViews>
  <sheets>
    <sheet name="Conjoin position" sheetId="1" r:id="rId1"/>
    <sheet name="PP" sheetId="2" r:id="rId2"/>
    <sheet name="CL" sheetId="3" r:id="rId3"/>
    <sheet name="AJP" sheetId="4" r:id="rId4"/>
    <sheet name="PPu" sheetId="5" r:id="rId5"/>
    <sheet name="CLu" sheetId="6" r:id="rId6"/>
    <sheet name="AJPu" sheetId="7" r:id="rId7"/>
  </sheets>
  <definedNames/>
  <calcPr fullCalcOnLoad="1"/>
</workbook>
</file>

<file path=xl/sharedStrings.xml><?xml version="1.0" encoding="utf-8"?>
<sst xmlns="http://schemas.openxmlformats.org/spreadsheetml/2006/main" count="1037" uniqueCount="87">
  <si>
    <t>lower bound</t>
  </si>
  <si>
    <t>upper bound</t>
  </si>
  <si>
    <t>significant (0.05)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</si>
  <si>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</si>
  <si>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</si>
  <si>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</si>
  <si>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</si>
  <si>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</t>
  </si>
  <si>
    <t>data</t>
  </si>
  <si>
    <t>Wilson</t>
  </si>
  <si>
    <t>z(crit)</t>
  </si>
  <si>
    <t>approximation</t>
  </si>
  <si>
    <t>(for plot)</t>
  </si>
  <si>
    <r>
      <t>adjusted</t>
    </r>
    <r>
      <rPr>
        <b/>
        <i/>
        <sz val="10"/>
        <rFont val="Arial"/>
        <family val="2"/>
      </rPr>
      <t xml:space="preserve"> p'</t>
    </r>
  </si>
  <si>
    <t>written</t>
  </si>
  <si>
    <t>all</t>
  </si>
  <si>
    <t>spoken</t>
  </si>
  <si>
    <t>w-</t>
  </si>
  <si>
    <t>w+</t>
  </si>
  <si>
    <t>p1-p2</t>
  </si>
  <si>
    <t>Difference in probabilities</t>
  </si>
  <si>
    <t>d1</t>
  </si>
  <si>
    <t>d2</t>
  </si>
  <si>
    <t>d2-d1</t>
  </si>
  <si>
    <t>Difference in gradient</t>
  </si>
  <si>
    <t>Can reuse NW interval for p2</t>
  </si>
  <si>
    <t>Wilson test: is the change significant?</t>
  </si>
  <si>
    <t>Wilson test</t>
  </si>
  <si>
    <t>separability tests: does speech differ from writing?</t>
  </si>
  <si>
    <t>u+</t>
  </si>
  <si>
    <t>u-</t>
  </si>
  <si>
    <t>First</t>
  </si>
  <si>
    <t>TOTAL</t>
  </si>
  <si>
    <t>Both</t>
  </si>
  <si>
    <t>ICE-GB</t>
  </si>
  <si>
    <t xml:space="preserve"> spoken</t>
  </si>
  <si>
    <t xml:space="preserve"> written</t>
  </si>
  <si>
    <t>CJ,PP</t>
  </si>
  <si>
    <t>CJ,NP</t>
  </si>
  <si>
    <t>ln</t>
  </si>
  <si>
    <t>u</t>
  </si>
  <si>
    <t>L</t>
  </si>
  <si>
    <t>U</t>
  </si>
  <si>
    <t>risk ratio</t>
  </si>
  <si>
    <t>o-</t>
  </si>
  <si>
    <t>o+</t>
  </si>
  <si>
    <t>d%</t>
  </si>
  <si>
    <t>p(first)</t>
  </si>
  <si>
    <t>p(second)</t>
  </si>
  <si>
    <t>ratio</t>
  </si>
  <si>
    <t>p</t>
  </si>
  <si>
    <t>PP</t>
  </si>
  <si>
    <t>p(last)</t>
  </si>
  <si>
    <t>Last</t>
  </si>
  <si>
    <t>- last</t>
  </si>
  <si>
    <t>+ last</t>
  </si>
  <si>
    <t>total</t>
  </si>
  <si>
    <t>- first</t>
  </si>
  <si>
    <t>+ first</t>
  </si>
  <si>
    <t>CL</t>
  </si>
  <si>
    <t>p'</t>
  </si>
  <si>
    <t>e'</t>
  </si>
  <si>
    <t>z2/n</t>
  </si>
  <si>
    <t>predicted</t>
  </si>
  <si>
    <t>none</t>
  </si>
  <si>
    <t>both</t>
  </si>
  <si>
    <t>AJP</t>
  </si>
  <si>
    <t>NP</t>
  </si>
  <si>
    <r>
      <t xml:space="preserve">Cramer's </t>
    </r>
    <r>
      <rPr>
        <sz val="10"/>
        <rFont val="Symbol"/>
        <family val="1"/>
      </rPr>
      <t>f</t>
    </r>
  </si>
  <si>
    <t>p(a)</t>
  </si>
  <si>
    <t>zero-based</t>
  </si>
  <si>
    <t>d'</t>
  </si>
  <si>
    <t>d-</t>
  </si>
  <si>
    <t>d+</t>
  </si>
  <si>
    <t>p(b)</t>
  </si>
  <si>
    <r>
      <t>f</t>
    </r>
    <r>
      <rPr>
        <sz val="10"/>
        <rFont val="Arial"/>
        <family val="0"/>
      </rPr>
      <t>-</t>
    </r>
  </si>
  <si>
    <r>
      <t>f</t>
    </r>
    <r>
      <rPr>
        <sz val="10"/>
        <rFont val="Arial"/>
        <family val="0"/>
      </rPr>
      <t>+</t>
    </r>
  </si>
  <si>
    <t>UNORDERED</t>
  </si>
  <si>
    <t>d</t>
  </si>
  <si>
    <t>phi</t>
  </si>
  <si>
    <t>initial</t>
  </si>
  <si>
    <t>final</t>
  </si>
  <si>
    <t>NW (final - initial)</t>
  </si>
  <si>
    <t>ratio final / initial</t>
  </si>
  <si>
    <t>log ratio</t>
  </si>
  <si>
    <t>p2/p1</t>
  </si>
  <si>
    <t>separability (all vs. unordered)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</si>
</sst>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  <numFmt numFmtId="173" formatCode="0.00000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??_-;_-@_-"/>
    <numFmt numFmtId="177" formatCode="_-* #,##0.000_-;\-* #,##0.000_-;_-* &quot;-&quot;??_-;_-@_-"/>
    <numFmt numFmtId="178" formatCode="_-* #,##0.0000_-;\-* #,##0.0000_-;_-* &quot;-&quot;??_-;_-@_-"/>
    <numFmt numFmtId="179" formatCode="0.000"/>
    <numFmt numFmtId="180" formatCode="0.000000000000000"/>
    <numFmt numFmtId="181" formatCode="0.0000000000000000"/>
    <numFmt numFmtId="182" formatCode="0.0000000000000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i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7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7" borderId="0" xfId="0" applyFont="1" applyFill="1" applyAlignment="1">
      <alignment/>
    </xf>
    <xf numFmtId="164" fontId="1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164" fontId="0" fillId="7" borderId="0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75" fontId="0" fillId="0" borderId="0" xfId="42" applyNumberFormat="1" applyAlignment="1">
      <alignment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CJ,PP +PP: last, first / first, last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63"/>
          <c:w val="0.941"/>
          <c:h val="0.800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position'!$D$15:$H$15</c:f>
                <c:numCache>
                  <c:ptCount val="2"/>
                  <c:pt idx="0">
                    <c:v>0.06702176605137916</c:v>
                  </c:pt>
                  <c:pt idx="1">
                    <c:v>0.17344199779273253</c:v>
                  </c:pt>
                </c:numCache>
              </c:numRef>
            </c:plus>
            <c:minus>
              <c:numRef>
                <c:f>'Conjoin position'!$D$16:$H$16</c:f>
                <c:numCache>
                  <c:ptCount val="2"/>
                  <c:pt idx="0">
                    <c:v>0.0570130522093571</c:v>
                  </c:pt>
                  <c:pt idx="1">
                    <c:v>0.21026068526960887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position'!$D$1:$E$1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position'!$D$5:$E$5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position'!$D$38:$H$38</c:f>
                <c:numCache>
                  <c:ptCount val="2"/>
                  <c:pt idx="0">
                    <c:v>0.09940551009713286</c:v>
                  </c:pt>
                  <c:pt idx="1">
                    <c:v>0.21197137888110543</c:v>
                  </c:pt>
                </c:numCache>
              </c:numRef>
            </c:plus>
            <c:minus>
              <c:numRef>
                <c:f>'Conjoin position'!$D$39:$H$39</c:f>
                <c:numCache>
                  <c:ptCount val="2"/>
                  <c:pt idx="0">
                    <c:v>0.07549671205546185</c:v>
                  </c:pt>
                  <c:pt idx="1">
                    <c:v>0.28256197532634497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position'!$D$24:$E$24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position'!$D$28:$E$28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position'!$D$56:$H$56</c:f>
                <c:numCache>
                  <c:ptCount val="2"/>
                  <c:pt idx="0">
                    <c:v>0.09423441072576214</c:v>
                  </c:pt>
                  <c:pt idx="1">
                    <c:v>0.23181936621239302</c:v>
                  </c:pt>
                </c:numCache>
              </c:numRef>
            </c:plus>
            <c:minus>
              <c:numRef>
                <c:f>'Conjoin position'!$D$57:$H$57</c:f>
                <c:numCache>
                  <c:ptCount val="2"/>
                  <c:pt idx="0">
                    <c:v>0.07790943419494836</c:v>
                  </c:pt>
                  <c:pt idx="1">
                    <c:v>0.28732576313429686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position'!$D$42:$E$42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position'!$D$46:$E$46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position'!$J$15:$V$15</c:f>
                <c:numCache>
                  <c:ptCount val="2"/>
                  <c:pt idx="0">
                    <c:v>0.053527694984538646</c:v>
                  </c:pt>
                  <c:pt idx="1">
                    <c:v>0.1409895905591812</c:v>
                  </c:pt>
                </c:numCache>
              </c:numRef>
            </c:plus>
            <c:minus>
              <c:numRef>
                <c:f>'Conjoin position'!$J$16:$V$16</c:f>
                <c:numCache>
                  <c:ptCount val="2"/>
                  <c:pt idx="0">
                    <c:v>0.03786188201441722</c:v>
                  </c:pt>
                  <c:pt idx="1">
                    <c:v>0.1072299368687349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position'!$J$1:$K$1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position'!$J$5:$K$5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position'!$J$38:$V$38</c:f>
                <c:numCache>
                  <c:ptCount val="2"/>
                  <c:pt idx="0">
                    <c:v>0.08763611612810933</c:v>
                  </c:pt>
                  <c:pt idx="1">
                    <c:v>0.2211832001033636</c:v>
                  </c:pt>
                </c:numCache>
              </c:numRef>
            </c:plus>
            <c:minus>
              <c:numRef>
                <c:f>'Conjoin position'!$J$39:$V$39</c:f>
                <c:numCache>
                  <c:ptCount val="2"/>
                  <c:pt idx="0">
                    <c:v>0.05558815279565664</c:v>
                  </c:pt>
                  <c:pt idx="1">
                    <c:v>0.17692565924826567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position'!$J$24:$K$24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position'!$J$28:$K$28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position'!$J$56:$V$56</c:f>
                <c:numCache>
                  <c:ptCount val="2"/>
                  <c:pt idx="0">
                    <c:v>0.07372176055858606</c:v>
                  </c:pt>
                  <c:pt idx="1">
                    <c:v>0.18109974239140325</c:v>
                  </c:pt>
                </c:numCache>
              </c:numRef>
            </c:plus>
            <c:minus>
              <c:numRef>
                <c:f>'Conjoin position'!$J$57:$V$57</c:f>
                <c:numCache>
                  <c:ptCount val="2"/>
                  <c:pt idx="0">
                    <c:v>0.044336802803121196</c:v>
                  </c:pt>
                  <c:pt idx="1">
                    <c:v>0.11216095758142375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position'!$J$42:$K$42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position'!$J$46:$K$46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 val="autoZero"/>
        <c:crossBetween val="midCat"/>
        <c:dispUnits/>
        <c:majorUnit val="1"/>
      </c:valAx>
      <c:valAx>
        <c:axId val="3279105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'CL'!$A$4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'CL'!$O$39:$Q$39</c:f>
                <c:numCache>
                  <c:ptCount val="3"/>
                  <c:pt idx="0">
                    <c:v>0.0036347367207920124</c:v>
                  </c:pt>
                  <c:pt idx="1">
                    <c:v>0.0112730848365932</c:v>
                  </c:pt>
                  <c:pt idx="2">
                    <c:v>0.005477994076901934</c:v>
                  </c:pt>
                </c:numCache>
              </c:numRef>
            </c:plus>
            <c:minus>
              <c:numRef>
                <c:f>'CL'!$O$35:$Q$35</c:f>
                <c:numCache>
                  <c:ptCount val="3"/>
                  <c:pt idx="0">
                    <c:v>0.001920585429894307</c:v>
                  </c:pt>
                  <c:pt idx="1">
                    <c:v>0.009781671968774441</c:v>
                  </c:pt>
                  <c:pt idx="2">
                    <c:v>0.0037918797903078744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'CL'!$O$15:$R$15</c:f>
              <c:numCache/>
            </c:numRef>
          </c:val>
        </c:ser>
        <c:ser>
          <c:idx val="1"/>
          <c:order val="1"/>
          <c:tx>
            <c:strRef>
              <c:f>'CL'!$A$5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'CL'!$O$40:$Q$40</c:f>
                <c:numCache>
                  <c:ptCount val="3"/>
                  <c:pt idx="0">
                    <c:v>0.007952286942992983</c:v>
                  </c:pt>
                  <c:pt idx="1">
                    <c:v>0.02164297644997544</c:v>
                  </c:pt>
                  <c:pt idx="2">
                    <c:v>0.011179072048074092</c:v>
                  </c:pt>
                </c:numCache>
              </c:numRef>
            </c:plus>
            <c:minus>
              <c:numRef>
                <c:f>'CL'!$O$36:$Q$36</c:f>
                <c:numCache>
                  <c:ptCount val="3"/>
                  <c:pt idx="0">
                    <c:v>0.0034276630141656193</c:v>
                  </c:pt>
                  <c:pt idx="1">
                    <c:v>0.01791907384673451</c:v>
                  </c:pt>
                  <c:pt idx="2">
                    <c:v>0.006753167186784778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'CL'!$O$16:$R$16</c:f>
              <c:numCache/>
            </c:numRef>
          </c:val>
        </c:ser>
        <c:ser>
          <c:idx val="2"/>
          <c:order val="2"/>
          <c:tx>
            <c:strRef>
              <c:f>'CL'!$A$6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'CL'!$O$41:$Q$41</c:f>
                <c:numCache>
                  <c:ptCount val="3"/>
                  <c:pt idx="0">
                    <c:v>0.0045176135418555</c:v>
                  </c:pt>
                  <c:pt idx="1">
                    <c:v>0.013136000562894726</c:v>
                  </c:pt>
                  <c:pt idx="2">
                    <c:v>0.006611459130032677</c:v>
                  </c:pt>
                </c:numCache>
              </c:numRef>
            </c:plus>
            <c:minus>
              <c:numRef>
                <c:f>'CL'!$O$37:$Q$37</c:f>
                <c:numCache>
                  <c:ptCount val="3"/>
                  <c:pt idx="0">
                    <c:v>0.0017656835193565522</c:v>
                  </c:pt>
                  <c:pt idx="1">
                    <c:v>0.010664063420591903</c:v>
                  </c:pt>
                  <c:pt idx="2">
                    <c:v>0.0038955281921303755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'CL'!$O$17:$R$17</c:f>
              <c:numCache/>
            </c:numRef>
          </c:val>
        </c:ser>
        <c:axId val="43840463"/>
        <c:axId val="59019848"/>
      </c:bar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auto val="1"/>
        <c:lblOffset val="100"/>
        <c:noMultiLvlLbl val="0"/>
      </c:catAx>
      <c:valAx>
        <c:axId val="59019848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384046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AJP!$A$4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AJP!$C$39:$E$39</c:f>
                <c:numCache>
                  <c:ptCount val="3"/>
                  <c:pt idx="0">
                    <c:v>0.05352772890963582</c:v>
                  </c:pt>
                  <c:pt idx="1">
                    <c:v>0.06126080659890948</c:v>
                  </c:pt>
                  <c:pt idx="2">
                    <c:v>0.04600170275008317</c:v>
                  </c:pt>
                </c:numCache>
              </c:numRef>
            </c:plus>
            <c:minus>
              <c:numRef>
                <c:f>AJP!$C$35:$E$35</c:f>
                <c:numCache>
                  <c:ptCount val="3"/>
                  <c:pt idx="0">
                    <c:v>0.0378618989877971</c:v>
                  </c:pt>
                  <c:pt idx="1">
                    <c:v>0.04820594833071051</c:v>
                  </c:pt>
                  <c:pt idx="2">
                    <c:v>0.02859522505915124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AJP!$C$15:$F$15</c:f>
              <c:numCache/>
            </c:numRef>
          </c:val>
        </c:ser>
        <c:ser>
          <c:idx val="1"/>
          <c:order val="1"/>
          <c:tx>
            <c:strRef>
              <c:f>AJP!$A$5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AJP!$C$40:$E$40</c:f>
                <c:numCache>
                  <c:ptCount val="3"/>
                  <c:pt idx="0">
                    <c:v>0.07745851007158788</c:v>
                  </c:pt>
                  <c:pt idx="1">
                    <c:v>0.089116560937299</c:v>
                  </c:pt>
                  <c:pt idx="2">
                    <c:v>0.05783511470049966</c:v>
                  </c:pt>
                </c:numCache>
              </c:numRef>
            </c:plus>
            <c:minus>
              <c:numRef>
                <c:f>AJP!$C$36:$E$36</c:f>
                <c:numCache>
                  <c:ptCount val="3"/>
                  <c:pt idx="0">
                    <c:v>0.049524631620455076</c:v>
                  </c:pt>
                  <c:pt idx="1">
                    <c:v>0.06771268004617123</c:v>
                  </c:pt>
                  <c:pt idx="2">
                    <c:v>0.02409679397380675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AJP!$C$16:$F$16</c:f>
              <c:numCache/>
            </c:numRef>
          </c:val>
        </c:ser>
        <c:ser>
          <c:idx val="2"/>
          <c:order val="2"/>
          <c:tx>
            <c:strRef>
              <c:f>AJP!$A$6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AJP!$C$41:$E$41</c:f>
                <c:numCache>
                  <c:ptCount val="3"/>
                  <c:pt idx="0">
                    <c:v>0.08325268475979448</c:v>
                  </c:pt>
                  <c:pt idx="1">
                    <c:v>0.0895646761699434</c:v>
                  </c:pt>
                  <c:pt idx="2">
                    <c:v>0.08325268475979448</c:v>
                  </c:pt>
                </c:numCache>
              </c:numRef>
            </c:plus>
            <c:minus>
              <c:numRef>
                <c:f>AJP!$C$37:$E$37</c:f>
                <c:numCache>
                  <c:ptCount val="3"/>
                  <c:pt idx="0">
                    <c:v>0.04916989409019151</c:v>
                  </c:pt>
                  <c:pt idx="1">
                    <c:v>0.05853407570955864</c:v>
                  </c:pt>
                  <c:pt idx="2">
                    <c:v>0.04916989409019151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AJP!$C$17:$F$17</c:f>
              <c:numCache/>
            </c:numRef>
          </c:val>
        </c:ser>
        <c:axId val="61416585"/>
        <c:axId val="15878354"/>
      </c:bar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8354"/>
        <c:crosses val="autoZero"/>
        <c:auto val="1"/>
        <c:lblOffset val="100"/>
        <c:noMultiLvlLbl val="0"/>
      </c:catAx>
      <c:valAx>
        <c:axId val="15878354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61416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AJP!$A$4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AJP!$O$39:$Q$39</c:f>
                <c:numCache>
                  <c:ptCount val="3"/>
                  <c:pt idx="0">
                    <c:v>0.014133530749361481</c:v>
                  </c:pt>
                  <c:pt idx="1">
                    <c:v>0.011696112753418364</c:v>
                  </c:pt>
                  <c:pt idx="2">
                    <c:v>0.010657532918765894</c:v>
                  </c:pt>
                </c:numCache>
              </c:numRef>
            </c:plus>
            <c:minus>
              <c:numRef>
                <c:f>AJP!$O$35:$Q$35</c:f>
                <c:numCache>
                  <c:ptCount val="3"/>
                  <c:pt idx="0">
                    <c:v>0.012816570352765413</c:v>
                  </c:pt>
                  <c:pt idx="1">
                    <c:v>0.010226506444502459</c:v>
                  </c:pt>
                  <c:pt idx="2">
                    <c:v>0.009136525435293294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AJP!$O$15:$R$15</c:f>
              <c:numCache/>
            </c:numRef>
          </c:val>
        </c:ser>
        <c:ser>
          <c:idx val="1"/>
          <c:order val="1"/>
          <c:tx>
            <c:strRef>
              <c:f>AJP!$A$5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AJP!$O$40:$Q$40</c:f>
                <c:numCache>
                  <c:ptCount val="3"/>
                  <c:pt idx="0">
                    <c:v>0.02256622845231082</c:v>
                  </c:pt>
                  <c:pt idx="1">
                    <c:v>0.018891509096629316</c:v>
                  </c:pt>
                  <c:pt idx="2">
                    <c:v>0.01715035919939023</c:v>
                  </c:pt>
                </c:numCache>
              </c:numRef>
            </c:plus>
            <c:minus>
              <c:numRef>
                <c:f>AJP!$O$36:$Q$36</c:f>
                <c:numCache>
                  <c:ptCount val="3"/>
                  <c:pt idx="0">
                    <c:v>0.018941044916607946</c:v>
                  </c:pt>
                  <c:pt idx="1">
                    <c:v>0.014915324431902244</c:v>
                  </c:pt>
                  <c:pt idx="2">
                    <c:v>0.013042549111279084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AJP!$O$16:$R$16</c:f>
              <c:numCache/>
            </c:numRef>
          </c:val>
        </c:ser>
        <c:ser>
          <c:idx val="2"/>
          <c:order val="2"/>
          <c:tx>
            <c:strRef>
              <c:f>AJP!$A$6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AJP!$O$41:$Q$41</c:f>
                <c:numCache>
                  <c:ptCount val="3"/>
                  <c:pt idx="0">
                    <c:v>0.018630538413682507</c:v>
                  </c:pt>
                  <c:pt idx="1">
                    <c:v>0.015498639166015224</c:v>
                  </c:pt>
                  <c:pt idx="2">
                    <c:v>0.014232402160472585</c:v>
                  </c:pt>
                </c:numCache>
              </c:numRef>
            </c:plus>
            <c:minus>
              <c:numRef>
                <c:f>AJP!$O$37:$Q$37</c:f>
                <c:numCache>
                  <c:ptCount val="3"/>
                  <c:pt idx="0">
                    <c:v>0.016570590795096873</c:v>
                  </c:pt>
                  <c:pt idx="1">
                    <c:v>0.013174698260387488</c:v>
                  </c:pt>
                  <c:pt idx="2">
                    <c:v>0.011824463390786022</c:v>
                  </c:pt>
                </c:numCache>
              </c:numRef>
            </c:minus>
            <c:noEndCap val="0"/>
          </c:errBars>
          <c:cat>
            <c:strRef>
              <c:f>AJP!$C$10:$F$10</c:f>
              <c:strCache/>
            </c:strRef>
          </c:cat>
          <c:val>
            <c:numRef>
              <c:f>AJP!$O$17:$R$17</c:f>
              <c:numCache/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8687459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PPu!$A$4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PPu!$C$39:$E$39</c:f>
                <c:numCache>
                  <c:ptCount val="3"/>
                  <c:pt idx="0">
                    <c:v>0.06037869683846295</c:v>
                  </c:pt>
                  <c:pt idx="1">
                    <c:v>0.08027954823998928</c:v>
                  </c:pt>
                  <c:pt idx="2">
                    <c:v>0.06532256702269523</c:v>
                  </c:pt>
                </c:numCache>
              </c:numRef>
            </c:plus>
            <c:minus>
              <c:numRef>
                <c:f>PPu!$C$35:$E$35</c:f>
                <c:numCache>
                  <c:ptCount val="3"/>
                  <c:pt idx="0">
                    <c:v>0.029847797709018492</c:v>
                  </c:pt>
                  <c:pt idx="1">
                    <c:v>0.05674531349437589</c:v>
                  </c:pt>
                  <c:pt idx="2">
                    <c:v>0.036063788690311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PPu!$C$15:$F$15</c:f>
              <c:numCache/>
            </c:numRef>
          </c:val>
        </c:ser>
        <c:ser>
          <c:idx val="1"/>
          <c:order val="1"/>
          <c:tx>
            <c:strRef>
              <c:f>PP!$A$5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PPu!$C$40:$E$40</c:f>
                <c:numCache>
                  <c:ptCount val="3"/>
                  <c:pt idx="0">
                    <c:v>0.09460070768359077</c:v>
                  </c:pt>
                  <c:pt idx="1">
                    <c:v>0.1303708448339721</c:v>
                  </c:pt>
                  <c:pt idx="2">
                    <c:v>0.09460070768359077</c:v>
                  </c:pt>
                </c:numCache>
              </c:numRef>
            </c:plus>
            <c:minus>
              <c:numRef>
                <c:f>PPu!$C$36:$E$36</c:f>
                <c:numCache>
                  <c:ptCount val="3"/>
                  <c:pt idx="0">
                    <c:v>0.0289610970037966</c:v>
                  </c:pt>
                  <c:pt idx="1">
                    <c:v>0.08756240308628029</c:v>
                  </c:pt>
                  <c:pt idx="2">
                    <c:v>0.0289610970037966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PP!$C$16:$F$16</c:f>
              <c:numCache>
                <c:ptCount val="4"/>
                <c:pt idx="0">
                  <c:v>0.039603960396039604</c:v>
                </c:pt>
                <c:pt idx="1">
                  <c:v>0.21782178217821782</c:v>
                </c:pt>
                <c:pt idx="2">
                  <c:v>0.0594059405940594</c:v>
                </c:pt>
                <c:pt idx="3">
                  <c:v>0.027448289383393786</c:v>
                </c:pt>
              </c:numCache>
            </c:numRef>
          </c:val>
        </c:ser>
        <c:ser>
          <c:idx val="2"/>
          <c:order val="2"/>
          <c:tx>
            <c:strRef>
              <c:f>PP!$A$6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PPu!$C$41:$E$41</c:f>
                <c:numCache>
                  <c:ptCount val="3"/>
                  <c:pt idx="0">
                    <c:v>0.09537096175562279</c:v>
                  </c:pt>
                  <c:pt idx="1">
                    <c:v>0.10810369331394017</c:v>
                  </c:pt>
                  <c:pt idx="2">
                    <c:v>0.10443256426027824</c:v>
                  </c:pt>
                </c:numCache>
              </c:numRef>
            </c:plus>
            <c:minus>
              <c:numRef>
                <c:f>PPu!$C$37:$E$37</c:f>
                <c:numCache>
                  <c:ptCount val="3"/>
                  <c:pt idx="0">
                    <c:v>0.041821234813869415</c:v>
                  </c:pt>
                  <c:pt idx="1">
                    <c:v>0.060979933605197253</c:v>
                  </c:pt>
                  <c:pt idx="2">
                    <c:v>0.05516681547386511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PP!$C$17:$F$17</c:f>
              <c:numCache>
                <c:ptCount val="4"/>
                <c:pt idx="0">
                  <c:v>0.047058823529411764</c:v>
                </c:pt>
                <c:pt idx="1">
                  <c:v>0.1411764705882353</c:v>
                </c:pt>
                <c:pt idx="2">
                  <c:v>0.08235294117647059</c:v>
                </c:pt>
                <c:pt idx="3">
                  <c:v>0.02892733564013841</c:v>
                </c:pt>
              </c:numCache>
            </c:numRef>
          </c:val>
        </c:ser>
        <c:axId val="32595549"/>
        <c:axId val="24924486"/>
      </c:bar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2595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PPu!$A$4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PPu!$O$39:$Q$39</c:f>
                <c:numCache>
                  <c:ptCount val="3"/>
                  <c:pt idx="0">
                    <c:v>0.006852766408339383</c:v>
                  </c:pt>
                  <c:pt idx="1">
                    <c:v>0.015082564946202887</c:v>
                  </c:pt>
                  <c:pt idx="2">
                    <c:v>0.007530880983045062</c:v>
                  </c:pt>
                </c:numCache>
              </c:numRef>
            </c:plus>
            <c:minus>
              <c:numRef>
                <c:f>PPu!$O$35:$Q$35</c:f>
                <c:numCache>
                  <c:ptCount val="3"/>
                  <c:pt idx="0">
                    <c:v>0.005059429783190256</c:v>
                  </c:pt>
                  <c:pt idx="1">
                    <c:v>0.013691573678085739</c:v>
                  </c:pt>
                  <c:pt idx="2">
                    <c:v>0.0057556680226271036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PPu!$O$15:$R$15</c:f>
              <c:numCache/>
            </c:numRef>
          </c:val>
        </c:ser>
        <c:ser>
          <c:idx val="1"/>
          <c:order val="1"/>
          <c:tx>
            <c:strRef>
              <c:f>PPu!$A$5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PPu!$O$40:$Q$40</c:f>
                <c:numCache>
                  <c:ptCount val="3"/>
                  <c:pt idx="0">
                    <c:v>0.013839779926132667</c:v>
                  </c:pt>
                  <c:pt idx="1">
                    <c:v>0.025123203517100956</c:v>
                  </c:pt>
                  <c:pt idx="2">
                    <c:v>0.01268520002325883</c:v>
                  </c:pt>
                </c:numCache>
              </c:numRef>
            </c:plus>
            <c:minus>
              <c:numRef>
                <c:f>PPu!$O$36:$Q$36</c:f>
                <c:numCache>
                  <c:ptCount val="3"/>
                  <c:pt idx="0">
                    <c:v>0.009020290254976332</c:v>
                  </c:pt>
                  <c:pt idx="1">
                    <c:v>0.021260871235181278</c:v>
                  </c:pt>
                  <c:pt idx="2">
                    <c:v>0.007811785992145492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PPu!$O$16:$R$16</c:f>
              <c:numCache/>
            </c:numRef>
          </c:val>
        </c:ser>
        <c:ser>
          <c:idx val="2"/>
          <c:order val="2"/>
          <c:tx>
            <c:strRef>
              <c:f>PPu!$A$6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PPu!$O$41:$Q$41</c:f>
                <c:numCache>
                  <c:ptCount val="3"/>
                  <c:pt idx="0">
                    <c:v>0.008234249897264118</c:v>
                  </c:pt>
                  <c:pt idx="1">
                    <c:v>0.019409359882529564</c:v>
                  </c:pt>
                  <c:pt idx="2">
                    <c:v>0.01013992059960071</c:v>
                  </c:pt>
                </c:numCache>
              </c:numRef>
            </c:plus>
            <c:minus>
              <c:numRef>
                <c:f>PPu!$O$37:$Q$37</c:f>
                <c:numCache>
                  <c:ptCount val="3"/>
                  <c:pt idx="0">
                    <c:v>0.0053871068889765825</c:v>
                  </c:pt>
                  <c:pt idx="1">
                    <c:v>0.017242467814513274</c:v>
                  </c:pt>
                  <c:pt idx="2">
                    <c:v>0.007355847214914477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PPu!$O$17:$R$17</c:f>
              <c:numCache/>
            </c:numRef>
          </c:val>
        </c:ser>
        <c:axId val="22993783"/>
        <c:axId val="5617456"/>
      </c:bar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2993783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5"/>
          <c:w val="0.957"/>
          <c:h val="0.9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PPu!$A$62</c:f>
              <c:strCache>
                <c:ptCount val="1"/>
                <c:pt idx="0">
                  <c:v>AJP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PPu!$C$70:$F$70</c:f>
                <c:numCache>
                  <c:ptCount val="4"/>
                  <c:pt idx="0">
                    <c:v>0.05352772890963582</c:v>
                  </c:pt>
                  <c:pt idx="1">
                    <c:v>0.06126080659890948</c:v>
                  </c:pt>
                  <c:pt idx="2">
                    <c:v>0.04600170275008317</c:v>
                  </c:pt>
                  <c:pt idx="3">
                    <c:v>NaN</c:v>
                  </c:pt>
                </c:numCache>
              </c:numRef>
            </c:plus>
            <c:minus>
              <c:numRef>
                <c:f>PPu!$C$66:$F$66</c:f>
                <c:numCache>
                  <c:ptCount val="4"/>
                  <c:pt idx="0">
                    <c:v>0.0378618989877971</c:v>
                  </c:pt>
                  <c:pt idx="1">
                    <c:v>0.04820594833071051</c:v>
                  </c:pt>
                  <c:pt idx="2">
                    <c:v>0.02859522505915124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PPu!$A$60</c:f>
              <c:strCache>
                <c:ptCount val="1"/>
                <c:pt idx="0">
                  <c:v>PP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PPu!$C$68:$E$68</c:f>
                <c:numCache>
                  <c:ptCount val="3"/>
                  <c:pt idx="0">
                    <c:v>0.06037869683846295</c:v>
                  </c:pt>
                  <c:pt idx="1">
                    <c:v>0.08027954823998928</c:v>
                  </c:pt>
                  <c:pt idx="2">
                    <c:v>0.06532256702269523</c:v>
                  </c:pt>
                </c:numCache>
              </c:numRef>
            </c:plus>
            <c:minus>
              <c:numRef>
                <c:f>PPu!$C$64:$E$64</c:f>
                <c:numCache>
                  <c:ptCount val="3"/>
                  <c:pt idx="0">
                    <c:v>0.029847797709018492</c:v>
                  </c:pt>
                  <c:pt idx="1">
                    <c:v>0.05674531349437589</c:v>
                  </c:pt>
                  <c:pt idx="2">
                    <c:v>0.036063788690311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PPu!$C$60:$F$60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PPu!$A$61</c:f>
              <c:strCache>
                <c:ptCount val="1"/>
                <c:pt idx="0">
                  <c:v>CL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PPu!$C$69:$E$69</c:f>
                <c:numCache>
                  <c:ptCount val="3"/>
                  <c:pt idx="0">
                    <c:v>0.032476027441676075</c:v>
                  </c:pt>
                  <c:pt idx="1">
                    <c:v>0.05352772890963582</c:v>
                  </c:pt>
                  <c:pt idx="2">
                    <c:v>0.032476027441676075</c:v>
                  </c:pt>
                </c:numCache>
              </c:numRef>
            </c:plus>
            <c:minus>
              <c:numRef>
                <c:f>PPu!$C$65:$E$65</c:f>
                <c:numCache>
                  <c:ptCount val="3"/>
                  <c:pt idx="0">
                    <c:v>0.01311132101051432</c:v>
                  </c:pt>
                  <c:pt idx="1">
                    <c:v>0.0378618989877971</c:v>
                  </c:pt>
                  <c:pt idx="2">
                    <c:v>0.01311132101051432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557105"/>
        <c:axId val="52360762"/>
      </c:bar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0762"/>
        <c:crosses val="autoZero"/>
        <c:auto val="1"/>
        <c:lblOffset val="100"/>
        <c:noMultiLvlLbl val="0"/>
      </c:catAx>
      <c:valAx>
        <c:axId val="52360762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055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PPu!$A$62</c:f>
              <c:strCache>
                <c:ptCount val="1"/>
                <c:pt idx="0">
                  <c:v>AJP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PPu!$O$70:$R$70</c:f>
                <c:numCache>
                  <c:ptCount val="4"/>
                  <c:pt idx="0">
                    <c:v>0.014133530749361481</c:v>
                  </c:pt>
                  <c:pt idx="1">
                    <c:v>0.011696112753418364</c:v>
                  </c:pt>
                  <c:pt idx="2">
                    <c:v>0.010657532918765894</c:v>
                  </c:pt>
                  <c:pt idx="3">
                    <c:v>NaN</c:v>
                  </c:pt>
                </c:numCache>
              </c:numRef>
            </c:plus>
            <c:minus>
              <c:numRef>
                <c:f>PPu!$O$66:$R$66</c:f>
                <c:numCache>
                  <c:ptCount val="4"/>
                  <c:pt idx="0">
                    <c:v>0.012816570352765413</c:v>
                  </c:pt>
                  <c:pt idx="1">
                    <c:v>0.010226506444502459</c:v>
                  </c:pt>
                  <c:pt idx="2">
                    <c:v>0.009136525435293294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PPu!$O$62:$R$62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PPu!$A$60</c:f>
              <c:strCache>
                <c:ptCount val="1"/>
                <c:pt idx="0">
                  <c:v>PP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PPu!$O$68:$R$68</c:f>
                <c:numCache>
                  <c:ptCount val="4"/>
                  <c:pt idx="0">
                    <c:v>0.006852766408339383</c:v>
                  </c:pt>
                  <c:pt idx="1">
                    <c:v>0.015082564946202887</c:v>
                  </c:pt>
                  <c:pt idx="2">
                    <c:v>0.007530880983045062</c:v>
                  </c:pt>
                  <c:pt idx="3">
                    <c:v>NaN</c:v>
                  </c:pt>
                </c:numCache>
              </c:numRef>
            </c:plus>
            <c:minus>
              <c:numRef>
                <c:f>PPu!$O$64:$R$64</c:f>
                <c:numCache>
                  <c:ptCount val="4"/>
                  <c:pt idx="0">
                    <c:v>0.005059429783190256</c:v>
                  </c:pt>
                  <c:pt idx="1">
                    <c:v>0.013691573678085739</c:v>
                  </c:pt>
                  <c:pt idx="2">
                    <c:v>0.0057556680226271036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PPu!$O$60:$R$60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PPu!$A$61</c:f>
              <c:strCache>
                <c:ptCount val="1"/>
                <c:pt idx="0">
                  <c:v>CL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PPu!$O$69:$R$69</c:f>
                <c:numCache>
                  <c:ptCount val="4"/>
                  <c:pt idx="0">
                    <c:v>0.0036347367207920124</c:v>
                  </c:pt>
                  <c:pt idx="1">
                    <c:v>0.0112730848365932</c:v>
                  </c:pt>
                  <c:pt idx="2">
                    <c:v>0.005477994076901934</c:v>
                  </c:pt>
                  <c:pt idx="3">
                    <c:v>NaN</c:v>
                  </c:pt>
                </c:numCache>
              </c:numRef>
            </c:plus>
            <c:minus>
              <c:numRef>
                <c:f>PPu!$O$65:$R$65</c:f>
                <c:numCache>
                  <c:ptCount val="4"/>
                  <c:pt idx="0">
                    <c:v>0.001920585429894307</c:v>
                  </c:pt>
                  <c:pt idx="1">
                    <c:v>0.009781671968774441</c:v>
                  </c:pt>
                  <c:pt idx="2">
                    <c:v>0.0037918797903078744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PPu!$C$10:$F$10</c:f>
              <c:strCache/>
            </c:strRef>
          </c:cat>
          <c:val>
            <c:numRef>
              <c:f>PPu!$O$61:$R$61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1"/>
        <c:lblOffset val="100"/>
        <c:noMultiLvlLbl val="0"/>
      </c:catAx>
      <c:valAx>
        <c:axId val="13363300"/>
        <c:scaling>
          <c:orientation val="minMax"/>
          <c:max val="0.1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48481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CLu!$C$39:$E$39</c:f>
                <c:numCache>
                  <c:ptCount val="3"/>
                  <c:pt idx="0">
                    <c:v>0.046500426295953995</c:v>
                  </c:pt>
                  <c:pt idx="1">
                    <c:v>0.07137308336738878</c:v>
                  </c:pt>
                  <c:pt idx="2">
                    <c:v>0.05072550434660057</c:v>
                  </c:pt>
                </c:numCache>
              </c:numRef>
            </c:plus>
            <c:minus>
              <c:numRef>
                <c:f>CLu!$C$35:$E$35</c:f>
                <c:numCache>
                  <c:ptCount val="3"/>
                  <c:pt idx="0">
                    <c:v>0.013425285572389173</c:v>
                  </c:pt>
                  <c:pt idx="1">
                    <c:v>0.044022486230594814</c:v>
                  </c:pt>
                  <c:pt idx="2">
                    <c:v>0.018286424021565842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CLu!$C$15:$F$15</c:f>
              <c:numCache/>
            </c:numRef>
          </c:val>
        </c:ser>
        <c:ser>
          <c:idx val="1"/>
          <c:order val="1"/>
          <c:tx>
            <c:strRef>
              <c:f>CLu!$A$5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CLu!$C$40:$E$40</c:f>
                <c:numCache>
                  <c:ptCount val="3"/>
                  <c:pt idx="0">
                    <c:v>0.07134740291281978</c:v>
                  </c:pt>
                  <c:pt idx="1">
                    <c:v>0.1021707140773116</c:v>
                  </c:pt>
                  <c:pt idx="2">
                    <c:v>0.08495424017678614</c:v>
                  </c:pt>
                </c:numCache>
              </c:numRef>
            </c:plus>
            <c:minus>
              <c:numRef>
                <c:f>CLu!$C$36:$E$36</c:f>
                <c:numCache>
                  <c:ptCount val="3"/>
                  <c:pt idx="0">
                    <c:v>0</c:v>
                  </c:pt>
                  <c:pt idx="1">
                    <c:v>0.0393849995140302</c:v>
                  </c:pt>
                  <c:pt idx="2">
                    <c:v>0.01646073338047917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CLu!$C$16:$F$16</c:f>
              <c:numCache/>
            </c:numRef>
          </c:val>
        </c:ser>
        <c:ser>
          <c:idx val="2"/>
          <c:order val="2"/>
          <c:tx>
            <c:strRef>
              <c:f>CLu!$A$6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CLu!$C$41:$E$41</c:f>
                <c:numCache>
                  <c:ptCount val="3"/>
                  <c:pt idx="0">
                    <c:v>0.082808519313002</c:v>
                  </c:pt>
                  <c:pt idx="1">
                    <c:v>0.11132786610406786</c:v>
                  </c:pt>
                  <c:pt idx="2">
                    <c:v>0.082808519313002</c:v>
                  </c:pt>
                </c:numCache>
              </c:numRef>
            </c:plus>
            <c:minus>
              <c:numRef>
                <c:f>CLu!$C$37:$E$37</c:f>
                <c:numCache>
                  <c:ptCount val="3"/>
                  <c:pt idx="0">
                    <c:v>0.024974814215908345</c:v>
                  </c:pt>
                  <c:pt idx="1">
                    <c:v>0.06634609547299503</c:v>
                  </c:pt>
                  <c:pt idx="2">
                    <c:v>0.024974814215908345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CLu!$C$17:$F$17</c:f>
              <c:numCache/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3160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CLu!$O$39:$Q$39</c:f>
                <c:numCache>
                  <c:ptCount val="3"/>
                  <c:pt idx="0">
                    <c:v>0.003432520572840076</c:v>
                  </c:pt>
                  <c:pt idx="1">
                    <c:v>0.011673321218640231</c:v>
                  </c:pt>
                  <c:pt idx="2">
                    <c:v>0.005541436833485933</c:v>
                  </c:pt>
                </c:numCache>
              </c:numRef>
            </c:plus>
            <c:minus>
              <c:numRef>
                <c:f>CLu!$O$35:$Q$35</c:f>
                <c:numCache>
                  <c:ptCount val="3"/>
                  <c:pt idx="0">
                    <c:v>0.0015793758540780987</c:v>
                  </c:pt>
                  <c:pt idx="1">
                    <c:v>0.010061221240802803</c:v>
                  </c:pt>
                  <c:pt idx="2">
                    <c:v>0.003719102344766939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CLu!$O$15:$R$15</c:f>
              <c:numCache/>
            </c:numRef>
          </c:val>
        </c:ser>
        <c:ser>
          <c:idx val="1"/>
          <c:order val="1"/>
          <c:tx>
            <c:strRef>
              <c:f>CLu!$A$5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CLu!$O$40:$Q$40</c:f>
                <c:numCache>
                  <c:ptCount val="3"/>
                  <c:pt idx="0">
                    <c:v>0.007663402336599765</c:v>
                  </c:pt>
                  <c:pt idx="1">
                    <c:v>0.022856446842268285</c:v>
                  </c:pt>
                  <c:pt idx="2">
                    <c:v>0.01135931525535157</c:v>
                  </c:pt>
                </c:numCache>
              </c:numRef>
            </c:plus>
            <c:minus>
              <c:numRef>
                <c:f>CLu!$O$36:$Q$36</c:f>
                <c:numCache>
                  <c:ptCount val="3"/>
                  <c:pt idx="0">
                    <c:v>0.002628215225615447</c:v>
                  </c:pt>
                  <c:pt idx="1">
                    <c:v>0.01872449276056362</c:v>
                  </c:pt>
                  <c:pt idx="2">
                    <c:v>0.006431976864281241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CLu!$O$16:$R$16</c:f>
              <c:numCache/>
            </c:numRef>
          </c:val>
        </c:ser>
        <c:ser>
          <c:idx val="2"/>
          <c:order val="2"/>
          <c:tx>
            <c:strRef>
              <c:f>CLu!$A$6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CLu!$O$41:$Q$41</c:f>
                <c:numCache>
                  <c:ptCount val="3"/>
                  <c:pt idx="0">
                    <c:v>0.004441621998543041</c:v>
                  </c:pt>
                  <c:pt idx="1">
                    <c:v>0.01351656278753105</c:v>
                  </c:pt>
                  <c:pt idx="2">
                    <c:v>0.006813675125865259</c:v>
                  </c:pt>
                </c:numCache>
              </c:numRef>
            </c:plus>
            <c:minus>
              <c:numRef>
                <c:f>CLu!$O$37:$Q$37</c:f>
                <c:numCache>
                  <c:ptCount val="3"/>
                  <c:pt idx="0">
                    <c:v>0.0015178944473110598</c:v>
                  </c:pt>
                  <c:pt idx="1">
                    <c:v>0.010890163461848075</c:v>
                  </c:pt>
                  <c:pt idx="2">
                    <c:v>0.003930492332662689</c:v>
                  </c:pt>
                </c:numCache>
              </c:numRef>
            </c:minus>
            <c:noEndCap val="0"/>
          </c:errBars>
          <c:cat>
            <c:strRef>
              <c:f>CLu!$C$10:$F$10</c:f>
              <c:strCache/>
            </c:strRef>
          </c:cat>
          <c:val>
            <c:numRef>
              <c:f>CLu!$O$17:$R$17</c:f>
              <c:numCache/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5736"/>
        <c:crosses val="autoZero"/>
        <c:auto val="1"/>
        <c:lblOffset val="100"/>
        <c:noMultiLvlLbl val="0"/>
      </c:catAx>
      <c:valAx>
        <c:axId val="32435736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106051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AJPu!$A$4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AJPu!$C$39:$E$39</c:f>
                <c:numCache>
                  <c:ptCount val="3"/>
                  <c:pt idx="0">
                    <c:v>0.07311292704493302</c:v>
                  </c:pt>
                  <c:pt idx="1">
                    <c:v>0.07473815189715764</c:v>
                  </c:pt>
                  <c:pt idx="2">
                    <c:v>0.06296143045853282</c:v>
                  </c:pt>
                </c:numCache>
              </c:numRef>
            </c:plus>
            <c:minus>
              <c:numRef>
                <c:f>AJPu!$C$35:$E$35</c:f>
                <c:numCache>
                  <c:ptCount val="3"/>
                  <c:pt idx="0">
                    <c:v>0.046398390306669146</c:v>
                  </c:pt>
                  <c:pt idx="1">
                    <c:v>0.048659675557423857</c:v>
                  </c:pt>
                  <c:pt idx="2">
                    <c:v>0.03306659172761846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AJPu!$C$15:$F$15</c:f>
              <c:numCache/>
            </c:numRef>
          </c:val>
        </c:ser>
        <c:ser>
          <c:idx val="1"/>
          <c:order val="1"/>
          <c:tx>
            <c:strRef>
              <c:f>AJPu!$A$5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AJPu!$C$40:$E$40</c:f>
                <c:numCache>
                  <c:ptCount val="3"/>
                  <c:pt idx="0">
                    <c:v>0.11360210574924529</c:v>
                  </c:pt>
                  <c:pt idx="1">
                    <c:v>0.1180479631063131</c:v>
                  </c:pt>
                  <c:pt idx="2">
                    <c:v>0.08495424017678614</c:v>
                  </c:pt>
                </c:numCache>
              </c:numRef>
            </c:plus>
            <c:minus>
              <c:numRef>
                <c:f>AJPu!$C$36:$E$36</c:f>
                <c:numCache>
                  <c:ptCount val="3"/>
                  <c:pt idx="0">
                    <c:v>0.05652418341898946</c:v>
                  </c:pt>
                  <c:pt idx="1">
                    <c:v>0.0638239368925701</c:v>
                  </c:pt>
                  <c:pt idx="2">
                    <c:v>0.01646073338047917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AJPu!$C$16:$F$16</c:f>
              <c:numCache/>
            </c:numRef>
          </c:val>
        </c:ser>
        <c:ser>
          <c:idx val="2"/>
          <c:order val="2"/>
          <c:tx>
            <c:strRef>
              <c:f>AJPu!$A$6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AJPu!$C$41:$E$41</c:f>
                <c:numCache>
                  <c:ptCount val="3"/>
                  <c:pt idx="0">
                    <c:v>0.10810369331394017</c:v>
                  </c:pt>
                  <c:pt idx="1">
                    <c:v>0.10810369331394017</c:v>
                  </c:pt>
                  <c:pt idx="2">
                    <c:v>0.10443256426027824</c:v>
                  </c:pt>
                </c:numCache>
              </c:numRef>
            </c:plus>
            <c:minus>
              <c:numRef>
                <c:f>AJPu!$C$37:$E$37</c:f>
                <c:numCache>
                  <c:ptCount val="3"/>
                  <c:pt idx="0">
                    <c:v>0.060979933605197253</c:v>
                  </c:pt>
                  <c:pt idx="1">
                    <c:v>0.060979933605197253</c:v>
                  </c:pt>
                  <c:pt idx="2">
                    <c:v>0.05516681547386511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AJPu!$C$17:$F$17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3486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CJ,NP +PP: last, first / first, last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65"/>
          <c:w val="0.941"/>
          <c:h val="0.797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position'!$Q$15:$R$15</c:f>
                <c:numCache>
                  <c:ptCount val="2"/>
                  <c:pt idx="0">
                    <c:v>0.01563673480559119</c:v>
                  </c:pt>
                  <c:pt idx="1">
                    <c:v>0.0904049639968069</c:v>
                  </c:pt>
                </c:numCache>
              </c:numRef>
            </c:plus>
            <c:minus>
              <c:numRef>
                <c:f>'Conjoin position'!$Q$16:$R$16</c:f>
                <c:numCache>
                  <c:ptCount val="2"/>
                  <c:pt idx="0">
                    <c:v>0.014442827021971916</c:v>
                  </c:pt>
                  <c:pt idx="1">
                    <c:v>0.09502398945809502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position'!$D$1:$E$1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position'!$Q$5:$R$5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position'!$Q$38:$R$38</c:f>
                <c:numCache>
                  <c:ptCount val="2"/>
                  <c:pt idx="0">
                    <c:v>0.020236999851501545</c:v>
                  </c:pt>
                  <c:pt idx="1">
                    <c:v>0.11297690950856071</c:v>
                  </c:pt>
                </c:numCache>
              </c:numRef>
            </c:plus>
            <c:minus>
              <c:numRef>
                <c:f>'Conjoin position'!$Q$39:$R$39</c:f>
                <c:numCache>
                  <c:ptCount val="2"/>
                  <c:pt idx="0">
                    <c:v>0.018353049832545407</c:v>
                  </c:pt>
                  <c:pt idx="1">
                    <c:v>0.1242692673251567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position'!$D$24:$E$24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position'!$Q$28:$R$28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position'!$Q$56:$R$56</c:f>
                <c:numCache>
                  <c:ptCount val="2"/>
                  <c:pt idx="0">
                    <c:v>0.025578132274892286</c:v>
                  </c:pt>
                  <c:pt idx="1">
                    <c:v>0.13972255907459838</c:v>
                  </c:pt>
                </c:numCache>
              </c:numRef>
            </c:plus>
            <c:minus>
              <c:numRef>
                <c:f>'Conjoin position'!$Q$57:$R$57</c:f>
                <c:numCache>
                  <c:ptCount val="2"/>
                  <c:pt idx="0">
                    <c:v>0.022336859787430254</c:v>
                  </c:pt>
                  <c:pt idx="1">
                    <c:v>0.14337234559718257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position'!$D$42:$E$42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position'!$Q$46:$R$46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position'!$W$15:$X$15</c:f>
                <c:numCache>
                  <c:ptCount val="2"/>
                  <c:pt idx="0">
                    <c:v>0.00968212553874622</c:v>
                  </c:pt>
                  <c:pt idx="1">
                    <c:v>0.04374338174845167</c:v>
                  </c:pt>
                </c:numCache>
              </c:numRef>
            </c:plus>
            <c:minus>
              <c:numRef>
                <c:f>'Conjoin position'!$W$16:$X$16</c:f>
                <c:numCache>
                  <c:ptCount val="2"/>
                  <c:pt idx="0">
                    <c:v>0.008119064272129195</c:v>
                  </c:pt>
                  <c:pt idx="1">
                    <c:v>0.036542690749333036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position'!$W$1:$X$1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position'!$W$5:$X$5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position'!$W$38:$X$38</c:f>
                <c:numCache>
                  <c:ptCount val="2"/>
                  <c:pt idx="0">
                    <c:v>0.012215762309481477</c:v>
                  </c:pt>
                  <c:pt idx="1">
                    <c:v>0.054812598371344744</c:v>
                  </c:pt>
                </c:numCache>
              </c:numRef>
            </c:plus>
            <c:minus>
              <c:numRef>
                <c:f>'Conjoin position'!$W$39:$X$39</c:f>
                <c:numCache>
                  <c:ptCount val="2"/>
                  <c:pt idx="0">
                    <c:v>0.009695829163107034</c:v>
                  </c:pt>
                  <c:pt idx="1">
                    <c:v>0.04344828729933888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position'!$W$24:$X$24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position'!$W$28:$X$28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position'!$W$56:$X$56</c:f>
                <c:numCache>
                  <c:ptCount val="2"/>
                  <c:pt idx="0">
                    <c:v>0.017305978285090444</c:v>
                  </c:pt>
                  <c:pt idx="1">
                    <c:v>0.0785035824336233</c:v>
                  </c:pt>
                </c:numCache>
              </c:numRef>
            </c:plus>
            <c:minus>
              <c:numRef>
                <c:f>'Conjoin position'!$W$57:$X$57</c:f>
                <c:numCache>
                  <c:ptCount val="2"/>
                  <c:pt idx="0">
                    <c:v>0.013209141486217052</c:v>
                  </c:pt>
                  <c:pt idx="1">
                    <c:v>0.05948734954342204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position'!$W$42:$X$42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position'!$W$46:$X$46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684031"/>
        <c:axId val="38829688"/>
      </c:scatterChart>
      <c:val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9688"/>
        <c:crosses val="autoZero"/>
        <c:crossBetween val="midCat"/>
        <c:dispUnits/>
        <c:majorUnit val="1"/>
      </c:valAx>
      <c:valAx>
        <c:axId val="3882968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AJPu!$A$4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AJPu!$O$39:$Q$39</c:f>
                <c:numCache>
                  <c:ptCount val="3"/>
                  <c:pt idx="0">
                    <c:v>0.014899925080459134</c:v>
                  </c:pt>
                  <c:pt idx="1">
                    <c:v>0.012049933069902388</c:v>
                  </c:pt>
                  <c:pt idx="2">
                    <c:v>0.010859688712706116</c:v>
                  </c:pt>
                </c:numCache>
              </c:numRef>
            </c:plus>
            <c:minus>
              <c:numRef>
                <c:f>AJPu!$O$35:$Q$35</c:f>
                <c:numCache>
                  <c:ptCount val="3"/>
                  <c:pt idx="0">
                    <c:v>0.013494434880557002</c:v>
                  </c:pt>
                  <c:pt idx="1">
                    <c:v>0.01045776912326922</c:v>
                  </c:pt>
                  <c:pt idx="2">
                    <c:v>0.009207716672460092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AJPu!$O$15:$R$15</c:f>
              <c:numCache/>
            </c:numRef>
          </c:val>
        </c:ser>
        <c:ser>
          <c:idx val="1"/>
          <c:order val="1"/>
          <c:tx>
            <c:strRef>
              <c:f>AJP!$A$5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AJPu!$O$40:$Q$40</c:f>
                <c:numCache>
                  <c:ptCount val="3"/>
                  <c:pt idx="0">
                    <c:v>0.024266805044781</c:v>
                  </c:pt>
                  <c:pt idx="1">
                    <c:v>0.019434910906486774</c:v>
                  </c:pt>
                  <c:pt idx="2">
                    <c:v>0.017475956432230724</c:v>
                  </c:pt>
                </c:numCache>
              </c:numRef>
            </c:plus>
            <c:minus>
              <c:numRef>
                <c:f>AJPu!$O$36:$Q$36</c:f>
                <c:numCache>
                  <c:ptCount val="3"/>
                  <c:pt idx="0">
                    <c:v>0.02029662404294734</c:v>
                  </c:pt>
                  <c:pt idx="1">
                    <c:v>0.014979410665040153</c:v>
                  </c:pt>
                  <c:pt idx="2">
                    <c:v>0.012872164200902349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AJP!$O$16:$R$16</c:f>
              <c:numCache>
                <c:ptCount val="4"/>
                <c:pt idx="0">
                  <c:v>0.10419161676646707</c:v>
                </c:pt>
                <c:pt idx="1">
                  <c:v>0.0658682634730539</c:v>
                </c:pt>
                <c:pt idx="2">
                  <c:v>0.05149700598802395</c:v>
                </c:pt>
                <c:pt idx="3">
                  <c:v>0.018272437161604933</c:v>
                </c:pt>
              </c:numCache>
            </c:numRef>
          </c:val>
        </c:ser>
        <c:ser>
          <c:idx val="2"/>
          <c:order val="2"/>
          <c:tx>
            <c:strRef>
              <c:f>AJP!$A$6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AJPu!$O$41:$Q$41</c:f>
                <c:numCache>
                  <c:ptCount val="3"/>
                  <c:pt idx="0">
                    <c:v>0.019409359882529564</c:v>
                  </c:pt>
                  <c:pt idx="1">
                    <c:v>0.015968644145377076</c:v>
                  </c:pt>
                  <c:pt idx="2">
                    <c:v>0.014502749576758497</c:v>
                  </c:pt>
                </c:numCache>
              </c:numRef>
            </c:plus>
            <c:minus>
              <c:numRef>
                <c:f>AJPu!$O$37:$Q$37</c:f>
                <c:numCache>
                  <c:ptCount val="3"/>
                  <c:pt idx="0">
                    <c:v>0.017242467814513274</c:v>
                  </c:pt>
                  <c:pt idx="1">
                    <c:v>0.013499918878697365</c:v>
                  </c:pt>
                  <c:pt idx="2">
                    <c:v>0.01193491490156244</c:v>
                  </c:pt>
                </c:numCache>
              </c:numRef>
            </c:minus>
            <c:noEndCap val="0"/>
          </c:errBars>
          <c:cat>
            <c:strRef>
              <c:f>AJPu!$C$10:$F$10</c:f>
              <c:strCache/>
            </c:strRef>
          </c:cat>
          <c:val>
            <c:numRef>
              <c:f>AJP!$O$17:$R$17</c:f>
              <c:numCache>
                <c:ptCount val="4"/>
                <c:pt idx="0">
                  <c:v>0.12789017341040462</c:v>
                </c:pt>
                <c:pt idx="1">
                  <c:v>0.08020231213872832</c:v>
                </c:pt>
                <c:pt idx="2">
                  <c:v>0.06502890173410404</c:v>
                </c:pt>
                <c:pt idx="3">
                  <c:v>0.02801787146246116</c:v>
                </c:pt>
              </c:numCache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3331507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CJ,NP +CL: last, first / first, last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6475"/>
          <c:w val="0.941"/>
          <c:h val="0.798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position'!$AR$15:$AS$15</c:f>
                <c:numCache>
                  <c:ptCount val="2"/>
                  <c:pt idx="0">
                    <c:v>0.012068652315214775</c:v>
                  </c:pt>
                  <c:pt idx="1">
                    <c:v>0.11249505318731592</c:v>
                  </c:pt>
                </c:numCache>
              </c:numRef>
            </c:plus>
            <c:minus>
              <c:numRef>
                <c:f>'Conjoin position'!$AR$16:$AS$16</c:f>
                <c:numCache>
                  <c:ptCount val="2"/>
                  <c:pt idx="0">
                    <c:v>0.01061929655179957</c:v>
                  </c:pt>
                  <c:pt idx="1">
                    <c:v>0.16070419036844255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position'!$D$1:$E$1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position'!$AR$5:$AS$5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position'!$AR$38:$AS$38</c:f>
                <c:numCache>
                  <c:ptCount val="2"/>
                  <c:pt idx="0">
                    <c:v>0.01403657443199797</c:v>
                  </c:pt>
                  <c:pt idx="1">
                    <c:v>0.1397435026644767</c:v>
                  </c:pt>
                </c:numCache>
              </c:numRef>
            </c:plus>
            <c:minus>
              <c:numRef>
                <c:f>'Conjoin position'!$AR$39:$AS$39</c:f>
                <c:numCache>
                  <c:ptCount val="2"/>
                  <c:pt idx="0">
                    <c:v>0.011616638632701884</c:v>
                  </c:pt>
                  <c:pt idx="1">
                    <c:v>0.2373233681615237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position'!$D$24:$E$24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position'!$AR$28:$AS$28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position'!$AR$56:$AS$56</c:f>
                <c:numCache>
                  <c:ptCount val="2"/>
                  <c:pt idx="0">
                    <c:v>0.02304916934276441</c:v>
                  </c:pt>
                  <c:pt idx="1">
                    <c:v>0.14509357875580028</c:v>
                  </c:pt>
                </c:numCache>
              </c:numRef>
            </c:plus>
            <c:minus>
              <c:numRef>
                <c:f>'Conjoin position'!$AR$57:$AS$57</c:f>
                <c:numCache>
                  <c:ptCount val="2"/>
                  <c:pt idx="0">
                    <c:v>0.0194788336586057</c:v>
                  </c:pt>
                  <c:pt idx="1">
                    <c:v>0.22475715229497648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position'!$D$42:$E$42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position'!$AR$46:$AS$46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position'!$AX$15:$AY$15</c:f>
                <c:numCache>
                  <c:ptCount val="2"/>
                  <c:pt idx="0">
                    <c:v>0.006154043718790212</c:v>
                  </c:pt>
                  <c:pt idx="1">
                    <c:v>0.05972719397347041</c:v>
                  </c:pt>
                </c:numCache>
              </c:numRef>
            </c:plus>
            <c:minus>
              <c:numRef>
                <c:f>'Conjoin position'!$AX$16:$AY$16</c:f>
                <c:numCache>
                  <c:ptCount val="2"/>
                  <c:pt idx="0">
                    <c:v>0.004481949777870058</c:v>
                  </c:pt>
                  <c:pt idx="1">
                    <c:v>0.045055618311060905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position'!$W$1:$X$1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position'!$AX$5:$AY$5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position'!$AX$38:$AY$38</c:f>
                <c:numCache>
                  <c:ptCount val="2"/>
                  <c:pt idx="0">
                    <c:v>0.007300080346652611</c:v>
                  </c:pt>
                  <c:pt idx="1">
                    <c:v>0.08962050696018123</c:v>
                  </c:pt>
                </c:numCache>
              </c:numRef>
            </c:plus>
            <c:minus>
              <c:numRef>
                <c:f>'Conjoin position'!$AX$39:$AY$39</c:f>
                <c:numCache>
                  <c:ptCount val="2"/>
                  <c:pt idx="0">
                    <c:v>0.004600151975537145</c:v>
                  </c:pt>
                  <c:pt idx="1">
                    <c:v>0.05997076122575387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position'!$W$24:$X$24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position'!$AX$28:$AY$28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position'!$AX$56:$AY$56</c:f>
                <c:numCache>
                  <c:ptCount val="2"/>
                  <c:pt idx="0">
                    <c:v>0.012510681063610411</c:v>
                  </c:pt>
                  <c:pt idx="1">
                    <c:v>0.08719101339564482</c:v>
                  </c:pt>
                </c:numCache>
              </c:numRef>
            </c:plus>
            <c:minus>
              <c:numRef>
                <c:f>'Conjoin position'!$AX$57:$AY$57</c:f>
                <c:numCache>
                  <c:ptCount val="2"/>
                  <c:pt idx="0">
                    <c:v>0.008139624934156472</c:v>
                  </c:pt>
                  <c:pt idx="1">
                    <c:v>0.05930841663074231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position'!$W$42:$X$42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position'!$AX$46:$AY$46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 val="autoZero"/>
        <c:crossBetween val="midCat"/>
        <c:dispUnits/>
        <c:majorUnit val="1"/>
      </c:valAx>
      <c:valAx>
        <c:axId val="5819699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CJ,PP +CL: last, first / first, last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64"/>
          <c:w val="0.94125"/>
          <c:h val="0.799"/>
        </c:manualLayout>
      </c:layout>
      <c:scatterChart>
        <c:scatterStyle val="lineMarker"/>
        <c:varyColors val="0"/>
        <c:ser>
          <c:idx val="3"/>
          <c:order val="0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position'!$AE$15:$AF$15</c:f>
                <c:numCache>
                  <c:ptCount val="2"/>
                  <c:pt idx="0">
                    <c:v>0.05647856403435474</c:v>
                  </c:pt>
                  <c:pt idx="1">
                    <c:v>0.28478354664740774</c:v>
                  </c:pt>
                </c:numCache>
              </c:numRef>
            </c:plus>
            <c:minus>
              <c:numRef>
                <c:f>'Conjoin position'!$AE$16:$AF$16</c:f>
                <c:numCache>
                  <c:ptCount val="2"/>
                  <c:pt idx="0">
                    <c:v>0.04168307400701781</c:v>
                  </c:pt>
                  <c:pt idx="1">
                    <c:v>0.28478354664740774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position'!$D$1:$E$1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position'!$AE$5:$AF$5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position'!$AE$38:$AF$38</c:f>
                <c:numCache>
                  <c:ptCount val="2"/>
                  <c:pt idx="0">
                    <c:v>0.09587473258331594</c:v>
                  </c:pt>
                  <c:pt idx="1">
                    <c:v>0.3666727990384889</c:v>
                  </c:pt>
                </c:numCache>
              </c:numRef>
            </c:plus>
            <c:minus>
              <c:numRef>
                <c:f>'Conjoin position'!$AE$39:$AF$39</c:f>
                <c:numCache>
                  <c:ptCount val="2"/>
                  <c:pt idx="0">
                    <c:v>0.0689137475576018</c:v>
                  </c:pt>
                  <c:pt idx="1">
                    <c:v>0.23656169226587426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position'!$D$24:$E$24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position'!$AE$28:$AF$28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position'!$AE$56:$AF$56</c:f>
                <c:numCache>
                  <c:ptCount val="2"/>
                  <c:pt idx="0">
                    <c:v>0.07163012571071689</c:v>
                  </c:pt>
                  <c:pt idx="1">
                    <c:v>0</c:v>
                  </c:pt>
                </c:numCache>
              </c:numRef>
            </c:plus>
            <c:minus>
              <c:numRef>
                <c:f>'Conjoin position'!$AE$57:$AF$57</c:f>
                <c:numCache>
                  <c:ptCount val="2"/>
                  <c:pt idx="0">
                    <c:v>0.041519613442771386</c:v>
                  </c:pt>
                  <c:pt idx="1">
                    <c:v>0.6576188570228347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position'!$D$42:$E$42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position'!$AE$46:$AF$46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'Conjoin position'!$A$2</c:f>
              <c:strCache>
                <c:ptCount val="1"/>
                <c:pt idx="0">
                  <c:v>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position'!$AK$15:$AL$15</c:f>
                <c:numCache>
                  <c:ptCount val="2"/>
                  <c:pt idx="0">
                    <c:v>0.0395522973255981</c:v>
                  </c:pt>
                  <c:pt idx="1">
                    <c:v>0.18653578197345902</c:v>
                  </c:pt>
                </c:numCache>
              </c:numRef>
            </c:plus>
            <c:minus>
              <c:numRef>
                <c:f>'Conjoin position'!$AK$16:$AL$16</c:f>
                <c:numCache>
                  <c:ptCount val="2"/>
                  <c:pt idx="0">
                    <c:v>0.021057934791426973</c:v>
                  </c:pt>
                  <c:pt idx="1">
                    <c:v>0.09596537054054269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position'!$W$1:$X$1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position'!$AK$5:$AL$5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'Conjoin position'!$A$23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position'!$AK$38:$AL$38</c:f>
                <c:numCache>
                  <c:ptCount val="2"/>
                  <c:pt idx="0">
                    <c:v>0.07497216445131719</c:v>
                  </c:pt>
                  <c:pt idx="1">
                    <c:v>0.2352277148721396</c:v>
                  </c:pt>
                </c:numCache>
              </c:numRef>
            </c:plus>
            <c:minus>
              <c:numRef>
                <c:f>'Conjoin position'!$AK$39:$AL$39</c:f>
                <c:numCache>
                  <c:ptCount val="2"/>
                  <c:pt idx="0">
                    <c:v>0.03783722281212596</c:v>
                  </c:pt>
                  <c:pt idx="1">
                    <c:v>0.09002243056259548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position'!$W$24:$X$24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position'!$AK$28:$AL$28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'Conjoin position'!$A$41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'Conjoin position'!$AK$56:$AL$56</c:f>
                <c:numCache>
                  <c:ptCount val="2"/>
                  <c:pt idx="0">
                    <c:v>0.049544038961066475</c:v>
                  </c:pt>
                  <c:pt idx="1">
                    <c:v>0.3251881863024513</c:v>
                  </c:pt>
                </c:numCache>
              </c:numRef>
            </c:plus>
            <c:minus>
              <c:numRef>
                <c:f>'Conjoin position'!$AK$57:$AL$57</c:f>
                <c:numCache>
                  <c:ptCount val="2"/>
                  <c:pt idx="0">
                    <c:v>0.01435464510575665</c:v>
                  </c:pt>
                  <c:pt idx="1">
                    <c:v>0.15899696632072102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'Conjoin position'!$W$42:$X$42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'Conjoin position'!$AK$46:$AL$46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4010899"/>
        <c:axId val="16336044"/>
      </c:scatterChart>
      <c:val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 val="autoZero"/>
        <c:crossBetween val="midCat"/>
        <c:dispUnits/>
        <c:majorUnit val="1"/>
      </c:valAx>
      <c:valAx>
        <c:axId val="1633604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PP!$A$4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PP!$C$39:$E$39</c:f>
                <c:numCache>
                  <c:ptCount val="3"/>
                  <c:pt idx="0">
                    <c:v>0.03955232525477827</c:v>
                  </c:pt>
                  <c:pt idx="1">
                    <c:v>0.06177147700995106</c:v>
                  </c:pt>
                  <c:pt idx="2">
                    <c:v>0.04600170275008317</c:v>
                  </c:pt>
                </c:numCache>
              </c:numRef>
            </c:plus>
            <c:minus>
              <c:numRef>
                <c:f>PP!$C$35:$E$35</c:f>
                <c:numCache>
                  <c:ptCount val="3"/>
                  <c:pt idx="0">
                    <c:v>0.0210579427081631</c:v>
                  </c:pt>
                  <c:pt idx="1">
                    <c:v>0.048934199712888704</c:v>
                  </c:pt>
                  <c:pt idx="2">
                    <c:v>0.02859522505915124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PP!$C$15:$F$15</c:f>
              <c:numCache/>
            </c:numRef>
          </c:val>
        </c:ser>
        <c:ser>
          <c:idx val="1"/>
          <c:order val="1"/>
          <c:tx>
            <c:strRef>
              <c:f>PP!$A$5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PP!$C$40:$E$40</c:f>
                <c:numCache>
                  <c:ptCount val="3"/>
                  <c:pt idx="0">
                    <c:v>0.05783511470049966</c:v>
                  </c:pt>
                  <c:pt idx="1">
                    <c:v>0.09002320901069774</c:v>
                  </c:pt>
                  <c:pt idx="2">
                    <c:v>0.06418499302619353</c:v>
                  </c:pt>
                </c:numCache>
              </c:numRef>
            </c:plus>
            <c:minus>
              <c:numRef>
                <c:f>PP!$C$36:$E$36</c:f>
                <c:numCache>
                  <c:ptCount val="3"/>
                  <c:pt idx="0">
                    <c:v>0.02409679397380675</c:v>
                  </c:pt>
                  <c:pt idx="1">
                    <c:v>0.06934488340401498</c:v>
                  </c:pt>
                  <c:pt idx="2">
                    <c:v>0.03189778286839064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PP!$C$16:$F$16</c:f>
              <c:numCache/>
            </c:numRef>
          </c:val>
        </c:ser>
        <c:ser>
          <c:idx val="2"/>
          <c:order val="2"/>
          <c:tx>
            <c:strRef>
              <c:f>PP!$A$6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PP!$C$41:$E$41</c:f>
                <c:numCache>
                  <c:ptCount val="3"/>
                  <c:pt idx="0">
                    <c:v>0.06777831298832467</c:v>
                  </c:pt>
                  <c:pt idx="1">
                    <c:v>0.0895646761699434</c:v>
                  </c:pt>
                  <c:pt idx="2">
                    <c:v>0.0780067603515419</c:v>
                  </c:pt>
                </c:numCache>
              </c:numRef>
            </c:plus>
            <c:minus>
              <c:numRef>
                <c:f>PP!$C$37:$E$37</c:f>
                <c:numCache>
                  <c:ptCount val="3"/>
                  <c:pt idx="0">
                    <c:v>0.028608538636691452</c:v>
                  </c:pt>
                  <c:pt idx="1">
                    <c:v>0.05853407570955864</c:v>
                  </c:pt>
                  <c:pt idx="2">
                    <c:v>0.041889176209126834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PP!$C$17:$F$17</c:f>
              <c:numCache/>
            </c:numRef>
          </c:val>
        </c:ser>
        <c:axId val="12806669"/>
        <c:axId val="48151158"/>
      </c:bar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PP!$A$4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PP!$O$39:$Q$39</c:f>
                <c:numCache>
                  <c:ptCount val="3"/>
                  <c:pt idx="0">
                    <c:v>0.00680893034932013</c:v>
                  </c:pt>
                  <c:pt idx="1">
                    <c:v>0.014525591270217852</c:v>
                  </c:pt>
                  <c:pt idx="2">
                    <c:v>0.007609478093582634</c:v>
                  </c:pt>
                </c:numCache>
              </c:numRef>
            </c:plus>
            <c:minus>
              <c:numRef>
                <c:f>PP!$O$35:$Q$35</c:f>
                <c:numCache>
                  <c:ptCount val="3"/>
                  <c:pt idx="0">
                    <c:v>0.005152410678379914</c:v>
                  </c:pt>
                  <c:pt idx="1">
                    <c:v>0.013238225489275612</c:v>
                  </c:pt>
                  <c:pt idx="2">
                    <c:v>0.005974764981545259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PP!$O$15:$R$15</c:f>
              <c:numCache/>
            </c:numRef>
          </c:val>
        </c:ser>
        <c:ser>
          <c:idx val="1"/>
          <c:order val="1"/>
          <c:tx>
            <c:strRef>
              <c:f>PP!$A$5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PP!$O$40:$Q$40</c:f>
                <c:numCache>
                  <c:ptCount val="3"/>
                  <c:pt idx="0">
                    <c:v>0.012991419658480101</c:v>
                  </c:pt>
                  <c:pt idx="1">
                    <c:v>0.023692890747783857</c:v>
                  </c:pt>
                  <c:pt idx="2">
                    <c:v>0.01344843324154562</c:v>
                  </c:pt>
                </c:numCache>
              </c:numRef>
            </c:plus>
            <c:minus>
              <c:numRef>
                <c:f>PP!$O$36:$Q$36</c:f>
                <c:numCache>
                  <c:ptCount val="3"/>
                  <c:pt idx="0">
                    <c:v>0.008642296294164832</c:v>
                  </c:pt>
                  <c:pt idx="1">
                    <c:v>0.02019933263546507</c:v>
                  </c:pt>
                  <c:pt idx="2">
                    <c:v>0.009121247447794363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PP!$O$16:$R$16</c:f>
              <c:numCache/>
            </c:numRef>
          </c:val>
        </c:ser>
        <c:ser>
          <c:idx val="2"/>
          <c:order val="2"/>
          <c:tx>
            <c:strRef>
              <c:f>PP!$A$6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PP!$O$41:$Q$41</c:f>
                <c:numCache>
                  <c:ptCount val="3"/>
                  <c:pt idx="0">
                    <c:v>0.008466640043599129</c:v>
                  </c:pt>
                  <c:pt idx="1">
                    <c:v>0.018907291461993492</c:v>
                  </c:pt>
                  <c:pt idx="2">
                    <c:v>0.009896925270398323</c:v>
                  </c:pt>
                </c:numCache>
              </c:numRef>
            </c:plus>
            <c:minus>
              <c:numRef>
                <c:f>PP!$O$37:$Q$37</c:f>
                <c:numCache>
                  <c:ptCount val="3"/>
                  <c:pt idx="0">
                    <c:v>0.005798707885159023</c:v>
                  </c:pt>
                  <c:pt idx="1">
                    <c:v>0.01687534313142748</c:v>
                  </c:pt>
                  <c:pt idx="2">
                    <c:v>0.007276991891420406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PP!$O$17:$R$17</c:f>
              <c:numCache/>
            </c:numRef>
          </c:val>
        </c:ser>
        <c:axId val="30707239"/>
        <c:axId val="7929696"/>
      </c:bar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auto val="1"/>
        <c:lblOffset val="100"/>
        <c:noMultiLvlLbl val="0"/>
      </c:catAx>
      <c:valAx>
        <c:axId val="7929696"/>
        <c:scaling>
          <c:orientation val="minMax"/>
          <c:max val="0.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0707239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5"/>
          <c:w val="0.957"/>
          <c:h val="0.94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PP!$A$62</c:f>
              <c:strCache>
                <c:ptCount val="1"/>
                <c:pt idx="0">
                  <c:v>AJP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PP!$C$70:$F$70</c:f>
                <c:numCache>
                  <c:ptCount val="4"/>
                  <c:pt idx="0">
                    <c:v>0.05352772890963582</c:v>
                  </c:pt>
                  <c:pt idx="1">
                    <c:v>0.06126080659890948</c:v>
                  </c:pt>
                  <c:pt idx="2">
                    <c:v>0.04600170275008317</c:v>
                  </c:pt>
                  <c:pt idx="3">
                    <c:v>NaN</c:v>
                  </c:pt>
                </c:numCache>
              </c:numRef>
            </c:plus>
            <c:minus>
              <c:numRef>
                <c:f>PP!$C$66:$F$66</c:f>
                <c:numCache>
                  <c:ptCount val="4"/>
                  <c:pt idx="0">
                    <c:v>0.0378618989877971</c:v>
                  </c:pt>
                  <c:pt idx="1">
                    <c:v>0.04820594833071051</c:v>
                  </c:pt>
                  <c:pt idx="2">
                    <c:v>0.02859522505915124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PP!$C$62:$F$62</c:f>
              <c:numCache/>
            </c:numRef>
          </c:val>
        </c:ser>
        <c:ser>
          <c:idx val="0"/>
          <c:order val="1"/>
          <c:tx>
            <c:strRef>
              <c:f>PP!$A$60</c:f>
              <c:strCache>
                <c:ptCount val="1"/>
                <c:pt idx="0">
                  <c:v>PP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PP!$C$68:$E$68</c:f>
                <c:numCache>
                  <c:ptCount val="3"/>
                  <c:pt idx="0">
                    <c:v>0.03955232525477827</c:v>
                  </c:pt>
                  <c:pt idx="1">
                    <c:v>0.06177147700995106</c:v>
                  </c:pt>
                  <c:pt idx="2">
                    <c:v>0.04600170275008317</c:v>
                  </c:pt>
                </c:numCache>
              </c:numRef>
            </c:plus>
            <c:minus>
              <c:numRef>
                <c:f>PP!$C$64:$E$64</c:f>
                <c:numCache>
                  <c:ptCount val="3"/>
                  <c:pt idx="0">
                    <c:v>0.0210579427081631</c:v>
                  </c:pt>
                  <c:pt idx="1">
                    <c:v>0.048934199712888704</c:v>
                  </c:pt>
                  <c:pt idx="2">
                    <c:v>0.02859522505915124</c:v>
                  </c:pt>
                </c:numCache>
              </c:numRef>
            </c:minus>
            <c:noEndCap val="0"/>
          </c:errBars>
          <c:val>
            <c:numRef>
              <c:f>PP!$C$60:$F$60</c:f>
              <c:numCache/>
            </c:numRef>
          </c:val>
        </c:ser>
        <c:ser>
          <c:idx val="1"/>
          <c:order val="2"/>
          <c:tx>
            <c:strRef>
              <c:f>PP!$A$61</c:f>
              <c:strCache>
                <c:ptCount val="1"/>
                <c:pt idx="0">
                  <c:v>CL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PP!$C$69:$E$69</c:f>
                <c:numCache>
                  <c:ptCount val="3"/>
                  <c:pt idx="0">
                    <c:v>0.032476027441676075</c:v>
                  </c:pt>
                  <c:pt idx="1">
                    <c:v>0.05352772890963582</c:v>
                  </c:pt>
                  <c:pt idx="2">
                    <c:v>0.032476027441676075</c:v>
                  </c:pt>
                </c:numCache>
              </c:numRef>
            </c:plus>
            <c:minus>
              <c:numRef>
                <c:f>PP!$C$65:$E$65</c:f>
                <c:numCache>
                  <c:ptCount val="3"/>
                  <c:pt idx="0">
                    <c:v>0.01311132101051432</c:v>
                  </c:pt>
                  <c:pt idx="1">
                    <c:v>0.0378618989877971</c:v>
                  </c:pt>
                  <c:pt idx="2">
                    <c:v>0.01311132101051432</c:v>
                  </c:pt>
                </c:numCache>
              </c:numRef>
            </c:minus>
            <c:noEndCap val="0"/>
          </c:errBars>
          <c:val>
            <c:numRef>
              <c:f>PP!$C$61:$F$61</c:f>
              <c:numCache/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25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PP!$A$62</c:f>
              <c:strCache>
                <c:ptCount val="1"/>
                <c:pt idx="0">
                  <c:v>AJP</c:v>
                </c:pt>
              </c:strCache>
            </c:strRef>
          </c:tx>
          <c:spPr>
            <a:pattFill prst="pct70">
              <a:fgClr>
                <a:srgbClr val="9999FF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PP!$O$70:$R$70</c:f>
                <c:numCache>
                  <c:ptCount val="4"/>
                  <c:pt idx="0">
                    <c:v>0.014133530749361481</c:v>
                  </c:pt>
                  <c:pt idx="1">
                    <c:v>0.011696112753418364</c:v>
                  </c:pt>
                  <c:pt idx="2">
                    <c:v>0.010657532918765894</c:v>
                  </c:pt>
                  <c:pt idx="3">
                    <c:v>NaN</c:v>
                  </c:pt>
                </c:numCache>
              </c:numRef>
            </c:plus>
            <c:minus>
              <c:numRef>
                <c:f>PP!$O$66:$R$66</c:f>
                <c:numCache>
                  <c:ptCount val="4"/>
                  <c:pt idx="0">
                    <c:v>0.012816570352765413</c:v>
                  </c:pt>
                  <c:pt idx="1">
                    <c:v>0.010226506444502459</c:v>
                  </c:pt>
                  <c:pt idx="2">
                    <c:v>0.009136525435293294</c:v>
                  </c:pt>
                  <c:pt idx="3">
                    <c:v>NaN</c:v>
                  </c:pt>
                </c:numCache>
              </c:numRef>
            </c:minus>
            <c:noEndCap val="0"/>
          </c:errBars>
          <c:cat>
            <c:strRef>
              <c:f>PP!$C$10:$F$10</c:f>
              <c:strCache/>
            </c:strRef>
          </c:cat>
          <c:val>
            <c:numRef>
              <c:f>PP!$O$62:$R$62</c:f>
              <c:numCache/>
            </c:numRef>
          </c:val>
        </c:ser>
        <c:ser>
          <c:idx val="0"/>
          <c:order val="1"/>
          <c:tx>
            <c:strRef>
              <c:f>PP!$A$60</c:f>
              <c:strCache>
                <c:ptCount val="1"/>
                <c:pt idx="0">
                  <c:v>PP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PP!$O$68:$R$68</c:f>
                <c:numCache>
                  <c:ptCount val="4"/>
                  <c:pt idx="0">
                    <c:v>0.00680893034932013</c:v>
                  </c:pt>
                  <c:pt idx="1">
                    <c:v>0.014525591270217852</c:v>
                  </c:pt>
                  <c:pt idx="2">
                    <c:v>0.007609478093582634</c:v>
                  </c:pt>
                  <c:pt idx="3">
                    <c:v>NaN</c:v>
                  </c:pt>
                </c:numCache>
              </c:numRef>
            </c:plus>
            <c:minus>
              <c:numRef>
                <c:f>PP!$O$64:$R$64</c:f>
                <c:numCache>
                  <c:ptCount val="4"/>
                  <c:pt idx="0">
                    <c:v>0.005152410678379914</c:v>
                  </c:pt>
                  <c:pt idx="1">
                    <c:v>0.013238225489275612</c:v>
                  </c:pt>
                  <c:pt idx="2">
                    <c:v>0.005974764981545259</c:v>
                  </c:pt>
                  <c:pt idx="3">
                    <c:v>NaN</c:v>
                  </c:pt>
                </c:numCache>
              </c:numRef>
            </c:minus>
            <c:noEndCap val="0"/>
          </c:errBars>
          <c:val>
            <c:numRef>
              <c:f>PP!$O$60:$R$60</c:f>
              <c:numCache/>
            </c:numRef>
          </c:val>
        </c:ser>
        <c:ser>
          <c:idx val="1"/>
          <c:order val="2"/>
          <c:tx>
            <c:strRef>
              <c:f>PP!$A$61</c:f>
              <c:strCache>
                <c:ptCount val="1"/>
                <c:pt idx="0">
                  <c:v>CL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PP!$O$69:$R$69</c:f>
                <c:numCache>
                  <c:ptCount val="4"/>
                  <c:pt idx="0">
                    <c:v>0.0036347367207920124</c:v>
                  </c:pt>
                  <c:pt idx="1">
                    <c:v>0.0112730848365932</c:v>
                  </c:pt>
                  <c:pt idx="2">
                    <c:v>0.005477994076901934</c:v>
                  </c:pt>
                  <c:pt idx="3">
                    <c:v>NaN</c:v>
                  </c:pt>
                </c:numCache>
              </c:numRef>
            </c:plus>
            <c:minus>
              <c:numRef>
                <c:f>PP!$O$65:$R$65</c:f>
                <c:numCache>
                  <c:ptCount val="4"/>
                  <c:pt idx="0">
                    <c:v>0.001920585429894307</c:v>
                  </c:pt>
                  <c:pt idx="1">
                    <c:v>0.009781671968774441</c:v>
                  </c:pt>
                  <c:pt idx="2">
                    <c:v>0.0037918797903078744</c:v>
                  </c:pt>
                  <c:pt idx="3">
                    <c:v>NaN</c:v>
                  </c:pt>
                </c:numCache>
              </c:numRef>
            </c:minus>
            <c:noEndCap val="0"/>
          </c:errBars>
          <c:val>
            <c:numRef>
              <c:f>PP!$O$61:$R$61</c:f>
              <c:numCache/>
            </c:numRef>
          </c:val>
        </c:ser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  <c:max val="0.1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938617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'CL'!$A$4</c:f>
              <c:strCache>
                <c:ptCount val="1"/>
                <c:pt idx="0">
                  <c:v>ICE-GB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'CL'!$C$39:$E$39</c:f>
                <c:numCache>
                  <c:ptCount val="3"/>
                  <c:pt idx="0">
                    <c:v>0.032476027441676075</c:v>
                  </c:pt>
                  <c:pt idx="1">
                    <c:v>0.05352772890963582</c:v>
                  </c:pt>
                  <c:pt idx="2">
                    <c:v>0.032476027441676075</c:v>
                  </c:pt>
                </c:numCache>
              </c:numRef>
            </c:plus>
            <c:minus>
              <c:numRef>
                <c:f>'CL'!$C$35:$E$35</c:f>
                <c:numCache>
                  <c:ptCount val="3"/>
                  <c:pt idx="0">
                    <c:v>0.01311132101051432</c:v>
                  </c:pt>
                  <c:pt idx="1">
                    <c:v>0.0378618989877971</c:v>
                  </c:pt>
                  <c:pt idx="2">
                    <c:v>0.01311132101051432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'CL'!$C$15:$F$15</c:f>
              <c:numCache/>
            </c:numRef>
          </c:val>
        </c:ser>
        <c:ser>
          <c:idx val="1"/>
          <c:order val="1"/>
          <c:tx>
            <c:strRef>
              <c:f>'CL'!$A$5</c:f>
              <c:strCache>
                <c:ptCount val="1"/>
                <c:pt idx="0">
                  <c:v> spoken</c:v>
                </c:pt>
              </c:strCache>
            </c:strRef>
          </c:tx>
          <c:spPr>
            <a:pattFill prst="pct75">
              <a:fgClr>
                <a:srgbClr val="CC99FF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'CL'!$C$40:$E$40</c:f>
                <c:numCache>
                  <c:ptCount val="3"/>
                  <c:pt idx="0">
                    <c:v>0.03664054186447295</c:v>
                  </c:pt>
                  <c:pt idx="1">
                    <c:v>0.06689322295673061</c:v>
                  </c:pt>
                  <c:pt idx="2">
                    <c:v>0.0495440798323335</c:v>
                  </c:pt>
                </c:numCache>
              </c:numRef>
            </c:plus>
            <c:minus>
              <c:numRef>
                <c:f>'CL'!$C$36:$E$36</c:f>
                <c:numCache>
                  <c:ptCount val="3"/>
                  <c:pt idx="0">
                    <c:v>0</c:v>
                  </c:pt>
                  <c:pt idx="1">
                    <c:v>0.03533156808337273</c:v>
                  </c:pt>
                  <c:pt idx="2">
                    <c:v>0.014354648536750583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'CL'!$C$16:$F$16</c:f>
              <c:numCache/>
            </c:numRef>
          </c:val>
        </c:ser>
        <c:ser>
          <c:idx val="2"/>
          <c:order val="2"/>
          <c:tx>
            <c:strRef>
              <c:f>'CL'!$A$6</c:f>
              <c:strCache>
                <c:ptCount val="1"/>
                <c:pt idx="0">
                  <c:v> written</c:v>
                </c:pt>
              </c:strCache>
            </c:strRef>
          </c:tx>
          <c:spPr>
            <a:pattFill prst="ltUpDiag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'CL'!$C$41:$E$41</c:f>
                <c:numCache>
                  <c:ptCount val="3"/>
                  <c:pt idx="0">
                    <c:v>0.06777831298832467</c:v>
                  </c:pt>
                  <c:pt idx="1">
                    <c:v>0.09297699478788965</c:v>
                  </c:pt>
                  <c:pt idx="2">
                    <c:v>0.0582574574222056</c:v>
                  </c:pt>
                </c:numCache>
              </c:numRef>
            </c:plus>
            <c:minus>
              <c:numRef>
                <c:f>'CL'!$C$37:$E$37</c:f>
                <c:numCache>
                  <c:ptCount val="3"/>
                  <c:pt idx="0">
                    <c:v>0.028608538636691452</c:v>
                  </c:pt>
                  <c:pt idx="1">
                    <c:v>0.06398118780031703</c:v>
                  </c:pt>
                  <c:pt idx="2">
                    <c:v>0.01705288959776026</c:v>
                  </c:pt>
                </c:numCache>
              </c:numRef>
            </c:minus>
            <c:noEndCap val="0"/>
          </c:errBars>
          <c:cat>
            <c:strRef>
              <c:f>'CL'!$C$10:$F$10</c:f>
              <c:strCache/>
            </c:strRef>
          </c:cat>
          <c:val>
            <c:numRef>
              <c:f>'CL'!$C$17:$F$17</c:f>
              <c:numCache/>
            </c:numRef>
          </c:val>
        </c:ser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auto val="1"/>
        <c:lblOffset val="100"/>
        <c:noMultiLvlLbl val="0"/>
      </c:catAx>
      <c:valAx>
        <c:axId val="64523486"/>
        <c:scaling>
          <c:orientation val="minMax"/>
          <c:max val="0.3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2082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36</xdr:row>
      <xdr:rowOff>133350</xdr:rowOff>
    </xdr:from>
    <xdr:to>
      <xdr:col>12</xdr:col>
      <xdr:colOff>161925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3619500" y="6334125"/>
        <a:ext cx="38576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37</xdr:row>
      <xdr:rowOff>28575</xdr:rowOff>
    </xdr:from>
    <xdr:to>
      <xdr:col>19</xdr:col>
      <xdr:colOff>428625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8153400" y="6391275"/>
        <a:ext cx="38576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152400</xdr:colOff>
      <xdr:row>56</xdr:row>
      <xdr:rowOff>9525</xdr:rowOff>
    </xdr:from>
    <xdr:to>
      <xdr:col>19</xdr:col>
      <xdr:colOff>361950</xdr:colOff>
      <xdr:row>74</xdr:row>
      <xdr:rowOff>57150</xdr:rowOff>
    </xdr:to>
    <xdr:graphicFrame>
      <xdr:nvGraphicFramePr>
        <xdr:cNvPr id="3" name="Chart 5"/>
        <xdr:cNvGraphicFramePr/>
      </xdr:nvGraphicFramePr>
      <xdr:xfrm>
        <a:off x="8077200" y="9648825"/>
        <a:ext cx="38671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55</xdr:row>
      <xdr:rowOff>133350</xdr:rowOff>
    </xdr:from>
    <xdr:to>
      <xdr:col>12</xdr:col>
      <xdr:colOff>228600</xdr:colOff>
      <xdr:row>74</xdr:row>
      <xdr:rowOff>28575</xdr:rowOff>
    </xdr:to>
    <xdr:graphicFrame>
      <xdr:nvGraphicFramePr>
        <xdr:cNvPr id="4" name="Chart 7"/>
        <xdr:cNvGraphicFramePr/>
      </xdr:nvGraphicFramePr>
      <xdr:xfrm>
        <a:off x="3667125" y="9610725"/>
        <a:ext cx="38766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14</xdr:row>
      <xdr:rowOff>123825</xdr:rowOff>
    </xdr:from>
    <xdr:to>
      <xdr:col>8</xdr:col>
      <xdr:colOff>295275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57250" y="2390775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14</xdr:row>
      <xdr:rowOff>104775</xdr:rowOff>
    </xdr:from>
    <xdr:to>
      <xdr:col>20</xdr:col>
      <xdr:colOff>228600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8162925" y="2371725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55</xdr:row>
      <xdr:rowOff>114300</xdr:rowOff>
    </xdr:from>
    <xdr:to>
      <xdr:col>8</xdr:col>
      <xdr:colOff>209550</xdr:colOff>
      <xdr:row>76</xdr:row>
      <xdr:rowOff>133350</xdr:rowOff>
    </xdr:to>
    <xdr:graphicFrame>
      <xdr:nvGraphicFramePr>
        <xdr:cNvPr id="3" name="Chart 4"/>
        <xdr:cNvGraphicFramePr/>
      </xdr:nvGraphicFramePr>
      <xdr:xfrm>
        <a:off x="762000" y="9020175"/>
        <a:ext cx="43053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400050</xdr:colOff>
      <xdr:row>55</xdr:row>
      <xdr:rowOff>95250</xdr:rowOff>
    </xdr:from>
    <xdr:to>
      <xdr:col>20</xdr:col>
      <xdr:colOff>447675</xdr:colOff>
      <xdr:row>76</xdr:row>
      <xdr:rowOff>123825</xdr:rowOff>
    </xdr:to>
    <xdr:graphicFrame>
      <xdr:nvGraphicFramePr>
        <xdr:cNvPr id="4" name="Chart 5"/>
        <xdr:cNvGraphicFramePr/>
      </xdr:nvGraphicFramePr>
      <xdr:xfrm>
        <a:off x="8305800" y="9001125"/>
        <a:ext cx="43148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14</xdr:row>
      <xdr:rowOff>57150</xdr:rowOff>
    </xdr:from>
    <xdr:to>
      <xdr:col>8</xdr:col>
      <xdr:colOff>457200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38225" y="2324100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14</xdr:row>
      <xdr:rowOff>47625</xdr:rowOff>
    </xdr:from>
    <xdr:to>
      <xdr:col>20</xdr:col>
      <xdr:colOff>95250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8048625" y="2314575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14</xdr:row>
      <xdr:rowOff>66675</xdr:rowOff>
    </xdr:from>
    <xdr:to>
      <xdr:col>8</xdr:col>
      <xdr:colOff>190500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71525" y="2333625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14</xdr:row>
      <xdr:rowOff>47625</xdr:rowOff>
    </xdr:from>
    <xdr:to>
      <xdr:col>20</xdr:col>
      <xdr:colOff>142875</xdr:colOff>
      <xdr:row>35</xdr:row>
      <xdr:rowOff>66675</xdr:rowOff>
    </xdr:to>
    <xdr:graphicFrame>
      <xdr:nvGraphicFramePr>
        <xdr:cNvPr id="2" name="Chart 3"/>
        <xdr:cNvGraphicFramePr/>
      </xdr:nvGraphicFramePr>
      <xdr:xfrm>
        <a:off x="8162925" y="2314575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123825</xdr:rowOff>
    </xdr:from>
    <xdr:to>
      <xdr:col>8</xdr:col>
      <xdr:colOff>180975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762000" y="2390775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14</xdr:row>
      <xdr:rowOff>114300</xdr:rowOff>
    </xdr:from>
    <xdr:to>
      <xdr:col>20</xdr:col>
      <xdr:colOff>123825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8143875" y="2381250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59</xdr:row>
      <xdr:rowOff>85725</xdr:rowOff>
    </xdr:from>
    <xdr:to>
      <xdr:col>8</xdr:col>
      <xdr:colOff>276225</xdr:colOff>
      <xdr:row>80</xdr:row>
      <xdr:rowOff>104775</xdr:rowOff>
    </xdr:to>
    <xdr:graphicFrame>
      <xdr:nvGraphicFramePr>
        <xdr:cNvPr id="3" name="Chart 3"/>
        <xdr:cNvGraphicFramePr/>
      </xdr:nvGraphicFramePr>
      <xdr:xfrm>
        <a:off x="847725" y="9639300"/>
        <a:ext cx="43053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59</xdr:row>
      <xdr:rowOff>66675</xdr:rowOff>
    </xdr:from>
    <xdr:to>
      <xdr:col>20</xdr:col>
      <xdr:colOff>200025</xdr:colOff>
      <xdr:row>80</xdr:row>
      <xdr:rowOff>95250</xdr:rowOff>
    </xdr:to>
    <xdr:graphicFrame>
      <xdr:nvGraphicFramePr>
        <xdr:cNvPr id="4" name="Chart 4"/>
        <xdr:cNvGraphicFramePr/>
      </xdr:nvGraphicFramePr>
      <xdr:xfrm>
        <a:off x="8143875" y="9620250"/>
        <a:ext cx="43148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14</xdr:row>
      <xdr:rowOff>47625</xdr:rowOff>
    </xdr:from>
    <xdr:to>
      <xdr:col>8</xdr:col>
      <xdr:colOff>381000</xdr:colOff>
      <xdr:row>35</xdr:row>
      <xdr:rowOff>57150</xdr:rowOff>
    </xdr:to>
    <xdr:graphicFrame>
      <xdr:nvGraphicFramePr>
        <xdr:cNvPr id="1" name="Chart 3"/>
        <xdr:cNvGraphicFramePr/>
      </xdr:nvGraphicFramePr>
      <xdr:xfrm>
        <a:off x="962025" y="2314575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14</xdr:row>
      <xdr:rowOff>85725</xdr:rowOff>
    </xdr:from>
    <xdr:to>
      <xdr:col>20</xdr:col>
      <xdr:colOff>219075</xdr:colOff>
      <xdr:row>35</xdr:row>
      <xdr:rowOff>104775</xdr:rowOff>
    </xdr:to>
    <xdr:graphicFrame>
      <xdr:nvGraphicFramePr>
        <xdr:cNvPr id="2" name="Chart 4"/>
        <xdr:cNvGraphicFramePr/>
      </xdr:nvGraphicFramePr>
      <xdr:xfrm>
        <a:off x="8239125" y="2352675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14</xdr:row>
      <xdr:rowOff>95250</xdr:rowOff>
    </xdr:from>
    <xdr:to>
      <xdr:col>8</xdr:col>
      <xdr:colOff>209550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790575" y="2362200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14</xdr:row>
      <xdr:rowOff>104775</xdr:rowOff>
    </xdr:from>
    <xdr:to>
      <xdr:col>20</xdr:col>
      <xdr:colOff>200025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8220075" y="2371725"/>
        <a:ext cx="42386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"/>
  <sheetViews>
    <sheetView workbookViewId="0" topLeftCell="A1">
      <selection activeCell="C3" sqref="C3"/>
    </sheetView>
  </sheetViews>
  <sheetFormatPr defaultColWidth="9.140625" defaultRowHeight="12.75"/>
  <cols>
    <col min="12" max="12" width="9.140625" style="34" customWidth="1"/>
    <col min="13" max="13" width="9.140625" style="7" customWidth="1"/>
    <col min="19" max="19" width="9.140625" style="7" customWidth="1"/>
    <col min="26" max="40" width="9.140625" style="34" customWidth="1"/>
    <col min="46" max="46" width="9.140625" style="7" customWidth="1"/>
    <col min="62" max="64" width="9.28125" style="0" bestFit="1" customWidth="1"/>
  </cols>
  <sheetData>
    <row r="1" spans="1:63" ht="12.75">
      <c r="A1" s="3" t="s">
        <v>31</v>
      </c>
      <c r="B1" s="4" t="s">
        <v>3</v>
      </c>
      <c r="C1" s="4">
        <v>-0.15</v>
      </c>
      <c r="D1" s="4">
        <f>C1+1</f>
        <v>0.85</v>
      </c>
      <c r="E1" s="4">
        <f>D1+1</f>
        <v>1.85</v>
      </c>
      <c r="G1" s="3" t="s">
        <v>53</v>
      </c>
      <c r="H1" s="4" t="s">
        <v>3</v>
      </c>
      <c r="I1" s="4">
        <v>0.15</v>
      </c>
      <c r="J1" s="4">
        <f>I1+1</f>
        <v>1.15</v>
      </c>
      <c r="K1" s="4">
        <f>J1+1</f>
        <v>2.15</v>
      </c>
      <c r="L1" s="26"/>
      <c r="M1" s="26"/>
      <c r="N1" s="3" t="s">
        <v>31</v>
      </c>
      <c r="O1" s="4" t="s">
        <v>3</v>
      </c>
      <c r="P1" s="4">
        <v>-0.15</v>
      </c>
      <c r="Q1" s="4">
        <f>P1+1</f>
        <v>0.85</v>
      </c>
      <c r="R1" s="4">
        <f>Q1+1</f>
        <v>1.85</v>
      </c>
      <c r="S1" s="26"/>
      <c r="T1" s="3" t="s">
        <v>53</v>
      </c>
      <c r="U1" s="4" t="s">
        <v>3</v>
      </c>
      <c r="V1" s="4">
        <v>0.15</v>
      </c>
      <c r="W1" s="4">
        <f>V1+1</f>
        <v>1.15</v>
      </c>
      <c r="X1" s="4">
        <f>W1+1</f>
        <v>2.15</v>
      </c>
      <c r="Y1" s="6"/>
      <c r="Z1" s="26"/>
      <c r="AA1" s="26"/>
      <c r="AB1" s="3" t="s">
        <v>31</v>
      </c>
      <c r="AC1" s="4" t="s">
        <v>3</v>
      </c>
      <c r="AD1" s="4">
        <v>-0.15</v>
      </c>
      <c r="AE1" s="4">
        <f>AD1+1</f>
        <v>0.85</v>
      </c>
      <c r="AF1" s="4">
        <f>AE1+1</f>
        <v>1.85</v>
      </c>
      <c r="AG1"/>
      <c r="AH1" s="3" t="s">
        <v>53</v>
      </c>
      <c r="AI1" s="4" t="s">
        <v>3</v>
      </c>
      <c r="AJ1" s="4">
        <v>0.15</v>
      </c>
      <c r="AK1" s="4">
        <f>AJ1+1</f>
        <v>1.15</v>
      </c>
      <c r="AL1" s="4">
        <f>AK1+1</f>
        <v>2.15</v>
      </c>
      <c r="AM1" s="26"/>
      <c r="AN1" s="26"/>
      <c r="AO1" s="3" t="s">
        <v>31</v>
      </c>
      <c r="AP1" s="4" t="s">
        <v>3</v>
      </c>
      <c r="AQ1" s="4">
        <v>-0.15</v>
      </c>
      <c r="AR1" s="4">
        <f>AQ1+1</f>
        <v>0.85</v>
      </c>
      <c r="AS1" s="4">
        <f>AR1+1</f>
        <v>1.85</v>
      </c>
      <c r="AT1" s="26"/>
      <c r="AU1" s="3" t="s">
        <v>53</v>
      </c>
      <c r="AV1" s="4" t="s">
        <v>3</v>
      </c>
      <c r="AW1" s="4">
        <v>0.15</v>
      </c>
      <c r="AX1" s="4">
        <f>AW1+1</f>
        <v>1.15</v>
      </c>
      <c r="AY1" s="4">
        <f>AX1+1</f>
        <v>2.15</v>
      </c>
      <c r="BD1" t="s">
        <v>32</v>
      </c>
      <c r="BE1" t="s">
        <v>31</v>
      </c>
      <c r="BF1" t="s">
        <v>53</v>
      </c>
      <c r="BG1" t="s">
        <v>33</v>
      </c>
      <c r="BJ1" s="45"/>
      <c r="BK1" s="45"/>
    </row>
    <row r="2" spans="1:64" ht="15.75">
      <c r="A2" s="11" t="s">
        <v>15</v>
      </c>
      <c r="B2" s="8" t="s">
        <v>5</v>
      </c>
      <c r="C2" s="9">
        <f>BD2</f>
        <v>186</v>
      </c>
      <c r="D2" s="9">
        <f>BE2</f>
        <v>21</v>
      </c>
      <c r="E2" s="9">
        <f>BG2</f>
        <v>13</v>
      </c>
      <c r="G2" s="11" t="s">
        <v>15</v>
      </c>
      <c r="H2" s="8" t="s">
        <v>5</v>
      </c>
      <c r="I2" s="9">
        <f>BD2</f>
        <v>186</v>
      </c>
      <c r="J2" s="9">
        <f>BF2</f>
        <v>47</v>
      </c>
      <c r="K2" s="9">
        <f>BG2</f>
        <v>13</v>
      </c>
      <c r="L2" s="32"/>
      <c r="M2" s="9"/>
      <c r="N2" s="11" t="s">
        <v>15</v>
      </c>
      <c r="O2" s="8" t="s">
        <v>5</v>
      </c>
      <c r="P2" s="9">
        <f>BD9</f>
        <v>2219</v>
      </c>
      <c r="Q2" s="9">
        <f>BE9</f>
        <v>106</v>
      </c>
      <c r="R2" s="9">
        <f>BG9</f>
        <v>60</v>
      </c>
      <c r="S2" s="9"/>
      <c r="T2" s="11" t="s">
        <v>15</v>
      </c>
      <c r="U2" s="8" t="s">
        <v>5</v>
      </c>
      <c r="V2" s="9">
        <f>BD9</f>
        <v>2219</v>
      </c>
      <c r="W2" s="9">
        <f>BF9</f>
        <v>343</v>
      </c>
      <c r="X2" s="9">
        <f>BG9</f>
        <v>60</v>
      </c>
      <c r="Y2" s="9"/>
      <c r="Z2" s="32"/>
      <c r="AA2" s="32"/>
      <c r="AB2" s="11" t="s">
        <v>15</v>
      </c>
      <c r="AC2" s="8" t="s">
        <v>5</v>
      </c>
      <c r="AD2" s="9">
        <f>BD16</f>
        <v>186</v>
      </c>
      <c r="AE2" s="9">
        <f>BE16</f>
        <v>8</v>
      </c>
      <c r="AF2" s="9">
        <f>BG16</f>
        <v>4</v>
      </c>
      <c r="AG2"/>
      <c r="AH2" s="11" t="s">
        <v>15</v>
      </c>
      <c r="AI2" s="8" t="s">
        <v>5</v>
      </c>
      <c r="AJ2" s="9">
        <f>BD16</f>
        <v>186</v>
      </c>
      <c r="AK2" s="9">
        <f>BF16</f>
        <v>25</v>
      </c>
      <c r="AL2" s="9">
        <f>BG16</f>
        <v>4</v>
      </c>
      <c r="AM2" s="32"/>
      <c r="AN2" s="32"/>
      <c r="AO2" s="11" t="s">
        <v>15</v>
      </c>
      <c r="AP2" s="8" t="s">
        <v>5</v>
      </c>
      <c r="AQ2" s="9">
        <f>BD23</f>
        <v>2219</v>
      </c>
      <c r="AR2" s="9">
        <f>BE23</f>
        <v>36</v>
      </c>
      <c r="AS2" s="9">
        <f>BG23</f>
        <v>27</v>
      </c>
      <c r="AT2" s="9"/>
      <c r="AU2" s="11" t="s">
        <v>15</v>
      </c>
      <c r="AV2" s="8" t="s">
        <v>5</v>
      </c>
      <c r="AW2" s="9">
        <f>AQ2</f>
        <v>2219</v>
      </c>
      <c r="AX2" s="9">
        <f>BF23</f>
        <v>179</v>
      </c>
      <c r="AY2" s="9">
        <f>AS2</f>
        <v>27</v>
      </c>
      <c r="BC2" t="s">
        <v>34</v>
      </c>
      <c r="BD2">
        <f>SUM(BD3:BD4)</f>
        <v>186</v>
      </c>
      <c r="BE2">
        <f>SUM(BE3:BE4)</f>
        <v>21</v>
      </c>
      <c r="BF2">
        <f>SUM(BF3:BF4)</f>
        <v>47</v>
      </c>
      <c r="BG2">
        <v>13</v>
      </c>
      <c r="BI2" s="45"/>
      <c r="BJ2" s="44"/>
      <c r="BK2" s="44"/>
      <c r="BL2" s="44"/>
    </row>
    <row r="3" spans="1:65" ht="15.75">
      <c r="A3" s="11" t="s">
        <v>37</v>
      </c>
      <c r="B3" s="22"/>
      <c r="C3" s="20"/>
      <c r="D3" s="20">
        <f>J2</f>
        <v>47</v>
      </c>
      <c r="E3" s="20"/>
      <c r="G3" s="11"/>
      <c r="H3" s="22"/>
      <c r="I3" s="20"/>
      <c r="J3" s="20">
        <f>D2</f>
        <v>21</v>
      </c>
      <c r="K3" s="20"/>
      <c r="L3" s="32"/>
      <c r="M3" s="9"/>
      <c r="N3" s="11" t="s">
        <v>38</v>
      </c>
      <c r="O3" s="22"/>
      <c r="P3" s="20"/>
      <c r="Q3" s="20">
        <f>W2</f>
        <v>343</v>
      </c>
      <c r="R3" s="20"/>
      <c r="S3"/>
      <c r="T3" s="11"/>
      <c r="U3" s="22"/>
      <c r="V3" s="20"/>
      <c r="W3" s="20">
        <f>Q2</f>
        <v>106</v>
      </c>
      <c r="X3" s="20"/>
      <c r="Y3" s="20"/>
      <c r="Z3" s="32"/>
      <c r="AA3" s="32"/>
      <c r="AB3" s="11" t="s">
        <v>37</v>
      </c>
      <c r="AC3" s="22"/>
      <c r="AD3" s="20"/>
      <c r="AE3" s="20">
        <f>AK2</f>
        <v>25</v>
      </c>
      <c r="AF3" s="20"/>
      <c r="AG3"/>
      <c r="AH3" s="11"/>
      <c r="AI3" s="22"/>
      <c r="AJ3" s="20"/>
      <c r="AK3" s="20">
        <f>AE2</f>
        <v>8</v>
      </c>
      <c r="AL3" s="20"/>
      <c r="AM3" s="32"/>
      <c r="AN3" s="32"/>
      <c r="AO3" s="11" t="s">
        <v>38</v>
      </c>
      <c r="AP3" s="22"/>
      <c r="AQ3" s="20"/>
      <c r="AR3" s="20">
        <f>AX2</f>
        <v>179</v>
      </c>
      <c r="AS3" s="20"/>
      <c r="AT3"/>
      <c r="AU3" s="11"/>
      <c r="AV3" s="22"/>
      <c r="AW3" s="20"/>
      <c r="AX3" s="20">
        <f>AR2</f>
        <v>36</v>
      </c>
      <c r="AY3" s="20"/>
      <c r="BC3" t="s">
        <v>35</v>
      </c>
      <c r="BD3">
        <v>101</v>
      </c>
      <c r="BE3">
        <v>10</v>
      </c>
      <c r="BF3">
        <v>28</v>
      </c>
      <c r="BG3">
        <v>6</v>
      </c>
      <c r="BI3" s="45"/>
      <c r="BJ3" s="44"/>
      <c r="BK3" s="44"/>
      <c r="BL3" s="44"/>
      <c r="BM3" s="19"/>
    </row>
    <row r="4" spans="1:65" ht="12.75">
      <c r="A4" t="s">
        <v>51</v>
      </c>
      <c r="B4" s="5"/>
      <c r="C4" s="20"/>
      <c r="D4" s="20"/>
      <c r="E4" s="20"/>
      <c r="H4" s="5"/>
      <c r="I4" s="20"/>
      <c r="J4" s="20"/>
      <c r="K4" s="20"/>
      <c r="L4" s="32"/>
      <c r="M4" s="9"/>
      <c r="N4" t="s">
        <v>51</v>
      </c>
      <c r="O4" s="5"/>
      <c r="P4" s="20"/>
      <c r="Q4" s="20"/>
      <c r="R4" s="20"/>
      <c r="S4"/>
      <c r="U4" s="5"/>
      <c r="V4" s="20"/>
      <c r="W4" s="20"/>
      <c r="X4" s="20"/>
      <c r="Y4" s="20"/>
      <c r="Z4" s="32"/>
      <c r="AA4" s="32"/>
      <c r="AB4" t="s">
        <v>59</v>
      </c>
      <c r="AC4" s="5"/>
      <c r="AD4" s="20"/>
      <c r="AE4" s="20"/>
      <c r="AF4" s="20"/>
      <c r="AG4"/>
      <c r="AH4"/>
      <c r="AI4" s="5"/>
      <c r="AJ4" s="20"/>
      <c r="AK4" s="20"/>
      <c r="AL4" s="20"/>
      <c r="AM4" s="32"/>
      <c r="AN4" s="32"/>
      <c r="AO4" t="s">
        <v>59</v>
      </c>
      <c r="AP4" s="5"/>
      <c r="AQ4" s="20"/>
      <c r="AR4" s="20"/>
      <c r="AS4" s="20"/>
      <c r="AT4"/>
      <c r="AV4" s="5"/>
      <c r="AW4" s="20"/>
      <c r="AX4" s="20"/>
      <c r="AY4" s="20"/>
      <c r="BC4" t="s">
        <v>36</v>
      </c>
      <c r="BD4">
        <v>85</v>
      </c>
      <c r="BE4">
        <v>11</v>
      </c>
      <c r="BF4">
        <v>19</v>
      </c>
      <c r="BG4">
        <v>7</v>
      </c>
      <c r="BJ4" s="44"/>
      <c r="BK4" s="44"/>
      <c r="BL4" s="44"/>
      <c r="BM4" s="19"/>
    </row>
    <row r="5" spans="2:64" ht="12.75">
      <c r="B5" s="3" t="s">
        <v>6</v>
      </c>
      <c r="C5" s="3"/>
      <c r="D5" s="14">
        <f>D3/C2</f>
        <v>0.25268817204301075</v>
      </c>
      <c r="E5" s="14">
        <f>E2/D2</f>
        <v>0.6190476190476191</v>
      </c>
      <c r="H5" s="3" t="s">
        <v>6</v>
      </c>
      <c r="I5" s="3"/>
      <c r="J5" s="14">
        <f>J3/I2</f>
        <v>0.11290322580645161</v>
      </c>
      <c r="K5" s="14">
        <f>K2/J2</f>
        <v>0.2765957446808511</v>
      </c>
      <c r="L5" s="33"/>
      <c r="M5" s="27"/>
      <c r="O5" s="3" t="s">
        <v>6</v>
      </c>
      <c r="P5" s="3"/>
      <c r="Q5" s="14">
        <f>Q3/P2</f>
        <v>0.15457413249211358</v>
      </c>
      <c r="R5" s="14">
        <f>R2/Q2</f>
        <v>0.5660377358490566</v>
      </c>
      <c r="S5"/>
      <c r="U5" s="3" t="s">
        <v>6</v>
      </c>
      <c r="V5" s="3"/>
      <c r="W5" s="14">
        <f>W3/V2</f>
        <v>0.047769265434880574</v>
      </c>
      <c r="X5" s="14">
        <f>X2/W2</f>
        <v>0.1749271137026239</v>
      </c>
      <c r="Y5" s="14"/>
      <c r="Z5" s="33"/>
      <c r="AA5" s="33"/>
      <c r="AB5"/>
      <c r="AC5" s="3" t="s">
        <v>6</v>
      </c>
      <c r="AD5" s="3"/>
      <c r="AE5" s="14">
        <f>AE3/AD2</f>
        <v>0.13440860215053763</v>
      </c>
      <c r="AF5" s="14">
        <f>AF2/AE2</f>
        <v>0.5</v>
      </c>
      <c r="AG5"/>
      <c r="AH5"/>
      <c r="AI5" s="3" t="s">
        <v>6</v>
      </c>
      <c r="AJ5" s="3"/>
      <c r="AK5" s="14">
        <f>AK3/AJ2</f>
        <v>0.043010752688172046</v>
      </c>
      <c r="AL5" s="14">
        <f>AL2/AK2</f>
        <v>0.16</v>
      </c>
      <c r="AM5" s="33"/>
      <c r="AN5" s="33"/>
      <c r="AP5" s="3" t="s">
        <v>6</v>
      </c>
      <c r="AQ5" s="3"/>
      <c r="AR5" s="14">
        <f>AR3/AQ2</f>
        <v>0.08066696710229833</v>
      </c>
      <c r="AS5" s="14">
        <f>AS2/AR2</f>
        <v>0.75</v>
      </c>
      <c r="AT5"/>
      <c r="AV5" s="3" t="s">
        <v>6</v>
      </c>
      <c r="AW5" s="3"/>
      <c r="AX5" s="14">
        <f>AX3/AW2</f>
        <v>0.01622352410995944</v>
      </c>
      <c r="AY5" s="14">
        <f>AY2/AX2</f>
        <v>0.15083798882681565</v>
      </c>
      <c r="BK5" s="19"/>
      <c r="BL5" s="19"/>
    </row>
    <row r="6" spans="28:63" ht="12.75">
      <c r="AB6"/>
      <c r="AC6"/>
      <c r="AD6"/>
      <c r="AE6"/>
      <c r="AF6"/>
      <c r="AG6"/>
      <c r="AH6"/>
      <c r="AI6"/>
      <c r="AJ6"/>
      <c r="AK6"/>
      <c r="AL6"/>
      <c r="BK6" s="46"/>
    </row>
    <row r="7" spans="1:45" ht="18">
      <c r="A7" s="17" t="s">
        <v>26</v>
      </c>
      <c r="B7" s="17"/>
      <c r="C7" s="17"/>
      <c r="D7" s="17"/>
      <c r="E7" s="17"/>
      <c r="O7" s="17"/>
      <c r="P7" s="17"/>
      <c r="Q7" s="17"/>
      <c r="R7" s="17"/>
      <c r="AB7" s="17" t="s">
        <v>26</v>
      </c>
      <c r="AC7" s="17"/>
      <c r="AD7" s="17"/>
      <c r="AE7" s="17"/>
      <c r="AF7" s="17"/>
      <c r="AG7"/>
      <c r="AH7"/>
      <c r="AI7"/>
      <c r="AJ7"/>
      <c r="AK7"/>
      <c r="AL7"/>
      <c r="AP7" s="17"/>
      <c r="AQ7" s="17"/>
      <c r="AR7" s="17"/>
      <c r="AS7" s="17"/>
    </row>
    <row r="8" spans="2:63" ht="12.75">
      <c r="B8" s="3"/>
      <c r="O8" s="3"/>
      <c r="Y8" s="34"/>
      <c r="Z8" s="7"/>
      <c r="AA8" s="7"/>
      <c r="AB8"/>
      <c r="AC8" s="3"/>
      <c r="AD8"/>
      <c r="AE8"/>
      <c r="AF8"/>
      <c r="AG8"/>
      <c r="AH8"/>
      <c r="AI8"/>
      <c r="AJ8"/>
      <c r="AK8"/>
      <c r="AL8"/>
      <c r="AN8"/>
      <c r="AP8" s="3"/>
      <c r="AZ8" s="34"/>
      <c r="BB8" s="7"/>
      <c r="BD8" t="s">
        <v>32</v>
      </c>
      <c r="BE8" t="s">
        <v>31</v>
      </c>
      <c r="BF8" t="s">
        <v>53</v>
      </c>
      <c r="BG8" t="s">
        <v>33</v>
      </c>
      <c r="BJ8" s="45"/>
      <c r="BK8" s="45"/>
    </row>
    <row r="9" spans="1:64" ht="15">
      <c r="A9" s="12" t="s">
        <v>9</v>
      </c>
      <c r="B9" s="3" t="s">
        <v>13</v>
      </c>
      <c r="D9" s="14">
        <f>(D5+$C$18*$C$18/(2*C2))/(1+$C$18*$C$18/C2)</f>
        <v>0.2576925289640218</v>
      </c>
      <c r="E9" s="14">
        <f>(E5+$C$18*$C$18/(2*D2))/(1+$C$18*$C$18/D2)</f>
        <v>0.6006382753091809</v>
      </c>
      <c r="J9" s="14">
        <f>(J5+$C$18*$C$18/(2*I2))/(1+$C$18*$C$18/I2)</f>
        <v>0.12073613229151232</v>
      </c>
      <c r="K9" s="14">
        <f>(K5+$C$18*$C$18/(2*J2))/(1+$C$18*$C$18/J2)</f>
        <v>0.29347557152607423</v>
      </c>
      <c r="L9" s="33"/>
      <c r="M9"/>
      <c r="N9" s="14"/>
      <c r="O9" s="3" t="s">
        <v>13</v>
      </c>
      <c r="Q9" s="14">
        <f>(Q5+$C$18*$C$18/(2*P2))/(1+$C$18*$C$18/P2)</f>
        <v>0.1551710863839232</v>
      </c>
      <c r="R9" s="14">
        <f>(R5+$C$18*$C$18/(2*Q2))/(1+$C$18*$C$18/Q2)</f>
        <v>0.5637282231184125</v>
      </c>
      <c r="W9" s="14">
        <f>(W5+$C$18*$C$18/(2*V2))/(1+$C$18*$C$18/V2)</f>
        <v>0.04855079606818909</v>
      </c>
      <c r="X9" s="14">
        <f>(X5+$C$18*$C$18/(2*W2))/(1+$C$18*$C$18/W2)</f>
        <v>0.17852745920218321</v>
      </c>
      <c r="Y9" s="33"/>
      <c r="Z9"/>
      <c r="AA9"/>
      <c r="AB9" s="12" t="s">
        <v>9</v>
      </c>
      <c r="AC9" s="3" t="s">
        <v>13</v>
      </c>
      <c r="AD9"/>
      <c r="AE9" s="14">
        <f>(AE5+$C$18*$C$18/(2*AD2))/(1+$C$18*$C$18/AD2)</f>
        <v>0.1418063471642061</v>
      </c>
      <c r="AF9" s="14">
        <f>(AF5+$C$18*$C$18/(2*AE2))/(1+$C$18*$C$18/AE2)</f>
        <v>0.5</v>
      </c>
      <c r="AG9"/>
      <c r="AH9"/>
      <c r="AI9"/>
      <c r="AJ9"/>
      <c r="AK9" s="14">
        <f>(AK5+$C$18*$C$18/(2*AJ2))/(1+$C$18*$C$18/AJ2)</f>
        <v>0.05225793395525761</v>
      </c>
      <c r="AL9" s="14">
        <f>(AL5+$C$18*$C$18/(2*AK2))/(1+$C$18*$C$18/AK2)</f>
        <v>0.20528520571645817</v>
      </c>
      <c r="AM9" s="33"/>
      <c r="AN9"/>
      <c r="AO9" s="14"/>
      <c r="AP9" s="3" t="s">
        <v>13</v>
      </c>
      <c r="AR9" s="14">
        <f>(AR5+$C$18*$C$18/(2*AQ2))/(1+$C$18*$C$18/AQ2)</f>
        <v>0.08139164498400593</v>
      </c>
      <c r="AS9" s="14">
        <f>(AS5+$C$18*$C$18/(2*AR2))/(1+$C$18*$C$18/AR2)</f>
        <v>0.7258954314094367</v>
      </c>
      <c r="AX9" s="14">
        <f>(AX5+$C$18*$C$18/(2*AW2))/(1+$C$18*$C$18/AW2)</f>
        <v>0.017059571080419517</v>
      </c>
      <c r="AY9" s="14">
        <f>(AY5+$C$18*$C$18/(2*AX2))/(1+$C$18*$C$18/AX2)</f>
        <v>0.1581737766580204</v>
      </c>
      <c r="AZ9" s="33"/>
      <c r="BC9" t="s">
        <v>34</v>
      </c>
      <c r="BD9">
        <f>SUM(BD10:BD11)</f>
        <v>2219</v>
      </c>
      <c r="BE9">
        <f>SUM(BE10:BE11)</f>
        <v>106</v>
      </c>
      <c r="BF9">
        <f>SUM(BF10:BF11)</f>
        <v>343</v>
      </c>
      <c r="BG9">
        <f>SUM(BG10:BG11)</f>
        <v>60</v>
      </c>
      <c r="BI9" s="45"/>
      <c r="BJ9" s="44"/>
      <c r="BK9" s="44"/>
      <c r="BL9" s="44"/>
    </row>
    <row r="10" spans="1:65" ht="12.75">
      <c r="A10" t="s">
        <v>7</v>
      </c>
      <c r="B10" s="3" t="s">
        <v>4</v>
      </c>
      <c r="C10" s="2"/>
      <c r="D10" s="2">
        <f>($C$18*SQRT((D5*(1-D5)/C2+$C$18*$C$18/(4*C2*C2))))/(1+$C$18*$C$18/C2)</f>
        <v>0.062017409130368135</v>
      </c>
      <c r="E10" s="2">
        <f>($C$18*SQRT((E5*(1-E5)/D2+$C$18*$C$18/(4*D2*D2))))/(1+$C$18*$C$18/D2)</f>
        <v>0.1918513415311707</v>
      </c>
      <c r="G10" s="19"/>
      <c r="J10" s="2">
        <f>($C$18*SQRT((J5*(1-J5)/I2+$C$18*$C$18/(4*I2*I2))))/(1+$C$18*$C$18/I2)</f>
        <v>0.04569478849947793</v>
      </c>
      <c r="K10" s="2">
        <f>($C$18*SQRT((K5*(1-K5)/J2+$C$18*$C$18/(4*J2*J2))))/(1+$C$18*$C$18/J2)</f>
        <v>0.12410976371395806</v>
      </c>
      <c r="L10" s="35"/>
      <c r="M10" s="19"/>
      <c r="N10" s="2"/>
      <c r="O10" s="3" t="s">
        <v>4</v>
      </c>
      <c r="P10" s="2"/>
      <c r="Q10" s="2">
        <f>($C$18*SQRT((Q5*(1-Q5)/P2+$C$18*$C$18/(4*P2*P2))))/(1+$C$18*$C$18/P2)</f>
        <v>0.015039780913781553</v>
      </c>
      <c r="R10" s="2">
        <f>($C$18*SQRT((R5*(1-R5)/Q2+$C$18*$C$18/(4*Q2*Q2))))/(1+$C$18*$C$18/Q2)</f>
        <v>0.09271447672745096</v>
      </c>
      <c r="T10" s="19"/>
      <c r="W10" s="2">
        <f>($C$18*SQRT((W5*(1-W5)/V2+$C$18*$C$18/(4*V2*V2))))/(1+$C$18*$C$18/V2)</f>
        <v>0.008900594905437707</v>
      </c>
      <c r="X10" s="2">
        <f>($C$18*SQRT((X5*(1-X5)/W2+$C$18*$C$18/(4*W2*W2))))/(1+$C$18*$C$18/W2)</f>
        <v>0.04014303624889235</v>
      </c>
      <c r="Y10" s="35"/>
      <c r="Z10" s="19"/>
      <c r="AA10" s="19"/>
      <c r="AB10" t="s">
        <v>7</v>
      </c>
      <c r="AC10" s="3" t="s">
        <v>4</v>
      </c>
      <c r="AD10" s="2"/>
      <c r="AE10" s="2">
        <f>($C$18*SQRT((AE5*(1-AE5)/AD2+$C$18*$C$18/(4*AD2*AD2))))/(1+$C$18*$C$18/AD2)</f>
        <v>0.04908081902068628</v>
      </c>
      <c r="AF10" s="2">
        <f>($C$18*SQRT((AF5*(1-AF5)/AE2+$C$18*$C$18/(4*AE2*AE2))))/(1+$C$18*$C$18/AE2)</f>
        <v>0.28478354664740774</v>
      </c>
      <c r="AG10"/>
      <c r="AH10" s="19"/>
      <c r="AI10"/>
      <c r="AJ10"/>
      <c r="AK10" s="2">
        <f>($C$18*SQRT((AK5*(1-AK5)/AJ2+$C$18*$C$18/(4*AJ2*AJ2))))/(1+$C$18*$C$18/AJ2)</f>
        <v>0.030305116058512535</v>
      </c>
      <c r="AL10" s="2">
        <f>($C$18*SQRT((AL5*(1-AL5)/AK2+$C$18*$C$18/(4*AK2*AK2))))/(1+$C$18*$C$18/AK2)</f>
        <v>0.14125057625700085</v>
      </c>
      <c r="AM10" s="35"/>
      <c r="AN10" s="19"/>
      <c r="AO10" s="2"/>
      <c r="AP10" s="3" t="s">
        <v>4</v>
      </c>
      <c r="AQ10" s="2"/>
      <c r="AR10" s="2">
        <f>($C$18*SQRT((AR5*(1-AR5)/AQ2+$C$18*$C$18/(4*AQ2*AQ2))))/(1+$C$18*$C$18/AQ2)</f>
        <v>0.011343974433507173</v>
      </c>
      <c r="AS10" s="2">
        <f>($C$18*SQRT((AS5*(1-AS5)/AR2+$C$18*$C$18/(4*AR2*AR2))))/(1+$C$18*$C$18/AR2)</f>
        <v>0.13659962177787924</v>
      </c>
      <c r="AU10" s="19"/>
      <c r="AX10" s="2">
        <f>($C$18*SQRT((AX5*(1-AX5)/AW2+$C$18*$C$18/(4*AW2*AW2))))/(1+$C$18*$C$18/AW2)</f>
        <v>0.005317996748330135</v>
      </c>
      <c r="AY10" s="2">
        <f>($C$18*SQRT((AY5*(1-AY5)/AX2+$C$18*$C$18/(4*AX2*AX2))))/(1+$C$18*$C$18/AX2)</f>
        <v>0.05239140614226566</v>
      </c>
      <c r="AZ10" s="35"/>
      <c r="BA10" s="19"/>
      <c r="BB10" s="19"/>
      <c r="BC10" t="s">
        <v>35</v>
      </c>
      <c r="BD10">
        <v>835</v>
      </c>
      <c r="BE10">
        <v>44</v>
      </c>
      <c r="BF10">
        <v>122</v>
      </c>
      <c r="BG10">
        <v>23</v>
      </c>
      <c r="BI10" s="45"/>
      <c r="BJ10" s="44"/>
      <c r="BK10" s="44"/>
      <c r="BL10" s="44"/>
      <c r="BM10" s="19"/>
    </row>
    <row r="11" spans="1:65" ht="12.75">
      <c r="A11" t="s">
        <v>11</v>
      </c>
      <c r="B11" s="3" t="s">
        <v>1</v>
      </c>
      <c r="D11" s="2">
        <f>D9+D10</f>
        <v>0.3197099380943899</v>
      </c>
      <c r="E11" s="2">
        <f>E9+E10</f>
        <v>0.7924896168403516</v>
      </c>
      <c r="G11" s="19"/>
      <c r="J11" s="2">
        <f>J9+J10</f>
        <v>0.16643092079099026</v>
      </c>
      <c r="K11" s="2">
        <f>K9+K10</f>
        <v>0.4175853352400323</v>
      </c>
      <c r="L11" s="35"/>
      <c r="M11" s="19"/>
      <c r="N11" s="2"/>
      <c r="O11" s="3" t="s">
        <v>1</v>
      </c>
      <c r="Q11" s="2">
        <f>Q9+Q10</f>
        <v>0.17021086729770477</v>
      </c>
      <c r="R11" s="2">
        <f>R9+R10</f>
        <v>0.6564426998458635</v>
      </c>
      <c r="T11" s="19"/>
      <c r="W11" s="2">
        <f>W9+W10</f>
        <v>0.057451390973626795</v>
      </c>
      <c r="X11" s="2">
        <f>X9+X10</f>
        <v>0.21867049545107556</v>
      </c>
      <c r="Y11" s="35"/>
      <c r="Z11" s="19"/>
      <c r="AA11" s="19"/>
      <c r="AB11" t="s">
        <v>11</v>
      </c>
      <c r="AC11" s="3" t="s">
        <v>1</v>
      </c>
      <c r="AD11"/>
      <c r="AE11" s="2">
        <f>AE9+AE10</f>
        <v>0.19088716618489238</v>
      </c>
      <c r="AF11" s="2">
        <f>AF9+AF10</f>
        <v>0.7847835466474078</v>
      </c>
      <c r="AG11"/>
      <c r="AH11" s="19"/>
      <c r="AI11"/>
      <c r="AJ11"/>
      <c r="AK11" s="2">
        <f>AK9+AK10</f>
        <v>0.08256305001377015</v>
      </c>
      <c r="AL11" s="2">
        <f>AL9+AL10</f>
        <v>0.346535781973459</v>
      </c>
      <c r="AM11" s="35"/>
      <c r="AN11" s="19"/>
      <c r="AO11" s="2"/>
      <c r="AP11" s="3" t="s">
        <v>1</v>
      </c>
      <c r="AR11" s="2">
        <f>AR9+AR10</f>
        <v>0.0927356194175131</v>
      </c>
      <c r="AS11" s="2">
        <f>AS9+AS10</f>
        <v>0.8624950531873159</v>
      </c>
      <c r="AU11" s="19"/>
      <c r="AX11" s="2">
        <f>AX9+AX10</f>
        <v>0.022377567828749653</v>
      </c>
      <c r="AY11" s="2">
        <f>AY9+AY10</f>
        <v>0.21056518280028608</v>
      </c>
      <c r="AZ11" s="35"/>
      <c r="BA11" s="19"/>
      <c r="BB11" s="19"/>
      <c r="BC11" t="s">
        <v>36</v>
      </c>
      <c r="BD11">
        <v>1384</v>
      </c>
      <c r="BE11">
        <v>62</v>
      </c>
      <c r="BF11">
        <v>221</v>
      </c>
      <c r="BG11">
        <v>37</v>
      </c>
      <c r="BJ11" s="44"/>
      <c r="BK11" s="44"/>
      <c r="BL11" s="44"/>
      <c r="BM11" s="19"/>
    </row>
    <row r="12" spans="2:64" ht="12.75">
      <c r="B12" s="3" t="s">
        <v>0</v>
      </c>
      <c r="C12" s="2"/>
      <c r="D12" s="2">
        <f>D9-D10</f>
        <v>0.19567511983365365</v>
      </c>
      <c r="E12" s="2">
        <f>E9-E10</f>
        <v>0.40878693377801023</v>
      </c>
      <c r="G12" s="19"/>
      <c r="H12" s="19"/>
      <c r="J12" s="2">
        <f>J9-J10</f>
        <v>0.07504134379203439</v>
      </c>
      <c r="K12" s="2">
        <f>K9-K10</f>
        <v>0.1693658078121162</v>
      </c>
      <c r="L12" s="35"/>
      <c r="M12" s="19"/>
      <c r="N12" s="19"/>
      <c r="O12" s="3" t="s">
        <v>0</v>
      </c>
      <c r="P12" s="2"/>
      <c r="Q12" s="2">
        <f>Q9-Q10</f>
        <v>0.14013130547014166</v>
      </c>
      <c r="R12" s="2">
        <f>R9-R10</f>
        <v>0.47101374639096155</v>
      </c>
      <c r="T12" s="19"/>
      <c r="U12" s="19"/>
      <c r="W12" s="2">
        <f>W9-W10</f>
        <v>0.03965020116275138</v>
      </c>
      <c r="X12" s="2">
        <f>X9-X10</f>
        <v>0.13838442295329087</v>
      </c>
      <c r="Y12" s="35"/>
      <c r="Z12" s="19"/>
      <c r="AA12" s="19"/>
      <c r="AB12"/>
      <c r="AC12" s="3" t="s">
        <v>0</v>
      </c>
      <c r="AD12" s="2"/>
      <c r="AE12" s="2">
        <f>AE9-AE10</f>
        <v>0.09272552814351981</v>
      </c>
      <c r="AF12" s="2">
        <f>AF9-AF10</f>
        <v>0.21521645335259226</v>
      </c>
      <c r="AG12"/>
      <c r="AH12" s="19"/>
      <c r="AI12" s="19"/>
      <c r="AJ12"/>
      <c r="AK12" s="2">
        <f>AK9-AK10</f>
        <v>0.021952817896745074</v>
      </c>
      <c r="AL12" s="2">
        <f>AL9-AL10</f>
        <v>0.06403462945945732</v>
      </c>
      <c r="AM12" s="35"/>
      <c r="AN12" s="19"/>
      <c r="AO12" s="2"/>
      <c r="AP12" s="3" t="s">
        <v>0</v>
      </c>
      <c r="AQ12" s="2"/>
      <c r="AR12" s="2">
        <f>AR9-AR10</f>
        <v>0.07004767055049876</v>
      </c>
      <c r="AS12" s="2">
        <f>AS9-AS10</f>
        <v>0.5892958096315575</v>
      </c>
      <c r="AU12" s="19"/>
      <c r="AV12" s="19"/>
      <c r="AX12" s="2">
        <f>AX9-AX10</f>
        <v>0.011741574332089381</v>
      </c>
      <c r="AY12" s="2">
        <f>AY9-AY10</f>
        <v>0.10578237051575475</v>
      </c>
      <c r="AZ12" s="35"/>
      <c r="BA12" s="19"/>
      <c r="BB12" s="19"/>
      <c r="BK12" s="19"/>
      <c r="BL12" s="19"/>
    </row>
    <row r="13" spans="2:63" ht="12.75">
      <c r="B13" s="13" t="s">
        <v>2</v>
      </c>
      <c r="C13" s="13"/>
      <c r="D13" s="13"/>
      <c r="E13" s="13" t="str">
        <f>IF((D5&lt;E12),"s+",IF((D5&gt;E11),"s-","ns"))</f>
        <v>s+</v>
      </c>
      <c r="G13" s="1"/>
      <c r="H13" s="19"/>
      <c r="J13" s="13"/>
      <c r="K13" s="13" t="str">
        <f>IF((J5&lt;K12),"s+",IF((J5&gt;K11),"s-","ns"))</f>
        <v>s+</v>
      </c>
      <c r="L13" s="26"/>
      <c r="M13" s="1"/>
      <c r="N13" s="19"/>
      <c r="O13" s="13" t="s">
        <v>2</v>
      </c>
      <c r="P13" s="13"/>
      <c r="Q13" s="13"/>
      <c r="R13" s="13" t="str">
        <f>IF((Q5&lt;R12),"s+",IF((Q5&gt;R11),"s-","ns"))</f>
        <v>s+</v>
      </c>
      <c r="T13" s="1"/>
      <c r="U13" s="19"/>
      <c r="W13" s="13"/>
      <c r="X13" s="13" t="str">
        <f>IF((W5&lt;X12),"s+",IF((W5&gt;X11),"s-","ns"))</f>
        <v>s+</v>
      </c>
      <c r="Y13" s="26"/>
      <c r="Z13" s="1"/>
      <c r="AA13" s="1"/>
      <c r="AB13"/>
      <c r="AC13" s="13" t="s">
        <v>2</v>
      </c>
      <c r="AD13" s="13"/>
      <c r="AE13" s="13"/>
      <c r="AF13" s="13" t="str">
        <f>IF((AE5&lt;AF12),"s+",IF((AE5&gt;AF11),"s-","ns"))</f>
        <v>s+</v>
      </c>
      <c r="AG13"/>
      <c r="AH13" s="1"/>
      <c r="AI13" s="19"/>
      <c r="AJ13"/>
      <c r="AK13" s="13"/>
      <c r="AL13" s="13" t="str">
        <f>IF((AK5&lt;AL12),"s+",IF((AK5&gt;AL11),"s-","ns"))</f>
        <v>s+</v>
      </c>
      <c r="AM13" s="26"/>
      <c r="AN13" s="1"/>
      <c r="AO13" s="6"/>
      <c r="AP13" s="13" t="s">
        <v>2</v>
      </c>
      <c r="AQ13" s="13"/>
      <c r="AR13" s="13"/>
      <c r="AS13" s="13" t="str">
        <f>IF((AR5&lt;AS12),"s+",IF((AR5&gt;AS11),"s-","ns"))</f>
        <v>s+</v>
      </c>
      <c r="AU13" s="1"/>
      <c r="AV13" s="19"/>
      <c r="AX13" s="13"/>
      <c r="AY13" s="13" t="str">
        <f>IF((AX5&lt;AY12),"s+",IF((AX5&gt;AY11),"s-","ns"))</f>
        <v>s+</v>
      </c>
      <c r="AZ13" s="26"/>
      <c r="BA13" s="1"/>
      <c r="BB13" s="1"/>
      <c r="BK13" s="46"/>
    </row>
    <row r="14" spans="2:53" ht="12.75">
      <c r="B14" s="6"/>
      <c r="C14" s="6"/>
      <c r="D14" s="6"/>
      <c r="E14" s="6"/>
      <c r="J14" s="6"/>
      <c r="K14" s="6"/>
      <c r="L14" s="26"/>
      <c r="M14" s="26"/>
      <c r="N14" s="6"/>
      <c r="O14" s="6"/>
      <c r="P14" s="6"/>
      <c r="Q14" s="6"/>
      <c r="R14" s="6"/>
      <c r="W14" s="6"/>
      <c r="X14" s="6"/>
      <c r="Y14" s="26"/>
      <c r="Z14" s="26"/>
      <c r="AA14" s="26"/>
      <c r="AB14"/>
      <c r="AC14" s="6"/>
      <c r="AD14" s="6"/>
      <c r="AE14" s="6"/>
      <c r="AF14" s="6"/>
      <c r="AG14"/>
      <c r="AH14"/>
      <c r="AI14"/>
      <c r="AJ14"/>
      <c r="AK14" s="6"/>
      <c r="AL14" s="6"/>
      <c r="AM14" s="26"/>
      <c r="AN14" s="26"/>
      <c r="AO14" s="6"/>
      <c r="AP14" s="6"/>
      <c r="AQ14" s="6"/>
      <c r="AR14" s="6"/>
      <c r="AS14" s="6"/>
      <c r="AX14" s="6"/>
      <c r="AY14" s="6"/>
      <c r="AZ14" s="26"/>
      <c r="BA14" s="26"/>
    </row>
    <row r="15" spans="1:63" ht="12.75">
      <c r="A15" t="s">
        <v>12</v>
      </c>
      <c r="B15" s="6" t="s">
        <v>29</v>
      </c>
      <c r="C15" s="15"/>
      <c r="D15" s="16">
        <f>D10+(D9-D5)</f>
        <v>0.06702176605137916</v>
      </c>
      <c r="E15" s="16">
        <f>E10+(E9-E5)</f>
        <v>0.17344199779273253</v>
      </c>
      <c r="J15" s="16">
        <f>J10+(J9-J5)</f>
        <v>0.053527694984538646</v>
      </c>
      <c r="K15" s="16">
        <f>K10+(K9-K5)</f>
        <v>0.1409895905591812</v>
      </c>
      <c r="L15" s="29"/>
      <c r="M15" s="29"/>
      <c r="N15" s="16"/>
      <c r="O15" s="6" t="s">
        <v>29</v>
      </c>
      <c r="P15" s="15"/>
      <c r="Q15" s="16">
        <f>Q10+(Q9-Q5)</f>
        <v>0.01563673480559119</v>
      </c>
      <c r="R15" s="16">
        <f>R10+(R9-R5)</f>
        <v>0.0904049639968069</v>
      </c>
      <c r="W15" s="16">
        <f>W10+(W9-W5)</f>
        <v>0.00968212553874622</v>
      </c>
      <c r="X15" s="16">
        <f>X10+(X9-X5)</f>
        <v>0.04374338174845167</v>
      </c>
      <c r="Y15" s="29"/>
      <c r="Z15" s="29"/>
      <c r="AA15" s="29"/>
      <c r="AB15" t="s">
        <v>12</v>
      </c>
      <c r="AC15" s="6" t="s">
        <v>29</v>
      </c>
      <c r="AD15" s="15"/>
      <c r="AE15" s="16">
        <f>AE10+(AE9-AE5)</f>
        <v>0.05647856403435474</v>
      </c>
      <c r="AF15" s="16">
        <f>AF10+(AF9-AF5)</f>
        <v>0.28478354664740774</v>
      </c>
      <c r="AG15"/>
      <c r="AH15"/>
      <c r="AI15"/>
      <c r="AJ15"/>
      <c r="AK15" s="16">
        <f>AK10+(AK9-AK5)</f>
        <v>0.0395522973255981</v>
      </c>
      <c r="AL15" s="16">
        <f>AL10+(AL9-AL5)</f>
        <v>0.18653578197345902</v>
      </c>
      <c r="AM15" s="29"/>
      <c r="AN15" s="29"/>
      <c r="AO15" s="16"/>
      <c r="AP15" s="6" t="s">
        <v>29</v>
      </c>
      <c r="AQ15" s="15"/>
      <c r="AR15" s="16">
        <f>AR10+(AR9-AR5)</f>
        <v>0.012068652315214775</v>
      </c>
      <c r="AS15" s="16">
        <f>AS10+(AS9-AS5)</f>
        <v>0.11249505318731592</v>
      </c>
      <c r="AX15" s="16">
        <f>AX10+(AX9-AX5)</f>
        <v>0.006154043718790212</v>
      </c>
      <c r="AY15" s="16">
        <f>AY10+(AY9-AY5)</f>
        <v>0.05972719397347041</v>
      </c>
      <c r="AZ15" s="29"/>
      <c r="BA15" s="29"/>
      <c r="BD15" t="s">
        <v>32</v>
      </c>
      <c r="BE15" t="s">
        <v>31</v>
      </c>
      <c r="BF15" t="s">
        <v>53</v>
      </c>
      <c r="BG15" t="s">
        <v>33</v>
      </c>
      <c r="BJ15" s="45"/>
      <c r="BK15" s="45"/>
    </row>
    <row r="16" spans="2:64" ht="12.75">
      <c r="B16" s="6" t="s">
        <v>30</v>
      </c>
      <c r="C16" s="15"/>
      <c r="D16" s="16">
        <f>D10-(D9-D5)</f>
        <v>0.0570130522093571</v>
      </c>
      <c r="E16" s="16">
        <f>E10-(E9-E5)</f>
        <v>0.21026068526960887</v>
      </c>
      <c r="G16" s="19"/>
      <c r="J16" s="16">
        <f>J10-(J9-J5)</f>
        <v>0.03786188201441722</v>
      </c>
      <c r="K16" s="16">
        <f>K10-(K9-K5)</f>
        <v>0.1072299368687349</v>
      </c>
      <c r="L16" s="29"/>
      <c r="M16" s="29"/>
      <c r="N16" s="16"/>
      <c r="O16" s="6" t="s">
        <v>30</v>
      </c>
      <c r="P16" s="15"/>
      <c r="Q16" s="16">
        <f>Q10-(Q9-Q5)</f>
        <v>0.014442827021971916</v>
      </c>
      <c r="R16" s="16">
        <f>R10-(R9-R5)</f>
        <v>0.09502398945809502</v>
      </c>
      <c r="T16" s="19"/>
      <c r="W16" s="16">
        <f>W10-(W9-W5)</f>
        <v>0.008119064272129195</v>
      </c>
      <c r="X16" s="16">
        <f>X10-(X9-X5)</f>
        <v>0.036542690749333036</v>
      </c>
      <c r="Y16" s="29"/>
      <c r="Z16" s="29"/>
      <c r="AA16" s="29"/>
      <c r="AB16"/>
      <c r="AC16" s="6" t="s">
        <v>30</v>
      </c>
      <c r="AD16" s="15"/>
      <c r="AE16" s="16">
        <f>AE10-(AE9-AE5)</f>
        <v>0.04168307400701781</v>
      </c>
      <c r="AF16" s="16">
        <f>AF10-(AF9-AF5)</f>
        <v>0.28478354664740774</v>
      </c>
      <c r="AG16"/>
      <c r="AH16" s="19"/>
      <c r="AI16"/>
      <c r="AJ16"/>
      <c r="AK16" s="16">
        <f>AK10-(AK9-AK5)</f>
        <v>0.021057934791426973</v>
      </c>
      <c r="AL16" s="16">
        <f>AL10-(AL9-AL5)</f>
        <v>0.09596537054054269</v>
      </c>
      <c r="AM16" s="29"/>
      <c r="AN16" s="29"/>
      <c r="AO16" s="16"/>
      <c r="AP16" s="6" t="s">
        <v>30</v>
      </c>
      <c r="AQ16" s="15"/>
      <c r="AR16" s="16">
        <f>AR10-(AR9-AR5)</f>
        <v>0.01061929655179957</v>
      </c>
      <c r="AS16" s="16">
        <f>AS10-(AS9-AS5)</f>
        <v>0.16070419036844255</v>
      </c>
      <c r="AU16" s="19"/>
      <c r="AX16" s="16">
        <f>AX10-(AX9-AX5)</f>
        <v>0.004481949777870058</v>
      </c>
      <c r="AY16" s="16">
        <f>AY10-(AY9-AY5)</f>
        <v>0.045055618311060905</v>
      </c>
      <c r="AZ16" s="29"/>
      <c r="BA16" s="29"/>
      <c r="BC16" t="s">
        <v>34</v>
      </c>
      <c r="BD16">
        <f>SUM(BD17:BD18)</f>
        <v>186</v>
      </c>
      <c r="BE16">
        <v>8</v>
      </c>
      <c r="BF16">
        <v>25</v>
      </c>
      <c r="BG16">
        <v>4</v>
      </c>
      <c r="BI16" s="45"/>
      <c r="BJ16" s="44"/>
      <c r="BK16" s="44"/>
      <c r="BL16" s="44"/>
    </row>
    <row r="17" spans="2:65" ht="12.75">
      <c r="B17" s="3"/>
      <c r="G17" s="19"/>
      <c r="O17" s="3"/>
      <c r="T17" s="19"/>
      <c r="Y17" s="34"/>
      <c r="Z17" s="7"/>
      <c r="AB17"/>
      <c r="AC17" s="3"/>
      <c r="AD17"/>
      <c r="AE17"/>
      <c r="AF17"/>
      <c r="AG17"/>
      <c r="AH17" s="19"/>
      <c r="AI17"/>
      <c r="AJ17"/>
      <c r="AK17"/>
      <c r="AL17"/>
      <c r="AN17" s="7"/>
      <c r="AP17" s="3"/>
      <c r="AU17" s="19"/>
      <c r="AZ17" s="34"/>
      <c r="BA17" s="7"/>
      <c r="BC17" t="s">
        <v>35</v>
      </c>
      <c r="BD17">
        <v>101</v>
      </c>
      <c r="BE17">
        <v>2</v>
      </c>
      <c r="BF17">
        <v>9</v>
      </c>
      <c r="BG17">
        <v>2</v>
      </c>
      <c r="BI17" s="45"/>
      <c r="BJ17" s="44"/>
      <c r="BK17" s="44"/>
      <c r="BL17" s="44"/>
      <c r="BM17" s="19"/>
    </row>
    <row r="18" spans="1:65" ht="12.75">
      <c r="A18" s="3">
        <v>0.05</v>
      </c>
      <c r="B18" s="3" t="s">
        <v>10</v>
      </c>
      <c r="C18" s="3">
        <v>1.95996</v>
      </c>
      <c r="G18" s="19"/>
      <c r="H18" s="19"/>
      <c r="O18" s="3"/>
      <c r="P18" s="3"/>
      <c r="T18" s="19"/>
      <c r="U18" s="19"/>
      <c r="Y18" s="34"/>
      <c r="Z18" s="7"/>
      <c r="AB18" s="3"/>
      <c r="AC18" s="3"/>
      <c r="AD18" s="3"/>
      <c r="AE18"/>
      <c r="AF18"/>
      <c r="AG18"/>
      <c r="AH18" s="19"/>
      <c r="AI18" s="19"/>
      <c r="AJ18"/>
      <c r="AK18"/>
      <c r="AL18"/>
      <c r="AN18" s="7"/>
      <c r="AP18" s="3"/>
      <c r="AQ18" s="3"/>
      <c r="AU18" s="19"/>
      <c r="AV18" s="19"/>
      <c r="AZ18" s="34"/>
      <c r="BA18" s="7"/>
      <c r="BC18" t="s">
        <v>36</v>
      </c>
      <c r="BD18">
        <v>85</v>
      </c>
      <c r="BE18">
        <v>6</v>
      </c>
      <c r="BF18">
        <v>16</v>
      </c>
      <c r="BG18">
        <v>2</v>
      </c>
      <c r="BJ18" s="44"/>
      <c r="BK18" s="44"/>
      <c r="BL18" s="44"/>
      <c r="BM18" s="19"/>
    </row>
    <row r="19" spans="2:64" ht="12.75">
      <c r="B19" s="3"/>
      <c r="G19" s="1"/>
      <c r="H19" s="19"/>
      <c r="O19" s="3"/>
      <c r="T19" s="1"/>
      <c r="U19" s="19"/>
      <c r="Y19" s="34"/>
      <c r="Z19" s="7"/>
      <c r="AB19"/>
      <c r="AC19" s="3"/>
      <c r="AD19"/>
      <c r="AE19"/>
      <c r="AF19"/>
      <c r="AG19"/>
      <c r="AH19" s="1"/>
      <c r="AI19" s="19"/>
      <c r="AJ19"/>
      <c r="AK19"/>
      <c r="AL19"/>
      <c r="AN19" s="7"/>
      <c r="AP19" s="3"/>
      <c r="AU19" s="1"/>
      <c r="AV19" s="19"/>
      <c r="AZ19" s="34"/>
      <c r="BA19" s="7"/>
      <c r="BK19" s="19"/>
      <c r="BL19" s="19"/>
    </row>
    <row r="20" spans="2:63" ht="12.75">
      <c r="B20" s="3"/>
      <c r="O20" s="3"/>
      <c r="V20" s="34"/>
      <c r="W20" s="34"/>
      <c r="AP20" s="3"/>
      <c r="AU20" s="34"/>
      <c r="AV20" s="34"/>
      <c r="BK20" s="46"/>
    </row>
    <row r="21" spans="2:42" ht="12.75">
      <c r="B21" s="3"/>
      <c r="O21" s="3"/>
      <c r="AP21" s="3"/>
    </row>
    <row r="22" spans="2:63" ht="12.75">
      <c r="B22" s="3"/>
      <c r="O22" s="3"/>
      <c r="AP22" s="3"/>
      <c r="BD22" t="s">
        <v>32</v>
      </c>
      <c r="BE22" t="s">
        <v>31</v>
      </c>
      <c r="BF22" t="s">
        <v>53</v>
      </c>
      <c r="BG22" t="s">
        <v>33</v>
      </c>
      <c r="BJ22" s="45"/>
      <c r="BK22" s="45"/>
    </row>
    <row r="23" spans="1:64" ht="15.75">
      <c r="A23" s="11" t="s">
        <v>14</v>
      </c>
      <c r="B23" s="11"/>
      <c r="C23" s="9"/>
      <c r="O23" s="11"/>
      <c r="P23" s="9"/>
      <c r="AB23" s="11" t="s">
        <v>14</v>
      </c>
      <c r="AC23" s="11"/>
      <c r="AD23" s="9"/>
      <c r="AE23"/>
      <c r="AF23"/>
      <c r="AG23"/>
      <c r="AH23"/>
      <c r="AI23"/>
      <c r="AJ23"/>
      <c r="AK23"/>
      <c r="AL23"/>
      <c r="AP23" s="11"/>
      <c r="AQ23" s="9"/>
      <c r="BC23" t="s">
        <v>34</v>
      </c>
      <c r="BD23">
        <f>BD9</f>
        <v>2219</v>
      </c>
      <c r="BE23">
        <f>SUM(BE24:BE25)</f>
        <v>36</v>
      </c>
      <c r="BF23">
        <f>SUM(BF24:BF25)</f>
        <v>179</v>
      </c>
      <c r="BG23">
        <f>SUM(BG24:BG25)</f>
        <v>27</v>
      </c>
      <c r="BI23" s="45"/>
      <c r="BJ23" s="44"/>
      <c r="BK23" s="44"/>
      <c r="BL23" s="44"/>
    </row>
    <row r="24" spans="1:65" ht="15">
      <c r="A24" s="12" t="s">
        <v>8</v>
      </c>
      <c r="B24" s="4" t="s">
        <v>3</v>
      </c>
      <c r="C24" s="4">
        <f>C1+0.1</f>
        <v>-0.04999999999999999</v>
      </c>
      <c r="D24" s="4">
        <f>C24+1</f>
        <v>0.95</v>
      </c>
      <c r="E24" s="4">
        <f>D24+1</f>
        <v>1.95</v>
      </c>
      <c r="I24">
        <f>I1+0.1</f>
        <v>0.25</v>
      </c>
      <c r="J24" s="4">
        <f>I24+1</f>
        <v>1.25</v>
      </c>
      <c r="K24" s="4">
        <f>J24+1</f>
        <v>2.25</v>
      </c>
      <c r="L24" s="26"/>
      <c r="M24" s="26"/>
      <c r="N24" s="6"/>
      <c r="O24" s="4" t="s">
        <v>3</v>
      </c>
      <c r="P24" s="4">
        <f>P1+0.1</f>
        <v>-0.04999999999999999</v>
      </c>
      <c r="Q24" s="4">
        <f>P24+1</f>
        <v>0.95</v>
      </c>
      <c r="R24" s="4">
        <f>Q24+1</f>
        <v>1.95</v>
      </c>
      <c r="V24">
        <f>V1+0.1</f>
        <v>0.25</v>
      </c>
      <c r="W24" s="4">
        <f>V24+1</f>
        <v>1.25</v>
      </c>
      <c r="X24" s="4">
        <f>W24+1</f>
        <v>2.25</v>
      </c>
      <c r="Y24" s="6"/>
      <c r="Z24" s="26"/>
      <c r="AA24" s="26"/>
      <c r="AB24" s="12" t="s">
        <v>8</v>
      </c>
      <c r="AC24" s="4" t="s">
        <v>3</v>
      </c>
      <c r="AD24" s="4">
        <f>AD1+0.1</f>
        <v>-0.04999999999999999</v>
      </c>
      <c r="AE24" s="4">
        <f>AD24+1</f>
        <v>0.95</v>
      </c>
      <c r="AF24" s="4">
        <f>AE24+1</f>
        <v>1.95</v>
      </c>
      <c r="AG24"/>
      <c r="AH24"/>
      <c r="AI24"/>
      <c r="AJ24">
        <f>AJ1+0.1</f>
        <v>0.25</v>
      </c>
      <c r="AK24" s="4">
        <f>AJ24+1</f>
        <v>1.25</v>
      </c>
      <c r="AL24" s="4">
        <f>AK24+1</f>
        <v>2.25</v>
      </c>
      <c r="AM24" s="26"/>
      <c r="AN24" s="26"/>
      <c r="AO24" s="6"/>
      <c r="AP24" s="4" t="s">
        <v>3</v>
      </c>
      <c r="AQ24" s="4">
        <f>AQ1+0.1</f>
        <v>-0.04999999999999999</v>
      </c>
      <c r="AR24" s="4">
        <f>AQ24+1</f>
        <v>0.95</v>
      </c>
      <c r="AS24" s="4">
        <f>AR24+1</f>
        <v>1.95</v>
      </c>
      <c r="AW24">
        <f>AW1+0.1</f>
        <v>0.25</v>
      </c>
      <c r="AX24" s="4">
        <f>AW24+1</f>
        <v>1.25</v>
      </c>
      <c r="AY24" s="4">
        <f>AX24+1</f>
        <v>2.25</v>
      </c>
      <c r="BC24" t="s">
        <v>35</v>
      </c>
      <c r="BD24">
        <f>BD10</f>
        <v>835</v>
      </c>
      <c r="BE24">
        <v>19</v>
      </c>
      <c r="BF24">
        <v>92</v>
      </c>
      <c r="BG24">
        <v>14</v>
      </c>
      <c r="BI24" s="45"/>
      <c r="BJ24" s="44"/>
      <c r="BK24" s="44"/>
      <c r="BL24" s="44"/>
      <c r="BM24" s="19"/>
    </row>
    <row r="25" spans="2:65" ht="12.75">
      <c r="B25" s="8" t="s">
        <v>5</v>
      </c>
      <c r="C25" s="9">
        <f>BD4</f>
        <v>85</v>
      </c>
      <c r="D25" s="9">
        <f>BE4</f>
        <v>11</v>
      </c>
      <c r="E25" s="9">
        <f>BG4</f>
        <v>7</v>
      </c>
      <c r="I25">
        <f>BD4</f>
        <v>85</v>
      </c>
      <c r="J25" s="9">
        <f>BF4</f>
        <v>19</v>
      </c>
      <c r="K25" s="9">
        <f>BG4</f>
        <v>7</v>
      </c>
      <c r="L25" s="32"/>
      <c r="M25" s="9"/>
      <c r="N25" s="9"/>
      <c r="O25" s="8" t="s">
        <v>5</v>
      </c>
      <c r="P25" s="9">
        <f>BD11</f>
        <v>1384</v>
      </c>
      <c r="Q25" s="9">
        <f>BE11</f>
        <v>62</v>
      </c>
      <c r="R25" s="9">
        <f>BG11</f>
        <v>37</v>
      </c>
      <c r="V25">
        <f>BD11</f>
        <v>1384</v>
      </c>
      <c r="W25" s="9">
        <f>BF11</f>
        <v>221</v>
      </c>
      <c r="X25" s="9">
        <f>BG11</f>
        <v>37</v>
      </c>
      <c r="Y25" s="9"/>
      <c r="Z25" s="32"/>
      <c r="AA25" s="32"/>
      <c r="AB25"/>
      <c r="AC25" s="8" t="s">
        <v>5</v>
      </c>
      <c r="AD25" s="9">
        <f>BD18</f>
        <v>85</v>
      </c>
      <c r="AE25" s="9">
        <f>BE18</f>
        <v>6</v>
      </c>
      <c r="AF25" s="9">
        <f>BG18</f>
        <v>2</v>
      </c>
      <c r="AG25"/>
      <c r="AH25"/>
      <c r="AI25"/>
      <c r="AJ25">
        <f>BD18</f>
        <v>85</v>
      </c>
      <c r="AK25" s="9">
        <f>BF18</f>
        <v>16</v>
      </c>
      <c r="AL25" s="9">
        <f>BG18</f>
        <v>2</v>
      </c>
      <c r="AM25" s="32"/>
      <c r="AN25" s="32"/>
      <c r="AO25" s="9"/>
      <c r="AP25" s="8" t="s">
        <v>5</v>
      </c>
      <c r="AQ25" s="9">
        <f>BD25</f>
        <v>1384</v>
      </c>
      <c r="AR25" s="9">
        <f>BE25</f>
        <v>17</v>
      </c>
      <c r="AS25" s="9">
        <f>BG25</f>
        <v>13</v>
      </c>
      <c r="AW25" s="1">
        <f>AQ25</f>
        <v>1384</v>
      </c>
      <c r="AX25" s="9">
        <f>BF25</f>
        <v>87</v>
      </c>
      <c r="AY25" s="9">
        <f>BG25</f>
        <v>13</v>
      </c>
      <c r="BC25" t="s">
        <v>36</v>
      </c>
      <c r="BD25">
        <f>BD11</f>
        <v>1384</v>
      </c>
      <c r="BE25">
        <v>17</v>
      </c>
      <c r="BF25">
        <v>87</v>
      </c>
      <c r="BG25">
        <v>13</v>
      </c>
      <c r="BJ25" s="44"/>
      <c r="BK25" s="44"/>
      <c r="BL25" s="44"/>
      <c r="BM25" s="19"/>
    </row>
    <row r="26" spans="2:64" ht="15.75">
      <c r="B26" s="22"/>
      <c r="C26" s="20"/>
      <c r="D26" s="20">
        <f>J25</f>
        <v>19</v>
      </c>
      <c r="E26" s="20"/>
      <c r="J26" s="20">
        <f>D25</f>
        <v>11</v>
      </c>
      <c r="K26" s="20"/>
      <c r="L26" s="32"/>
      <c r="M26" s="9"/>
      <c r="N26" s="20"/>
      <c r="O26" s="22"/>
      <c r="P26" s="20"/>
      <c r="Q26" s="20">
        <f>W25</f>
        <v>221</v>
      </c>
      <c r="R26" s="20"/>
      <c r="S26"/>
      <c r="T26" s="11"/>
      <c r="U26" s="22"/>
      <c r="V26" s="20"/>
      <c r="W26" s="20">
        <f>Q25</f>
        <v>62</v>
      </c>
      <c r="X26" s="20"/>
      <c r="Y26" s="20"/>
      <c r="Z26" s="32"/>
      <c r="AA26" s="32"/>
      <c r="AB26"/>
      <c r="AC26" s="22"/>
      <c r="AD26" s="20"/>
      <c r="AE26" s="20">
        <f>AK25</f>
        <v>16</v>
      </c>
      <c r="AF26" s="20"/>
      <c r="AG26"/>
      <c r="AH26"/>
      <c r="AI26"/>
      <c r="AJ26"/>
      <c r="AK26" s="20">
        <f>AE25</f>
        <v>6</v>
      </c>
      <c r="AL26" s="20"/>
      <c r="AM26" s="32"/>
      <c r="AN26" s="32"/>
      <c r="AO26" s="20"/>
      <c r="AP26" s="22"/>
      <c r="AQ26" s="20"/>
      <c r="AR26" s="20">
        <f>AX25</f>
        <v>87</v>
      </c>
      <c r="AS26" s="20"/>
      <c r="AT26"/>
      <c r="AU26" s="11"/>
      <c r="AV26" s="22"/>
      <c r="AW26" s="20"/>
      <c r="AX26" s="20">
        <f>AR25</f>
        <v>17</v>
      </c>
      <c r="AY26" s="20"/>
      <c r="BK26" s="19"/>
      <c r="BL26" s="19"/>
    </row>
    <row r="27" spans="2:63" ht="12.75">
      <c r="B27" s="5"/>
      <c r="C27" s="20"/>
      <c r="D27" s="20"/>
      <c r="E27" s="20"/>
      <c r="J27" s="20"/>
      <c r="K27" s="20"/>
      <c r="L27" s="32"/>
      <c r="M27" s="9"/>
      <c r="N27" s="20"/>
      <c r="O27" s="5"/>
      <c r="P27" s="20"/>
      <c r="Q27" s="20"/>
      <c r="R27" s="20"/>
      <c r="S27"/>
      <c r="U27" s="5"/>
      <c r="V27" s="20"/>
      <c r="W27" s="20"/>
      <c r="X27" s="20"/>
      <c r="Y27" s="20"/>
      <c r="Z27" s="32"/>
      <c r="AA27" s="32"/>
      <c r="AB27"/>
      <c r="AC27" s="5"/>
      <c r="AD27" s="20"/>
      <c r="AE27" s="20"/>
      <c r="AF27" s="20"/>
      <c r="AG27"/>
      <c r="AH27"/>
      <c r="AI27"/>
      <c r="AJ27"/>
      <c r="AK27" s="20"/>
      <c r="AL27" s="20"/>
      <c r="AM27" s="32"/>
      <c r="AN27" s="32"/>
      <c r="AO27" s="20"/>
      <c r="AP27" s="5"/>
      <c r="AQ27" s="20"/>
      <c r="AR27" s="20"/>
      <c r="AS27" s="20"/>
      <c r="AT27"/>
      <c r="AV27" s="5"/>
      <c r="AW27" s="20"/>
      <c r="AX27" s="20"/>
      <c r="AY27" s="20"/>
      <c r="BK27" s="46"/>
    </row>
    <row r="28" spans="2:64" ht="12.75">
      <c r="B28" s="3" t="s">
        <v>6</v>
      </c>
      <c r="C28" s="3"/>
      <c r="D28" s="14">
        <f>D26/C25</f>
        <v>0.2235294117647059</v>
      </c>
      <c r="E28" s="14">
        <f>E25/D25</f>
        <v>0.6363636363636364</v>
      </c>
      <c r="J28" s="14">
        <f>J26/I25</f>
        <v>0.12941176470588237</v>
      </c>
      <c r="K28" s="14">
        <f>K25/J25</f>
        <v>0.3684210526315789</v>
      </c>
      <c r="L28" s="33"/>
      <c r="M28" s="27"/>
      <c r="N28" s="14"/>
      <c r="O28" s="3" t="s">
        <v>6</v>
      </c>
      <c r="P28" s="3"/>
      <c r="Q28" s="14">
        <f>Q26/P25</f>
        <v>0.1596820809248555</v>
      </c>
      <c r="R28" s="14">
        <f>R25/Q25</f>
        <v>0.5967741935483871</v>
      </c>
      <c r="S28"/>
      <c r="U28" s="3" t="s">
        <v>6</v>
      </c>
      <c r="V28" s="3"/>
      <c r="W28" s="14">
        <f>W26/V25</f>
        <v>0.044797687861271675</v>
      </c>
      <c r="X28" s="14">
        <f>X25/W25</f>
        <v>0.167420814479638</v>
      </c>
      <c r="Y28" s="14"/>
      <c r="Z28" s="33"/>
      <c r="AA28" s="33"/>
      <c r="AB28"/>
      <c r="AC28" s="3" t="s">
        <v>6</v>
      </c>
      <c r="AD28" s="3"/>
      <c r="AE28" s="14">
        <f>AE26/AD25</f>
        <v>0.18823529411764706</v>
      </c>
      <c r="AF28" s="14">
        <f>AF25/AE25</f>
        <v>0.3333333333333333</v>
      </c>
      <c r="AG28"/>
      <c r="AH28"/>
      <c r="AI28"/>
      <c r="AJ28"/>
      <c r="AK28" s="14">
        <f>AK26/AJ25</f>
        <v>0.07058823529411765</v>
      </c>
      <c r="AL28" s="14">
        <f>AL25/AK25</f>
        <v>0.125</v>
      </c>
      <c r="AM28" s="33"/>
      <c r="AN28" s="33"/>
      <c r="AO28" s="14"/>
      <c r="AP28" s="3" t="s">
        <v>6</v>
      </c>
      <c r="AQ28" s="3"/>
      <c r="AR28" s="14">
        <f>AR26/AQ25</f>
        <v>0.06286127167630058</v>
      </c>
      <c r="AS28" s="14">
        <f>AS25/AR25</f>
        <v>0.7647058823529411</v>
      </c>
      <c r="AT28"/>
      <c r="AV28" s="3" t="s">
        <v>6</v>
      </c>
      <c r="AW28" s="3"/>
      <c r="AX28" s="14">
        <f>AX26/AW25</f>
        <v>0.012283236994219654</v>
      </c>
      <c r="AY28" s="14">
        <f>AY25/AX25</f>
        <v>0.14942528735632185</v>
      </c>
      <c r="BJ28" s="46"/>
      <c r="BL28" s="46"/>
    </row>
    <row r="29" spans="2:63" ht="12.75">
      <c r="B29" s="3"/>
      <c r="D29" s="2"/>
      <c r="E29" s="2"/>
      <c r="J29" s="2"/>
      <c r="K29" s="2"/>
      <c r="L29" s="35"/>
      <c r="M29" s="28"/>
      <c r="N29" s="2"/>
      <c r="O29" s="3"/>
      <c r="Q29" s="2"/>
      <c r="R29" s="2"/>
      <c r="W29" s="2"/>
      <c r="X29" s="2"/>
      <c r="Y29" s="2"/>
      <c r="Z29" s="35"/>
      <c r="AA29" s="35"/>
      <c r="AB29"/>
      <c r="AC29" s="3"/>
      <c r="AD29"/>
      <c r="AE29" s="2"/>
      <c r="AF29" s="2"/>
      <c r="AG29"/>
      <c r="AH29"/>
      <c r="AI29"/>
      <c r="AJ29"/>
      <c r="AK29" s="2"/>
      <c r="AL29" s="2"/>
      <c r="AM29" s="35"/>
      <c r="AN29" s="35"/>
      <c r="AO29" s="2"/>
      <c r="AP29" s="3"/>
      <c r="AR29" s="2"/>
      <c r="AS29" s="2"/>
      <c r="AX29" s="2"/>
      <c r="AY29" s="2"/>
      <c r="BJ29" s="45"/>
      <c r="BK29" s="45"/>
    </row>
    <row r="30" spans="1:64" ht="18">
      <c r="A30" s="21" t="s">
        <v>27</v>
      </c>
      <c r="B30" s="17"/>
      <c r="C30" s="17"/>
      <c r="D30" s="17"/>
      <c r="E30" s="17"/>
      <c r="J30" s="17"/>
      <c r="K30" s="17"/>
      <c r="L30" s="36"/>
      <c r="M30" s="30"/>
      <c r="N30" s="17"/>
      <c r="O30" s="17"/>
      <c r="P30" s="17"/>
      <c r="Q30" s="17"/>
      <c r="R30" s="17"/>
      <c r="W30" s="17"/>
      <c r="X30" s="17"/>
      <c r="Y30" s="17"/>
      <c r="Z30" s="36"/>
      <c r="AA30" s="36"/>
      <c r="AB30" s="21" t="s">
        <v>27</v>
      </c>
      <c r="AC30" s="17"/>
      <c r="AD30" s="17"/>
      <c r="AE30" s="17"/>
      <c r="AF30" s="17"/>
      <c r="AG30"/>
      <c r="AH30"/>
      <c r="AI30"/>
      <c r="AJ30"/>
      <c r="AK30" s="17"/>
      <c r="AL30" s="17"/>
      <c r="AM30" s="36"/>
      <c r="AN30" s="36"/>
      <c r="AO30" s="17"/>
      <c r="AP30" s="17"/>
      <c r="AQ30" s="17"/>
      <c r="AR30" s="17"/>
      <c r="AS30" s="17"/>
      <c r="AX30" s="17"/>
      <c r="AY30" s="17"/>
      <c r="BI30" s="45"/>
      <c r="BJ30" s="44"/>
      <c r="BK30" s="44"/>
      <c r="BL30" s="44"/>
    </row>
    <row r="31" spans="2:65" ht="12.75">
      <c r="B31" s="3"/>
      <c r="O31" s="3"/>
      <c r="AB31"/>
      <c r="AC31" s="3"/>
      <c r="AD31"/>
      <c r="AE31"/>
      <c r="AF31"/>
      <c r="AG31"/>
      <c r="AH31"/>
      <c r="AI31"/>
      <c r="AJ31"/>
      <c r="AK31"/>
      <c r="AL31"/>
      <c r="AP31" s="3"/>
      <c r="BI31" s="45"/>
      <c r="BJ31" s="44"/>
      <c r="BK31" s="44"/>
      <c r="BL31" s="44"/>
      <c r="BM31" s="19"/>
    </row>
    <row r="32" spans="1:65" ht="15">
      <c r="A32" s="12" t="s">
        <v>9</v>
      </c>
      <c r="B32" s="3" t="s">
        <v>13</v>
      </c>
      <c r="D32" s="14">
        <f>(D28+$C$18*$C$18/(2*C25))/(1+$C$18*$C$18/C25)</f>
        <v>0.2354838107855414</v>
      </c>
      <c r="E32" s="14">
        <f>(E28+$C$18*$C$18/(2*D25))/(1+$C$18*$C$18/D25)</f>
        <v>0.6010683381410166</v>
      </c>
      <c r="J32" s="14">
        <f>(J28+$C$18*$C$18/(2*I25))/(1+$C$18*$C$18/I25)</f>
        <v>0.1454357463721087</v>
      </c>
      <c r="K32" s="14">
        <f>(K28+$C$18*$C$18/(2*J25))/(1+$C$18*$C$18/J25)</f>
        <v>0.3905498230591279</v>
      </c>
      <c r="L32" s="33"/>
      <c r="M32" s="27"/>
      <c r="N32" s="14"/>
      <c r="O32" s="3" t="s">
        <v>13</v>
      </c>
      <c r="Q32" s="14">
        <f>(Q28+$C$18*$C$18/(2*P25))/(1+$C$18*$C$18/P25)</f>
        <v>0.16062405593433357</v>
      </c>
      <c r="R32" s="14">
        <f>(R28+$C$18*$C$18/(2*Q25))/(1+$C$18*$C$18/Q25)</f>
        <v>0.5911280146400891</v>
      </c>
      <c r="W32" s="14">
        <f>(W28+$C$18*$C$18/(2*V25))/(1+$C$18*$C$18/V25)</f>
        <v>0.046057654434458896</v>
      </c>
      <c r="X32" s="14">
        <f>(X28+$C$18*$C$18/(2*W25))/(1+$C$18*$C$18/W25)</f>
        <v>0.17310297001564093</v>
      </c>
      <c r="Y32" s="14"/>
      <c r="Z32" s="33"/>
      <c r="AA32" s="33"/>
      <c r="AB32" s="12" t="s">
        <v>9</v>
      </c>
      <c r="AC32" s="3" t="s">
        <v>13</v>
      </c>
      <c r="AD32"/>
      <c r="AE32" s="14">
        <f>(AE28+$C$18*$C$18/(2*AD25))/(1+$C$18*$C$18/AD25)</f>
        <v>0.20171578663050413</v>
      </c>
      <c r="AF32" s="14">
        <f>(AF28+$C$18*$C$18/(2*AE25))/(1+$C$18*$C$18/AE25)</f>
        <v>0.3983888867196406</v>
      </c>
      <c r="AG32"/>
      <c r="AH32"/>
      <c r="AI32"/>
      <c r="AJ32"/>
      <c r="AK32" s="14">
        <f>(AK28+$C$18*$C$18/(2*AJ25))/(1+$C$18*$C$18/AJ25)</f>
        <v>0.08915570611371326</v>
      </c>
      <c r="AL32" s="14">
        <f>(AL28+$C$18*$C$18/(2*AK25))/(1+$C$18*$C$18/AK25)</f>
        <v>0.19760264215477205</v>
      </c>
      <c r="AM32" s="33"/>
      <c r="AN32" s="33"/>
      <c r="AO32" s="14"/>
      <c r="AP32" s="3" t="s">
        <v>13</v>
      </c>
      <c r="AR32" s="14">
        <f>(AR28+$C$18*$C$18/(2*AQ25))/(1+$C$18*$C$18/AQ25)</f>
        <v>0.06407123957594862</v>
      </c>
      <c r="AS32" s="14">
        <f>(AS28+$C$18*$C$18/(2*AR25))/(1+$C$18*$C$18/AR25)</f>
        <v>0.7159159496044176</v>
      </c>
      <c r="AX32" s="14">
        <f>(AX28+$C$18*$C$18/(2*AW25))/(1+$C$18*$C$18/AW25)</f>
        <v>0.013633201179777387</v>
      </c>
      <c r="AY32" s="14">
        <f>(AY28+$C$18*$C$18/(2*AX25))/(1+$C$18*$C$18/AX25)</f>
        <v>0.16425016022353553</v>
      </c>
      <c r="BJ32" s="44"/>
      <c r="BK32" s="44"/>
      <c r="BL32" s="44"/>
      <c r="BM32" s="19"/>
    </row>
    <row r="33" spans="1:64" ht="12.75">
      <c r="A33" t="s">
        <v>7</v>
      </c>
      <c r="B33" s="3" t="s">
        <v>4</v>
      </c>
      <c r="C33" s="2"/>
      <c r="D33" s="2">
        <f>($C$18*SQRT((D28*(1-D28)/C25+$C$18*$C$18/(4*C25*C25))))/(1+$C$18*$C$18/C25)</f>
        <v>0.08745111107629736</v>
      </c>
      <c r="E33" s="2">
        <f>($C$18*SQRT((E28*(1-E28)/D25+$C$18*$C$18/(4*D25*D25))))/(1+$C$18*$C$18/D25)</f>
        <v>0.2472666771037252</v>
      </c>
      <c r="J33" s="2">
        <f>($C$18*SQRT((J28*(1-J28)/I25+$C$18*$C$18/(4*I25*I25))))/(1+$C$18*$C$18/I25)</f>
        <v>0.07161213446188298</v>
      </c>
      <c r="K33" s="2">
        <f>($C$18*SQRT((K28*(1-K28)/J25+$C$18*$C$18/(4*J25*J25))))/(1+$C$18*$C$18/J25)</f>
        <v>0.19905442967581463</v>
      </c>
      <c r="L33" s="35"/>
      <c r="M33" s="28"/>
      <c r="N33" s="2"/>
      <c r="O33" s="3" t="s">
        <v>4</v>
      </c>
      <c r="P33" s="2"/>
      <c r="Q33" s="2">
        <f>($C$18*SQRT((Q28*(1-Q28)/P25+$C$18*$C$18/(4*P25*P25))))/(1+$C$18*$C$18/P25)</f>
        <v>0.019295024842023476</v>
      </c>
      <c r="R33" s="2">
        <f>($C$18*SQRT((R28*(1-R28)/Q25+$C$18*$C$18/(4*Q25*Q25))))/(1+$C$18*$C$18/Q25)</f>
        <v>0.1186230884168587</v>
      </c>
      <c r="W33" s="2">
        <f>($C$18*SQRT((W28*(1-W28)/V25+$C$18*$C$18/(4*V25*V25))))/(1+$C$18*$C$18/V25)</f>
        <v>0.010955795736294256</v>
      </c>
      <c r="X33" s="2">
        <f>($C$18*SQRT((X28*(1-X28)/W25+$C$18*$C$18/(4*W25*W25))))/(1+$C$18*$C$18/W25)</f>
        <v>0.04913044283534181</v>
      </c>
      <c r="Y33" s="2"/>
      <c r="Z33" s="35"/>
      <c r="AA33" s="35"/>
      <c r="AB33" t="s">
        <v>7</v>
      </c>
      <c r="AC33" s="3" t="s">
        <v>4</v>
      </c>
      <c r="AD33" s="2"/>
      <c r="AE33" s="2">
        <f>($C$18*SQRT((AE28*(1-AE28)/AD25+$C$18*$C$18/(4*AD25*AD25))))/(1+$C$18*$C$18/AD25)</f>
        <v>0.08239424007045887</v>
      </c>
      <c r="AF33" s="2">
        <f>($C$18*SQRT((AF28*(1-AF28)/AE25+$C$18*$C$18/(4*AE25*AE25))))/(1+$C$18*$C$18/AE25)</f>
        <v>0.30161724565218156</v>
      </c>
      <c r="AG33"/>
      <c r="AH33"/>
      <c r="AI33"/>
      <c r="AJ33"/>
      <c r="AK33" s="2">
        <f>($C$18*SQRT((AK28*(1-AK28)/AJ25+$C$18*$C$18/(4*AJ25*AJ25))))/(1+$C$18*$C$18/AJ25)</f>
        <v>0.05640469363172158</v>
      </c>
      <c r="AL33" s="2">
        <f>($C$18*SQRT((AL28*(1-AL28)/AK25+$C$18*$C$18/(4*AK25*AK25))))/(1+$C$18*$C$18/AK25)</f>
        <v>0.16262507271736754</v>
      </c>
      <c r="AM33" s="35"/>
      <c r="AN33" s="35"/>
      <c r="AO33" s="2"/>
      <c r="AP33" s="3" t="s">
        <v>4</v>
      </c>
      <c r="AQ33" s="2"/>
      <c r="AR33" s="2">
        <f>($C$18*SQRT((AR28*(1-AR28)/AQ25+$C$18*$C$18/(4*AQ25*AQ25))))/(1+$C$18*$C$18/AQ25)</f>
        <v>0.012826606532349927</v>
      </c>
      <c r="AS33" s="2">
        <f>($C$18*SQRT((AS28*(1-AS28)/AR25+$C$18*$C$18/(4*AR25*AR25))))/(1+$C$18*$C$18/AR25)</f>
        <v>0.1885334354130002</v>
      </c>
      <c r="AX33" s="2">
        <f>($C$18*SQRT((AX28*(1-AX28)/AW25+$C$18*$C$18/(4*AW25*AW25))))/(1+$C$18*$C$18/AW25)</f>
        <v>0.005950116161094878</v>
      </c>
      <c r="AY33" s="2">
        <f>($C$18*SQRT((AY28*(1-AY28)/AX25+$C$18*$C$18/(4*AX25*AX25))))/(1+$C$18*$C$18/AX25)</f>
        <v>0.07479563409296755</v>
      </c>
      <c r="BK33" s="19"/>
      <c r="BL33" s="19"/>
    </row>
    <row r="34" spans="1:63" ht="12.75">
      <c r="A34" t="s">
        <v>11</v>
      </c>
      <c r="B34" s="3" t="s">
        <v>1</v>
      </c>
      <c r="D34" s="2">
        <f>D32+D33</f>
        <v>0.32293492186183875</v>
      </c>
      <c r="E34" s="2">
        <f>E32+E33</f>
        <v>0.8483350152447418</v>
      </c>
      <c r="J34" s="2">
        <f>J32+J33</f>
        <v>0.21704788083399168</v>
      </c>
      <c r="K34" s="2">
        <f>K32+K33</f>
        <v>0.5896042527349425</v>
      </c>
      <c r="L34" s="35"/>
      <c r="M34" s="28"/>
      <c r="N34" s="2"/>
      <c r="O34" s="3" t="s">
        <v>1</v>
      </c>
      <c r="Q34" s="2">
        <f>Q32+Q33</f>
        <v>0.17991908077635704</v>
      </c>
      <c r="R34" s="2">
        <f>R32+R33</f>
        <v>0.7097511030569479</v>
      </c>
      <c r="W34" s="2">
        <f>W32+W33</f>
        <v>0.057013450170753155</v>
      </c>
      <c r="X34" s="2">
        <f>X32+X33</f>
        <v>0.22223341285098275</v>
      </c>
      <c r="Y34" s="2"/>
      <c r="Z34" s="35"/>
      <c r="AA34" s="35"/>
      <c r="AB34" t="s">
        <v>11</v>
      </c>
      <c r="AC34" s="3" t="s">
        <v>1</v>
      </c>
      <c r="AD34"/>
      <c r="AE34" s="2">
        <f>AE32+AE33</f>
        <v>0.28411002670096297</v>
      </c>
      <c r="AF34" s="2">
        <f>AF32+AF33</f>
        <v>0.7000061323718222</v>
      </c>
      <c r="AG34"/>
      <c r="AH34"/>
      <c r="AI34"/>
      <c r="AJ34"/>
      <c r="AK34" s="2">
        <f>AK32+AK33</f>
        <v>0.14556039974543483</v>
      </c>
      <c r="AL34" s="2">
        <f>AL32+AL33</f>
        <v>0.36022771487213956</v>
      </c>
      <c r="AM34" s="35"/>
      <c r="AN34" s="35"/>
      <c r="AO34" s="2"/>
      <c r="AP34" s="3" t="s">
        <v>1</v>
      </c>
      <c r="AR34" s="2">
        <f>AR32+AR33</f>
        <v>0.07689784610829856</v>
      </c>
      <c r="AS34" s="2">
        <f>AS32+AS33</f>
        <v>0.9044493850174178</v>
      </c>
      <c r="AX34" s="2">
        <f>AX32+AX33</f>
        <v>0.019583317340872264</v>
      </c>
      <c r="AY34" s="2">
        <f>AY32+AY33</f>
        <v>0.23904579431650308</v>
      </c>
      <c r="BK34" s="46"/>
    </row>
    <row r="35" spans="2:51" ht="12.75">
      <c r="B35" s="3" t="s">
        <v>0</v>
      </c>
      <c r="C35" s="2"/>
      <c r="D35" s="2">
        <f>D32-D33</f>
        <v>0.14803269970924404</v>
      </c>
      <c r="E35" s="2">
        <f>E32-E33</f>
        <v>0.3538016610372914</v>
      </c>
      <c r="J35" s="2">
        <f>J32-J33</f>
        <v>0.07382361191022573</v>
      </c>
      <c r="K35" s="2">
        <f>K32-K33</f>
        <v>0.19149539338331326</v>
      </c>
      <c r="L35" s="35"/>
      <c r="M35" s="28"/>
      <c r="N35" s="2"/>
      <c r="O35" s="3" t="s">
        <v>0</v>
      </c>
      <c r="P35" s="2"/>
      <c r="Q35" s="2">
        <f>Q32-Q33</f>
        <v>0.1413290310923101</v>
      </c>
      <c r="R35" s="2">
        <f>R32-R33</f>
        <v>0.4725049262232304</v>
      </c>
      <c r="W35" s="2">
        <f>W32-W33</f>
        <v>0.03510185869816464</v>
      </c>
      <c r="X35" s="2">
        <f>X32-X33</f>
        <v>0.12397252718029911</v>
      </c>
      <c r="Y35" s="2"/>
      <c r="Z35" s="35"/>
      <c r="AA35" s="35"/>
      <c r="AB35"/>
      <c r="AC35" s="3" t="s">
        <v>0</v>
      </c>
      <c r="AD35" s="2"/>
      <c r="AE35" s="2">
        <f>AE32-AE33</f>
        <v>0.11932154656004526</v>
      </c>
      <c r="AF35" s="2">
        <f>AF32-AF33</f>
        <v>0.09677164106745906</v>
      </c>
      <c r="AG35"/>
      <c r="AH35"/>
      <c r="AI35"/>
      <c r="AJ35"/>
      <c r="AK35" s="2">
        <f>AK32-AK33</f>
        <v>0.032751012481991686</v>
      </c>
      <c r="AL35" s="2">
        <f>AL32-AL33</f>
        <v>0.034977569437404515</v>
      </c>
      <c r="AM35" s="35"/>
      <c r="AN35" s="35"/>
      <c r="AO35" s="2"/>
      <c r="AP35" s="3" t="s">
        <v>0</v>
      </c>
      <c r="AQ35" s="2"/>
      <c r="AR35" s="2">
        <f>AR32-AR33</f>
        <v>0.0512446330435987</v>
      </c>
      <c r="AS35" s="2">
        <f>AS32-AS33</f>
        <v>0.5273825141914175</v>
      </c>
      <c r="AX35" s="2">
        <f>AX32-AX33</f>
        <v>0.007683085018682509</v>
      </c>
      <c r="AY35" s="2">
        <f>AY32-AY33</f>
        <v>0.08945452613056798</v>
      </c>
    </row>
    <row r="36" spans="2:51" ht="12.75">
      <c r="B36" s="13" t="s">
        <v>2</v>
      </c>
      <c r="C36" s="13"/>
      <c r="D36" s="13"/>
      <c r="E36" s="13" t="str">
        <f>IF((D28&lt;E35),"s+",IF((D28&gt;E34),"s-","ns"))</f>
        <v>s+</v>
      </c>
      <c r="J36" s="13"/>
      <c r="K36" s="13" t="str">
        <f>IF((J28&lt;K35),"s+",IF((J28&gt;K34),"s-","ns"))</f>
        <v>s+</v>
      </c>
      <c r="L36" s="26"/>
      <c r="M36" s="26"/>
      <c r="N36" s="6"/>
      <c r="O36" s="13" t="s">
        <v>2</v>
      </c>
      <c r="P36" s="13"/>
      <c r="Q36" s="13"/>
      <c r="R36" s="13" t="str">
        <f>IF((Q28&lt;R35),"s+",IF((Q28&gt;R34),"s-","ns"))</f>
        <v>s+</v>
      </c>
      <c r="W36" s="13"/>
      <c r="X36" s="13" t="str">
        <f>IF((W28&lt;X35),"s+",IF((W28&gt;X34),"s-","ns"))</f>
        <v>s+</v>
      </c>
      <c r="Y36" s="6"/>
      <c r="Z36" s="26"/>
      <c r="AA36" s="26"/>
      <c r="AB36"/>
      <c r="AC36" s="13" t="s">
        <v>2</v>
      </c>
      <c r="AD36" s="13"/>
      <c r="AE36" s="13"/>
      <c r="AF36" s="13" t="str">
        <f>IF((AE28&lt;AF35),"s+",IF((AE28&gt;AF34),"s-","ns"))</f>
        <v>ns</v>
      </c>
      <c r="AG36"/>
      <c r="AH36"/>
      <c r="AI36"/>
      <c r="AJ36"/>
      <c r="AK36" s="13"/>
      <c r="AL36" s="13" t="str">
        <f>IF((AK28&lt;AL35),"s+",IF((AK28&gt;AL34),"s-","ns"))</f>
        <v>ns</v>
      </c>
      <c r="AM36" s="26"/>
      <c r="AN36" s="26"/>
      <c r="AO36" s="6"/>
      <c r="AP36" s="13" t="s">
        <v>2</v>
      </c>
      <c r="AQ36" s="13"/>
      <c r="AR36" s="13"/>
      <c r="AS36" s="13" t="str">
        <f>IF((AR28&lt;AS35),"s+",IF((AR28&gt;AS34),"s-","ns"))</f>
        <v>s+</v>
      </c>
      <c r="AX36" s="13"/>
      <c r="AY36" s="13" t="str">
        <f>IF((AX28&lt;AY35),"s+",IF((AX28&gt;AY34),"s-","ns"))</f>
        <v>s+</v>
      </c>
    </row>
    <row r="37" spans="2:51" ht="12.75">
      <c r="B37" s="6"/>
      <c r="C37" s="6"/>
      <c r="D37" s="6"/>
      <c r="E37" s="6"/>
      <c r="J37" s="6"/>
      <c r="K37" s="6"/>
      <c r="L37" s="26"/>
      <c r="M37" s="26"/>
      <c r="N37" s="6"/>
      <c r="O37" s="6"/>
      <c r="P37" s="6"/>
      <c r="Q37" s="6"/>
      <c r="R37" s="6"/>
      <c r="W37" s="6"/>
      <c r="X37" s="6"/>
      <c r="Y37" s="6"/>
      <c r="Z37" s="26"/>
      <c r="AA37" s="26"/>
      <c r="AB37"/>
      <c r="AC37" s="6"/>
      <c r="AD37" s="6"/>
      <c r="AE37" s="6"/>
      <c r="AF37" s="6"/>
      <c r="AG37"/>
      <c r="AH37"/>
      <c r="AI37"/>
      <c r="AJ37"/>
      <c r="AK37" s="6"/>
      <c r="AL37" s="6"/>
      <c r="AM37" s="26"/>
      <c r="AN37" s="26"/>
      <c r="AO37" s="6"/>
      <c r="AP37" s="6"/>
      <c r="AQ37" s="6"/>
      <c r="AR37" s="6"/>
      <c r="AS37" s="6"/>
      <c r="AX37" s="6"/>
      <c r="AY37" s="6"/>
    </row>
    <row r="38" spans="1:51" ht="12.75">
      <c r="A38" t="s">
        <v>12</v>
      </c>
      <c r="B38" s="6" t="s">
        <v>29</v>
      </c>
      <c r="C38" s="15"/>
      <c r="D38" s="16">
        <f>D33+(D32-D28)</f>
        <v>0.09940551009713286</v>
      </c>
      <c r="E38" s="16">
        <f>E33+(E32-E28)</f>
        <v>0.21197137888110543</v>
      </c>
      <c r="J38" s="16">
        <f>J33+(J32-J28)</f>
        <v>0.08763611612810933</v>
      </c>
      <c r="K38" s="16">
        <f>K33+(K32-K28)</f>
        <v>0.2211832001033636</v>
      </c>
      <c r="L38" s="29"/>
      <c r="M38" s="29"/>
      <c r="N38" s="16"/>
      <c r="O38" s="6" t="s">
        <v>29</v>
      </c>
      <c r="P38" s="15"/>
      <c r="Q38" s="16">
        <f>Q33+(Q32-Q28)</f>
        <v>0.020236999851501545</v>
      </c>
      <c r="R38" s="16">
        <f>R33+(R32-R28)</f>
        <v>0.11297690950856071</v>
      </c>
      <c r="W38" s="16">
        <f>W33+(W32-W28)</f>
        <v>0.012215762309481477</v>
      </c>
      <c r="X38" s="16">
        <f>X33+(X32-X28)</f>
        <v>0.054812598371344744</v>
      </c>
      <c r="Y38" s="16"/>
      <c r="Z38" s="29"/>
      <c r="AA38" s="29"/>
      <c r="AB38" t="s">
        <v>12</v>
      </c>
      <c r="AC38" s="6" t="s">
        <v>29</v>
      </c>
      <c r="AD38" s="15"/>
      <c r="AE38" s="16">
        <f>AE33+(AE32-AE28)</f>
        <v>0.09587473258331594</v>
      </c>
      <c r="AF38" s="16">
        <f>AF33+(AF32-AF28)</f>
        <v>0.3666727990384889</v>
      </c>
      <c r="AG38"/>
      <c r="AH38"/>
      <c r="AI38"/>
      <c r="AJ38"/>
      <c r="AK38" s="16">
        <f>AK33+(AK32-AK28)</f>
        <v>0.07497216445131719</v>
      </c>
      <c r="AL38" s="16">
        <f>AL33+(AL32-AL28)</f>
        <v>0.2352277148721396</v>
      </c>
      <c r="AM38" s="29"/>
      <c r="AN38" s="29"/>
      <c r="AO38" s="16"/>
      <c r="AP38" s="6" t="s">
        <v>29</v>
      </c>
      <c r="AQ38" s="15"/>
      <c r="AR38" s="16">
        <f>AR33+(AR32-AR28)</f>
        <v>0.01403657443199797</v>
      </c>
      <c r="AS38" s="16">
        <f>AS33+(AS32-AS28)</f>
        <v>0.1397435026644767</v>
      </c>
      <c r="AX38" s="16">
        <f>AX33+(AX32-AX28)</f>
        <v>0.007300080346652611</v>
      </c>
      <c r="AY38" s="16">
        <f>AY33+(AY32-AY28)</f>
        <v>0.08962050696018123</v>
      </c>
    </row>
    <row r="39" spans="2:51" ht="12.75">
      <c r="B39" s="6" t="s">
        <v>30</v>
      </c>
      <c r="C39" s="15"/>
      <c r="D39" s="16">
        <f>D33-(D32-D28)</f>
        <v>0.07549671205546185</v>
      </c>
      <c r="E39" s="16">
        <f>E33-(E32-E28)</f>
        <v>0.28256197532634497</v>
      </c>
      <c r="J39" s="16">
        <f>J33-(J32-J28)</f>
        <v>0.05558815279565664</v>
      </c>
      <c r="K39" s="16">
        <f>K33-(K32-K28)</f>
        <v>0.17692565924826567</v>
      </c>
      <c r="L39" s="29"/>
      <c r="M39" s="29"/>
      <c r="N39" s="16"/>
      <c r="O39" s="6" t="s">
        <v>30</v>
      </c>
      <c r="P39" s="15"/>
      <c r="Q39" s="16">
        <f>Q33-(Q32-Q28)</f>
        <v>0.018353049832545407</v>
      </c>
      <c r="R39" s="16">
        <f>R33-(R32-R28)</f>
        <v>0.1242692673251567</v>
      </c>
      <c r="W39" s="16">
        <f>W33-(W32-W28)</f>
        <v>0.009695829163107034</v>
      </c>
      <c r="X39" s="16">
        <f>X33-(X32-X28)</f>
        <v>0.04344828729933888</v>
      </c>
      <c r="Y39" s="16"/>
      <c r="Z39" s="29"/>
      <c r="AA39" s="29"/>
      <c r="AB39"/>
      <c r="AC39" s="6" t="s">
        <v>30</v>
      </c>
      <c r="AD39" s="15"/>
      <c r="AE39" s="16">
        <f>AE33-(AE32-AE28)</f>
        <v>0.0689137475576018</v>
      </c>
      <c r="AF39" s="16">
        <f>AF33-(AF32-AF28)</f>
        <v>0.23656169226587426</v>
      </c>
      <c r="AG39"/>
      <c r="AH39"/>
      <c r="AI39"/>
      <c r="AJ39"/>
      <c r="AK39" s="16">
        <f>AK33-(AK32-AK28)</f>
        <v>0.03783722281212596</v>
      </c>
      <c r="AL39" s="16">
        <f>AL33-(AL32-AL28)</f>
        <v>0.09002243056259548</v>
      </c>
      <c r="AM39" s="29"/>
      <c r="AN39" s="29"/>
      <c r="AO39" s="16"/>
      <c r="AP39" s="6" t="s">
        <v>30</v>
      </c>
      <c r="AQ39" s="15"/>
      <c r="AR39" s="16">
        <f>AR33-(AR32-AR28)</f>
        <v>0.011616638632701884</v>
      </c>
      <c r="AS39" s="16">
        <f>AS33-(AS32-AS28)</f>
        <v>0.2373233681615237</v>
      </c>
      <c r="AX39" s="16">
        <f>AX33-(AX32-AX28)</f>
        <v>0.004600151975537145</v>
      </c>
      <c r="AY39" s="16">
        <f>AY33-(AY32-AY28)</f>
        <v>0.05997076122575387</v>
      </c>
    </row>
    <row r="40" spans="2:51" ht="12.75">
      <c r="B40" s="3"/>
      <c r="E40" t="str">
        <f>IF((D28&lt;E35),"s+",IF((D28&gt;E34),"s-","ns"))</f>
        <v>s+</v>
      </c>
      <c r="K40" t="str">
        <f>IF((J28&lt;K35),"s+",IF((J28&gt;K34),"s-","ns"))</f>
        <v>s+</v>
      </c>
      <c r="O40" s="3"/>
      <c r="R40" t="str">
        <f>IF((Q28&lt;R35),"s+",IF((Q28&gt;R34),"s-","ns"))</f>
        <v>s+</v>
      </c>
      <c r="X40" t="str">
        <f>IF((W28&lt;X35),"s+",IF((W28&gt;X34),"s-","ns"))</f>
        <v>s+</v>
      </c>
      <c r="AB40"/>
      <c r="AC40" s="3"/>
      <c r="AD40"/>
      <c r="AE40"/>
      <c r="AF40" t="str">
        <f>IF((AE28&lt;AF35),"s+",IF((AE28&gt;AF34),"s-","ns"))</f>
        <v>ns</v>
      </c>
      <c r="AG40"/>
      <c r="AH40"/>
      <c r="AI40"/>
      <c r="AJ40"/>
      <c r="AK40"/>
      <c r="AL40" t="str">
        <f>IF((AK28&lt;AL35),"s+",IF((AK28&gt;AL34),"s-","ns"))</f>
        <v>ns</v>
      </c>
      <c r="AP40" s="3"/>
      <c r="AS40" t="str">
        <f>IF((AR28&lt;AS35),"s+",IF((AR28&gt;AS34),"s-","ns"))</f>
        <v>s+</v>
      </c>
      <c r="AY40" t="str">
        <f>IF((AX28&lt;AY35),"s+",IF((AX28&gt;AY34),"s-","ns"))</f>
        <v>s+</v>
      </c>
    </row>
    <row r="41" spans="1:42" ht="15.75">
      <c r="A41" s="11" t="s">
        <v>16</v>
      </c>
      <c r="B41" s="11"/>
      <c r="O41" s="11"/>
      <c r="AB41" s="11" t="s">
        <v>16</v>
      </c>
      <c r="AC41" s="11"/>
      <c r="AD41"/>
      <c r="AE41"/>
      <c r="AF41"/>
      <c r="AG41"/>
      <c r="AH41"/>
      <c r="AI41"/>
      <c r="AJ41"/>
      <c r="AK41"/>
      <c r="AL41"/>
      <c r="AP41" s="11"/>
    </row>
    <row r="42" spans="1:51" ht="15">
      <c r="A42" s="12" t="s">
        <v>8</v>
      </c>
      <c r="B42" s="4" t="s">
        <v>3</v>
      </c>
      <c r="C42" s="4">
        <f>C1-0.1</f>
        <v>-0.25</v>
      </c>
      <c r="D42" s="4">
        <f>C42+1</f>
        <v>0.75</v>
      </c>
      <c r="E42" s="4">
        <f>D42+1</f>
        <v>1.75</v>
      </c>
      <c r="I42" s="4">
        <f>I1-0.1</f>
        <v>0.04999999999999999</v>
      </c>
      <c r="J42" s="4">
        <f>I42+1</f>
        <v>1.05</v>
      </c>
      <c r="K42" s="4">
        <f>J42+1</f>
        <v>2.05</v>
      </c>
      <c r="L42" s="26"/>
      <c r="M42" s="26"/>
      <c r="N42" s="6"/>
      <c r="O42" s="4" t="s">
        <v>3</v>
      </c>
      <c r="P42" s="4">
        <f>P1-0.1</f>
        <v>-0.25</v>
      </c>
      <c r="Q42" s="4">
        <f>P42+1</f>
        <v>0.75</v>
      </c>
      <c r="R42" s="4">
        <f>Q42+1</f>
        <v>1.75</v>
      </c>
      <c r="V42" s="4">
        <f>V1-0.1</f>
        <v>0.04999999999999999</v>
      </c>
      <c r="W42" s="4">
        <f>V42+1</f>
        <v>1.05</v>
      </c>
      <c r="X42" s="4">
        <f>W42+1</f>
        <v>2.05</v>
      </c>
      <c r="Y42" s="6"/>
      <c r="Z42" s="26"/>
      <c r="AA42" s="26"/>
      <c r="AB42" s="12" t="s">
        <v>8</v>
      </c>
      <c r="AC42" s="4" t="s">
        <v>3</v>
      </c>
      <c r="AD42" s="4">
        <f>AD1-0.1</f>
        <v>-0.25</v>
      </c>
      <c r="AE42" s="4">
        <f>AD42+1</f>
        <v>0.75</v>
      </c>
      <c r="AF42" s="4">
        <f>AE42+1</f>
        <v>1.75</v>
      </c>
      <c r="AG42"/>
      <c r="AH42"/>
      <c r="AI42"/>
      <c r="AJ42" s="4">
        <f>AJ1-0.1</f>
        <v>0.04999999999999999</v>
      </c>
      <c r="AK42" s="4">
        <f>AJ42+1</f>
        <v>1.05</v>
      </c>
      <c r="AL42" s="4">
        <f>AK42+1</f>
        <v>2.05</v>
      </c>
      <c r="AM42" s="26"/>
      <c r="AN42" s="26"/>
      <c r="AO42" s="6"/>
      <c r="AP42" s="4" t="s">
        <v>3</v>
      </c>
      <c r="AQ42" s="4">
        <f>AQ1-0.1</f>
        <v>-0.25</v>
      </c>
      <c r="AR42" s="4">
        <f>AQ42+1</f>
        <v>0.75</v>
      </c>
      <c r="AS42" s="4">
        <f>AR42+1</f>
        <v>1.75</v>
      </c>
      <c r="AW42" s="4">
        <f>AW1-0.1</f>
        <v>0.04999999999999999</v>
      </c>
      <c r="AX42" s="4">
        <f>AW42+1</f>
        <v>1.05</v>
      </c>
      <c r="AY42" s="4">
        <f>AX42+1</f>
        <v>2.05</v>
      </c>
    </row>
    <row r="43" spans="2:51" ht="12.75">
      <c r="B43" s="8" t="s">
        <v>5</v>
      </c>
      <c r="C43" s="18">
        <f>C2-C25</f>
        <v>101</v>
      </c>
      <c r="D43" s="18">
        <f>D2-D25</f>
        <v>10</v>
      </c>
      <c r="E43" s="18">
        <f>E2-E25</f>
        <v>6</v>
      </c>
      <c r="I43" s="18">
        <f>I2-I25</f>
        <v>101</v>
      </c>
      <c r="J43" s="18">
        <f>J2-J25</f>
        <v>28</v>
      </c>
      <c r="K43" s="18">
        <f>K2-K25</f>
        <v>6</v>
      </c>
      <c r="L43" s="24"/>
      <c r="M43" s="18"/>
      <c r="N43" s="18"/>
      <c r="O43" s="8" t="s">
        <v>5</v>
      </c>
      <c r="P43" s="18">
        <f>P2-P25</f>
        <v>835</v>
      </c>
      <c r="Q43" s="18">
        <f>Q2-Q25</f>
        <v>44</v>
      </c>
      <c r="R43" s="18">
        <f>R2-R25</f>
        <v>23</v>
      </c>
      <c r="V43" s="18">
        <f>V2-V25</f>
        <v>835</v>
      </c>
      <c r="W43" s="18">
        <f>W2-W25</f>
        <v>122</v>
      </c>
      <c r="X43" s="18">
        <f>X2-X25</f>
        <v>23</v>
      </c>
      <c r="Y43" s="18"/>
      <c r="Z43" s="24"/>
      <c r="AA43" s="24"/>
      <c r="AB43"/>
      <c r="AC43" s="8" t="s">
        <v>5</v>
      </c>
      <c r="AD43" s="18">
        <f>AD2-AD25</f>
        <v>101</v>
      </c>
      <c r="AE43" s="18">
        <f>AE2-AE25</f>
        <v>2</v>
      </c>
      <c r="AF43" s="18">
        <f>AF2-AF25</f>
        <v>2</v>
      </c>
      <c r="AG43"/>
      <c r="AH43"/>
      <c r="AI43"/>
      <c r="AJ43" s="18">
        <f>AJ2-AJ25</f>
        <v>101</v>
      </c>
      <c r="AK43" s="18">
        <f>AK2-AK25</f>
        <v>9</v>
      </c>
      <c r="AL43" s="18">
        <f>AL2-AL25</f>
        <v>2</v>
      </c>
      <c r="AM43" s="24"/>
      <c r="AN43" s="24"/>
      <c r="AO43" s="18"/>
      <c r="AP43" s="8" t="s">
        <v>5</v>
      </c>
      <c r="AQ43" s="18">
        <f>AQ2-AQ25</f>
        <v>835</v>
      </c>
      <c r="AR43" s="18">
        <f>AR2-AR25</f>
        <v>19</v>
      </c>
      <c r="AS43" s="18">
        <f>AS2-AS25</f>
        <v>14</v>
      </c>
      <c r="AW43" s="18">
        <f>AW2-AW25</f>
        <v>835</v>
      </c>
      <c r="AX43" s="18">
        <f>AX2-AX25</f>
        <v>92</v>
      </c>
      <c r="AY43" s="18">
        <f>AY2-AY25</f>
        <v>14</v>
      </c>
    </row>
    <row r="44" spans="2:51" ht="15.75">
      <c r="B44" s="22"/>
      <c r="C44" s="18"/>
      <c r="D44" s="20">
        <f>J43</f>
        <v>28</v>
      </c>
      <c r="E44" s="18"/>
      <c r="J44" s="20">
        <f>D43</f>
        <v>10</v>
      </c>
      <c r="K44" s="18"/>
      <c r="L44" s="24"/>
      <c r="M44" s="18"/>
      <c r="N44" s="18"/>
      <c r="O44" s="22"/>
      <c r="P44" s="18"/>
      <c r="Q44" s="20">
        <f>W43</f>
        <v>122</v>
      </c>
      <c r="R44" s="20"/>
      <c r="S44"/>
      <c r="T44" s="11"/>
      <c r="U44" s="22"/>
      <c r="V44" s="20"/>
      <c r="W44" s="20">
        <f>Q43</f>
        <v>44</v>
      </c>
      <c r="X44" s="18"/>
      <c r="Y44" s="18"/>
      <c r="Z44" s="24"/>
      <c r="AA44" s="24"/>
      <c r="AB44"/>
      <c r="AC44" s="22"/>
      <c r="AD44" s="18"/>
      <c r="AE44" s="20">
        <f>AK43</f>
        <v>9</v>
      </c>
      <c r="AF44" s="18"/>
      <c r="AG44"/>
      <c r="AH44"/>
      <c r="AI44"/>
      <c r="AJ44"/>
      <c r="AK44" s="20">
        <f>AE43</f>
        <v>2</v>
      </c>
      <c r="AL44" s="18"/>
      <c r="AM44" s="24"/>
      <c r="AN44" s="24"/>
      <c r="AO44" s="18"/>
      <c r="AP44" s="22"/>
      <c r="AQ44" s="18"/>
      <c r="AR44" s="20">
        <f>AX43</f>
        <v>92</v>
      </c>
      <c r="AS44" s="20"/>
      <c r="AT44"/>
      <c r="AU44" s="11"/>
      <c r="AV44" s="22"/>
      <c r="AW44" s="20"/>
      <c r="AX44" s="20">
        <f>AR43</f>
        <v>19</v>
      </c>
      <c r="AY44" s="18"/>
    </row>
    <row r="45" spans="1:51" ht="12.75">
      <c r="A45" s="7"/>
      <c r="B45" s="5"/>
      <c r="C45" s="18"/>
      <c r="D45" s="20"/>
      <c r="E45" s="18"/>
      <c r="J45" s="20"/>
      <c r="K45" s="18"/>
      <c r="L45" s="24"/>
      <c r="M45" s="18"/>
      <c r="N45" s="18"/>
      <c r="O45" s="5"/>
      <c r="P45" s="18"/>
      <c r="Q45" s="20"/>
      <c r="R45" s="20"/>
      <c r="S45"/>
      <c r="U45" s="5"/>
      <c r="V45" s="20"/>
      <c r="W45" s="20"/>
      <c r="X45" s="18"/>
      <c r="Y45" s="18"/>
      <c r="Z45" s="24"/>
      <c r="AA45" s="24"/>
      <c r="AB45" s="7"/>
      <c r="AC45" s="5"/>
      <c r="AD45" s="18"/>
      <c r="AE45" s="20"/>
      <c r="AF45" s="18"/>
      <c r="AG45"/>
      <c r="AH45"/>
      <c r="AI45"/>
      <c r="AJ45"/>
      <c r="AK45" s="20"/>
      <c r="AL45" s="18"/>
      <c r="AM45" s="24"/>
      <c r="AN45" s="24"/>
      <c r="AO45" s="18"/>
      <c r="AP45" s="5"/>
      <c r="AQ45" s="18"/>
      <c r="AR45" s="20"/>
      <c r="AS45" s="20"/>
      <c r="AT45"/>
      <c r="AV45" s="5"/>
      <c r="AW45" s="20"/>
      <c r="AX45" s="20"/>
      <c r="AY45" s="18"/>
    </row>
    <row r="46" spans="2:51" ht="12.75">
      <c r="B46" s="3" t="s">
        <v>6</v>
      </c>
      <c r="C46" s="3"/>
      <c r="D46" s="14">
        <f>D44/C43</f>
        <v>0.27722772277227725</v>
      </c>
      <c r="E46" s="14">
        <f>E43/D43</f>
        <v>0.6</v>
      </c>
      <c r="J46" s="14">
        <f>J44/I43</f>
        <v>0.09900990099009901</v>
      </c>
      <c r="K46" s="14">
        <f>K43/J43</f>
        <v>0.21428571428571427</v>
      </c>
      <c r="L46" s="33"/>
      <c r="M46" s="27"/>
      <c r="N46" s="14"/>
      <c r="O46" s="3" t="s">
        <v>6</v>
      </c>
      <c r="P46" s="3"/>
      <c r="Q46" s="14">
        <f>Q44/P43</f>
        <v>0.14610778443113773</v>
      </c>
      <c r="R46" s="14">
        <f>R43/Q43</f>
        <v>0.5227272727272727</v>
      </c>
      <c r="S46"/>
      <c r="U46" s="3" t="s">
        <v>6</v>
      </c>
      <c r="V46" s="3"/>
      <c r="W46" s="14">
        <f>W44/V43</f>
        <v>0.05269461077844311</v>
      </c>
      <c r="X46" s="14">
        <f>X43/W43</f>
        <v>0.1885245901639344</v>
      </c>
      <c r="Y46" s="14"/>
      <c r="Z46" s="33"/>
      <c r="AA46" s="33"/>
      <c r="AB46"/>
      <c r="AC46" s="3" t="s">
        <v>6</v>
      </c>
      <c r="AD46" s="3"/>
      <c r="AE46" s="14">
        <f>AE44/AD43</f>
        <v>0.0891089108910891</v>
      </c>
      <c r="AF46" s="14">
        <f>AF43/AE43</f>
        <v>1</v>
      </c>
      <c r="AG46"/>
      <c r="AH46"/>
      <c r="AI46"/>
      <c r="AJ46"/>
      <c r="AK46" s="14">
        <f>AK44/AJ43</f>
        <v>0.019801980198019802</v>
      </c>
      <c r="AL46" s="14">
        <f>AL43/AK43</f>
        <v>0.2222222222222222</v>
      </c>
      <c r="AM46" s="33"/>
      <c r="AN46" s="33"/>
      <c r="AO46" s="14"/>
      <c r="AP46" s="3" t="s">
        <v>6</v>
      </c>
      <c r="AQ46" s="3"/>
      <c r="AR46" s="14">
        <f>AR44/AQ43</f>
        <v>0.11017964071856287</v>
      </c>
      <c r="AS46" s="14">
        <f>AS43/AR43</f>
        <v>0.7368421052631579</v>
      </c>
      <c r="AT46"/>
      <c r="AV46" s="3" t="s">
        <v>6</v>
      </c>
      <c r="AW46" s="3"/>
      <c r="AX46" s="14">
        <f>AX44/AW43</f>
        <v>0.022754491017964073</v>
      </c>
      <c r="AY46" s="14">
        <f>AY43/AX43</f>
        <v>0.15217391304347827</v>
      </c>
    </row>
    <row r="47" spans="2:51" ht="12.75">
      <c r="B47" s="3"/>
      <c r="D47" s="2"/>
      <c r="E47" s="2"/>
      <c r="J47" s="2"/>
      <c r="K47" s="2"/>
      <c r="L47" s="35"/>
      <c r="M47" s="28"/>
      <c r="N47" s="2"/>
      <c r="O47" s="3"/>
      <c r="Q47" s="2"/>
      <c r="R47" s="2"/>
      <c r="W47" s="2"/>
      <c r="X47" s="2"/>
      <c r="Y47" s="2"/>
      <c r="Z47" s="35"/>
      <c r="AA47" s="35"/>
      <c r="AB47"/>
      <c r="AC47" s="3"/>
      <c r="AD47"/>
      <c r="AE47" s="2"/>
      <c r="AF47" s="2"/>
      <c r="AG47"/>
      <c r="AH47"/>
      <c r="AI47"/>
      <c r="AJ47"/>
      <c r="AK47" s="2"/>
      <c r="AL47" s="2"/>
      <c r="AM47" s="35"/>
      <c r="AN47" s="35"/>
      <c r="AO47" s="2"/>
      <c r="AP47" s="3"/>
      <c r="AR47" s="2"/>
      <c r="AS47" s="2"/>
      <c r="AX47" s="2"/>
      <c r="AY47" s="2"/>
    </row>
    <row r="48" spans="1:51" ht="18">
      <c r="A48" s="21" t="s">
        <v>27</v>
      </c>
      <c r="B48" s="17"/>
      <c r="C48" s="17"/>
      <c r="D48" s="17"/>
      <c r="E48" s="17"/>
      <c r="J48" s="17"/>
      <c r="K48" s="17"/>
      <c r="L48" s="36"/>
      <c r="M48" s="30"/>
      <c r="N48" s="17"/>
      <c r="O48" s="17"/>
      <c r="P48" s="17"/>
      <c r="Q48" s="17"/>
      <c r="R48" s="17"/>
      <c r="W48" s="17"/>
      <c r="X48" s="17"/>
      <c r="Y48" s="17"/>
      <c r="Z48" s="36"/>
      <c r="AA48" s="36"/>
      <c r="AB48" s="21" t="s">
        <v>27</v>
      </c>
      <c r="AC48" s="17"/>
      <c r="AD48" s="17"/>
      <c r="AE48" s="17"/>
      <c r="AF48" s="17"/>
      <c r="AG48"/>
      <c r="AH48"/>
      <c r="AI48"/>
      <c r="AJ48"/>
      <c r="AK48" s="17"/>
      <c r="AL48" s="17"/>
      <c r="AM48" s="36"/>
      <c r="AN48" s="36"/>
      <c r="AO48" s="17"/>
      <c r="AP48" s="17"/>
      <c r="AQ48" s="17"/>
      <c r="AR48" s="17"/>
      <c r="AS48" s="17"/>
      <c r="AX48" s="17"/>
      <c r="AY48" s="17"/>
    </row>
    <row r="49" spans="2:42" ht="12.75">
      <c r="B49" s="3"/>
      <c r="O49" s="3"/>
      <c r="AB49"/>
      <c r="AC49" s="3"/>
      <c r="AD49"/>
      <c r="AE49"/>
      <c r="AF49"/>
      <c r="AG49"/>
      <c r="AH49"/>
      <c r="AI49"/>
      <c r="AJ49"/>
      <c r="AK49"/>
      <c r="AL49"/>
      <c r="AP49" s="3"/>
    </row>
    <row r="50" spans="1:51" ht="15">
      <c r="A50" s="12" t="s">
        <v>9</v>
      </c>
      <c r="B50" s="3" t="s">
        <v>13</v>
      </c>
      <c r="D50" s="14">
        <f>(D46+$C$18*$C$18/(2*C43))/(1+$C$18*$C$18/C43)</f>
        <v>0.28539021103768414</v>
      </c>
      <c r="E50" s="14">
        <f>(E46+$C$18*$C$18/(2*D43))/(1+$C$18*$C$18/D43)</f>
        <v>0.5722468015390481</v>
      </c>
      <c r="J50" s="14">
        <f>(J46+$C$18*$C$18/(2*I43))/(1+$C$18*$C$18/I43)</f>
        <v>0.11370237986783145</v>
      </c>
      <c r="K50" s="14">
        <f>(K46+$C$18*$C$18/(2*J43))/(1+$C$18*$C$18/J43)</f>
        <v>0.24875510669070403</v>
      </c>
      <c r="L50" s="33"/>
      <c r="M50" s="27"/>
      <c r="N50" s="14"/>
      <c r="O50" s="3" t="s">
        <v>13</v>
      </c>
      <c r="Q50" s="14">
        <f>(Q46+$C$18*$C$18/(2*P43))/(1+$C$18*$C$18/P43)</f>
        <v>0.14772842067486874</v>
      </c>
      <c r="R50" s="14">
        <f>(R46+$C$18*$C$18/(2*Q43))/(1+$C$18*$C$18/Q43)</f>
        <v>0.5209023794659806</v>
      </c>
      <c r="W50" s="14">
        <f>(W46+$C$18*$C$18/(2*V43))/(1+$C$18*$C$18/V43)</f>
        <v>0.05474302917787981</v>
      </c>
      <c r="X50" s="14">
        <f>(X46+$C$18*$C$18/(2*W43))/(1+$C$18*$C$18/W43)</f>
        <v>0.19803270660903505</v>
      </c>
      <c r="Y50" s="14"/>
      <c r="Z50" s="33"/>
      <c r="AA50" s="33"/>
      <c r="AB50" s="12" t="s">
        <v>9</v>
      </c>
      <c r="AC50" s="3" t="s">
        <v>13</v>
      </c>
      <c r="AD50"/>
      <c r="AE50" s="14">
        <f>(AE46+$C$18*$C$18/(2*AD43))/(1+$C$18*$C$18/AD43)</f>
        <v>0.10416416702506186</v>
      </c>
      <c r="AF50" s="14">
        <f>(AF46+$C$18*$C$18/(2*AE43))/(1+$C$18*$C$18/AE43)</f>
        <v>0.6711905714885826</v>
      </c>
      <c r="AG50"/>
      <c r="AH50"/>
      <c r="AI50"/>
      <c r="AJ50"/>
      <c r="AK50" s="14">
        <f>(AK46+$C$18*$C$18/(2*AJ43))/(1+$C$18*$C$18/AJ43)</f>
        <v>0.03739667712567472</v>
      </c>
      <c r="AL50" s="14">
        <f>(AL46+$C$18*$C$18/(2*AK43))/(1+$C$18*$C$18/AK43)</f>
        <v>0.30531783221308734</v>
      </c>
      <c r="AM50" s="33"/>
      <c r="AN50" s="33"/>
      <c r="AO50" s="14"/>
      <c r="AP50" s="3" t="s">
        <v>13</v>
      </c>
      <c r="AR50" s="14">
        <f>(AR46+$C$18*$C$18/(2*AQ43))/(1+$C$18*$C$18/AQ43)</f>
        <v>0.11196480856064223</v>
      </c>
      <c r="AS50" s="14">
        <f>(AS46+$C$18*$C$18/(2*AR43))/(1+$C$18*$C$18/AR43)</f>
        <v>0.6970103184935698</v>
      </c>
      <c r="AX50" s="14">
        <f>(AX46+$C$18*$C$18/(2*AW43))/(1+$C$18*$C$18/AW43)</f>
        <v>0.024940019082691042</v>
      </c>
      <c r="AY50" s="14">
        <f>(AY46+$C$18*$C$18/(2*AX43))/(1+$C$18*$C$18/AX43)</f>
        <v>0.16611521142592953</v>
      </c>
    </row>
    <row r="51" spans="1:51" ht="12.75">
      <c r="A51" t="s">
        <v>7</v>
      </c>
      <c r="B51" s="3" t="s">
        <v>4</v>
      </c>
      <c r="C51" s="2"/>
      <c r="D51" s="2">
        <f>($C$18*SQRT((D46*(1-D46)/C43+$C$18*$C$18/(4*C43*C43))))/(1+$C$18*$C$18/C43)</f>
        <v>0.08607192246035525</v>
      </c>
      <c r="E51" s="2">
        <f>($C$18*SQRT((E46*(1-E46)/D43+$C$18*$C$18/(4*D43*D43))))/(1+$C$18*$C$18/D43)</f>
        <v>0.25957256467334494</v>
      </c>
      <c r="J51" s="2">
        <f>($C$18*SQRT((J46*(1-J46)/I43+$C$18*$C$18/(4*I43*I43))))/(1+$C$18*$C$18/I43)</f>
        <v>0.05902928168085363</v>
      </c>
      <c r="K51" s="2">
        <f>($C$18*SQRT((K46*(1-K46)/J43+$C$18*$C$18/(4*J43*J43))))/(1+$C$18*$C$18/J43)</f>
        <v>0.1466303499864135</v>
      </c>
      <c r="L51" s="35"/>
      <c r="M51" s="28"/>
      <c r="N51" s="2"/>
      <c r="O51" s="3" t="s">
        <v>4</v>
      </c>
      <c r="P51" s="2"/>
      <c r="Q51" s="2">
        <f>($C$18*SQRT((Q46*(1-Q46)/P43+$C$18*$C$18/(4*P43*P43))))/(1+$C$18*$C$18/P43)</f>
        <v>0.02395749603116127</v>
      </c>
      <c r="R51" s="2">
        <f>($C$18*SQRT((R46*(1-R46)/Q43+$C$18*$C$18/(4*Q43*Q43))))/(1+$C$18*$C$18/Q43)</f>
        <v>0.14154745233589047</v>
      </c>
      <c r="W51" s="2">
        <f>($C$18*SQRT((W46*(1-W46)/V43+$C$18*$C$18/(4*V43*V43))))/(1+$C$18*$C$18/V43)</f>
        <v>0.015257559885653747</v>
      </c>
      <c r="X51" s="2">
        <f>($C$18*SQRT((X46*(1-X46)/W43+$C$18*$C$18/(4*W43*W43))))/(1+$C$18*$C$18/W43)</f>
        <v>0.06899546598852267</v>
      </c>
      <c r="Y51" s="2"/>
      <c r="Z51" s="35"/>
      <c r="AA51" s="35"/>
      <c r="AB51" t="s">
        <v>7</v>
      </c>
      <c r="AC51" s="3" t="s">
        <v>4</v>
      </c>
      <c r="AD51" s="2"/>
      <c r="AE51" s="2">
        <f>($C$18*SQRT((AE46*(1-AE46)/AD43+$C$18*$C$18/(4*AD43*AD43))))/(1+$C$18*$C$18/AD43)</f>
        <v>0.05657486957674414</v>
      </c>
      <c r="AF51" s="2">
        <f>($C$18*SQRT((AF46*(1-AF46)/AE43+$C$18*$C$18/(4*AE43*AE43))))/(1+$C$18*$C$18/AE43)</f>
        <v>0.3288094285114173</v>
      </c>
      <c r="AG51"/>
      <c r="AH51"/>
      <c r="AI51"/>
      <c r="AJ51"/>
      <c r="AK51" s="2">
        <f>($C$18*SQRT((AK46*(1-AK46)/AJ43+$C$18*$C$18/(4*AJ43*AJ43))))/(1+$C$18*$C$18/AJ43)</f>
        <v>0.031949342033411564</v>
      </c>
      <c r="AL51" s="2">
        <f>($C$18*SQRT((AL46*(1-AL46)/AK43+$C$18*$C$18/(4*AK43*AK43))))/(1+$C$18*$C$18/AK43)</f>
        <v>0.24209257631158615</v>
      </c>
      <c r="AM51" s="35"/>
      <c r="AN51" s="35"/>
      <c r="AO51" s="2"/>
      <c r="AP51" s="3" t="s">
        <v>4</v>
      </c>
      <c r="AQ51" s="2"/>
      <c r="AR51" s="2">
        <f>($C$18*SQRT((AR46*(1-AR46)/AQ43+$C$18*$C$18/(4*AQ43*AQ43))))/(1+$C$18*$C$18/AQ43)</f>
        <v>0.021264001500685054</v>
      </c>
      <c r="AS51" s="2">
        <f>($C$18*SQRT((AS46*(1-AS46)/AR43+$C$18*$C$18/(4*AR43*AR43))))/(1+$C$18*$C$18/AR43)</f>
        <v>0.18492536552538838</v>
      </c>
      <c r="AX51" s="2">
        <f>($C$18*SQRT((AX46*(1-AX46)/AW43+$C$18*$C$18/(4*AW43*AW43))))/(1+$C$18*$C$18/AW43)</f>
        <v>0.010325152998883442</v>
      </c>
      <c r="AY51" s="2">
        <f>($C$18*SQRT((AY46*(1-AY46)/AX43+$C$18*$C$18/(4*AX43*AX43))))/(1+$C$18*$C$18/AX43)</f>
        <v>0.07324971501319356</v>
      </c>
    </row>
    <row r="52" spans="1:51" ht="12.75">
      <c r="A52" t="s">
        <v>11</v>
      </c>
      <c r="B52" s="3" t="s">
        <v>1</v>
      </c>
      <c r="D52" s="2">
        <f>D50+D51</f>
        <v>0.37146213349803936</v>
      </c>
      <c r="E52" s="2">
        <f>E50+E51</f>
        <v>0.8318193662123929</v>
      </c>
      <c r="J52" s="2">
        <f>J50+J51</f>
        <v>0.17273166154868508</v>
      </c>
      <c r="K52" s="2">
        <f>K50+K51</f>
        <v>0.39538545667711755</v>
      </c>
      <c r="L52" s="35"/>
      <c r="M52" s="28"/>
      <c r="N52" s="2"/>
      <c r="O52" s="3" t="s">
        <v>1</v>
      </c>
      <c r="Q52" s="2">
        <f>Q50+Q51</f>
        <v>0.17168591670603</v>
      </c>
      <c r="R52" s="2">
        <f>R50+R51</f>
        <v>0.6624498318018711</v>
      </c>
      <c r="W52" s="2">
        <f>W50+W51</f>
        <v>0.07000058906353356</v>
      </c>
      <c r="X52" s="2">
        <f>X50+X51</f>
        <v>0.26702817259755773</v>
      </c>
      <c r="Y52" s="2"/>
      <c r="Z52" s="35"/>
      <c r="AA52" s="35"/>
      <c r="AB52" t="s">
        <v>11</v>
      </c>
      <c r="AC52" s="3" t="s">
        <v>1</v>
      </c>
      <c r="AD52"/>
      <c r="AE52" s="2">
        <f>AE50+AE51</f>
        <v>0.160739036601806</v>
      </c>
      <c r="AF52" s="2">
        <f>AF50+AF51</f>
        <v>1</v>
      </c>
      <c r="AG52"/>
      <c r="AH52"/>
      <c r="AI52"/>
      <c r="AJ52"/>
      <c r="AK52" s="2">
        <f>AK50+AK51</f>
        <v>0.06934601915908628</v>
      </c>
      <c r="AL52" s="2">
        <f>AL50+AL51</f>
        <v>0.5474104085246735</v>
      </c>
      <c r="AM52" s="35"/>
      <c r="AN52" s="35"/>
      <c r="AO52" s="2"/>
      <c r="AP52" s="3" t="s">
        <v>1</v>
      </c>
      <c r="AR52" s="2">
        <f>AR50+AR51</f>
        <v>0.13322881006132728</v>
      </c>
      <c r="AS52" s="2">
        <f>AS50+AS51</f>
        <v>0.8819356840189582</v>
      </c>
      <c r="AX52" s="2">
        <f>AX50+AX51</f>
        <v>0.03526517208157448</v>
      </c>
      <c r="AY52" s="2">
        <f>AY50+AY51</f>
        <v>0.2393649264391231</v>
      </c>
    </row>
    <row r="53" spans="2:51" ht="12.75">
      <c r="B53" s="3" t="s">
        <v>0</v>
      </c>
      <c r="C53" s="2"/>
      <c r="D53" s="2">
        <f>D50-D51</f>
        <v>0.1993182885773289</v>
      </c>
      <c r="E53" s="2">
        <f>E50-E51</f>
        <v>0.3126742368657031</v>
      </c>
      <c r="J53" s="2">
        <f>J50-J51</f>
        <v>0.05467309818697782</v>
      </c>
      <c r="K53" s="2">
        <f>K50-K51</f>
        <v>0.10212475670429053</v>
      </c>
      <c r="L53" s="35"/>
      <c r="M53" s="28"/>
      <c r="N53" s="2"/>
      <c r="O53" s="3" t="s">
        <v>0</v>
      </c>
      <c r="P53" s="2"/>
      <c r="Q53" s="2">
        <f>Q50-Q51</f>
        <v>0.12377092464370748</v>
      </c>
      <c r="R53" s="2">
        <f>R50-R51</f>
        <v>0.3793549271300901</v>
      </c>
      <c r="W53" s="2">
        <f>W50-W51</f>
        <v>0.03948546929222606</v>
      </c>
      <c r="X53" s="2">
        <f>X50-X51</f>
        <v>0.12903724062051236</v>
      </c>
      <c r="Y53" s="2"/>
      <c r="Z53" s="35"/>
      <c r="AA53" s="35"/>
      <c r="AB53"/>
      <c r="AC53" s="3" t="s">
        <v>0</v>
      </c>
      <c r="AD53" s="2"/>
      <c r="AE53" s="2">
        <f>AE50-AE51</f>
        <v>0.04758929744831772</v>
      </c>
      <c r="AF53" s="2">
        <f>AF50-AF51</f>
        <v>0.3423811429771653</v>
      </c>
      <c r="AG53"/>
      <c r="AH53"/>
      <c r="AI53"/>
      <c r="AJ53"/>
      <c r="AK53" s="2">
        <f>AK50-AK51</f>
        <v>0.005447335092263153</v>
      </c>
      <c r="AL53" s="2">
        <f>AL50-AL51</f>
        <v>0.06322525590150119</v>
      </c>
      <c r="AM53" s="35"/>
      <c r="AN53" s="35"/>
      <c r="AO53" s="2"/>
      <c r="AP53" s="3" t="s">
        <v>0</v>
      </c>
      <c r="AQ53" s="2"/>
      <c r="AR53" s="2">
        <f>AR50-AR51</f>
        <v>0.09070080705995717</v>
      </c>
      <c r="AS53" s="2">
        <f>AS50-AS51</f>
        <v>0.5120849529681814</v>
      </c>
      <c r="AX53" s="2">
        <f>AX50-AX51</f>
        <v>0.0146148660838076</v>
      </c>
      <c r="AY53" s="2">
        <f>AY50-AY51</f>
        <v>0.09286549641273596</v>
      </c>
    </row>
    <row r="54" spans="2:51" ht="12.75">
      <c r="B54" s="13" t="s">
        <v>2</v>
      </c>
      <c r="C54" s="13"/>
      <c r="D54" s="13"/>
      <c r="E54" s="13" t="str">
        <f>IF((D46&lt;E53),"s+",IF((D46&gt;E52),"s-","ns"))</f>
        <v>s+</v>
      </c>
      <c r="J54" s="13"/>
      <c r="K54" s="13" t="str">
        <f>IF((J46&lt;K53),"s+",IF((J46&gt;K52),"s-","ns"))</f>
        <v>s+</v>
      </c>
      <c r="L54" s="26"/>
      <c r="M54" s="26"/>
      <c r="N54" s="6"/>
      <c r="O54" s="13" t="s">
        <v>2</v>
      </c>
      <c r="P54" s="13"/>
      <c r="Q54" s="13"/>
      <c r="R54" s="13" t="str">
        <f>IF((Q46&lt;R53),"s+",IF((Q46&gt;R52),"s-","ns"))</f>
        <v>s+</v>
      </c>
      <c r="W54" s="13"/>
      <c r="X54" s="13" t="str">
        <f>IF((W46&lt;X53),"s+",IF((W46&gt;X52),"s-","ns"))</f>
        <v>s+</v>
      </c>
      <c r="Y54" s="6"/>
      <c r="Z54" s="26"/>
      <c r="AA54" s="26"/>
      <c r="AB54"/>
      <c r="AC54" s="13" t="s">
        <v>2</v>
      </c>
      <c r="AD54" s="13"/>
      <c r="AE54" s="13"/>
      <c r="AF54" s="13" t="str">
        <f>IF((AE46&lt;AF53),"s+",IF((AE46&gt;AF52),"s-","ns"))</f>
        <v>s+</v>
      </c>
      <c r="AG54"/>
      <c r="AH54"/>
      <c r="AI54"/>
      <c r="AJ54"/>
      <c r="AK54" s="13"/>
      <c r="AL54" s="13" t="str">
        <f>IF((AK46&lt;AL53),"s+",IF((AK46&gt;AL52),"s-","ns"))</f>
        <v>s+</v>
      </c>
      <c r="AM54" s="26"/>
      <c r="AN54" s="26"/>
      <c r="AO54" s="6"/>
      <c r="AP54" s="13" t="s">
        <v>2</v>
      </c>
      <c r="AQ54" s="13"/>
      <c r="AR54" s="13"/>
      <c r="AS54" s="13" t="str">
        <f>IF((AR46&lt;AS53),"s+",IF((AR46&gt;AS52),"s-","ns"))</f>
        <v>s+</v>
      </c>
      <c r="AX54" s="13"/>
      <c r="AY54" s="13" t="str">
        <f>IF((AX46&lt;AY53),"s+",IF((AX46&gt;AY52),"s-","ns"))</f>
        <v>s+</v>
      </c>
    </row>
    <row r="55" spans="2:51" ht="12.75">
      <c r="B55" s="6"/>
      <c r="C55" s="6"/>
      <c r="D55" s="6"/>
      <c r="E55" s="6"/>
      <c r="J55" s="6"/>
      <c r="K55" s="6"/>
      <c r="L55" s="26"/>
      <c r="M55" s="26"/>
      <c r="N55" s="6"/>
      <c r="O55" s="6"/>
      <c r="P55" s="6"/>
      <c r="Q55" s="6"/>
      <c r="R55" s="6"/>
      <c r="W55" s="6"/>
      <c r="X55" s="6"/>
      <c r="Y55" s="6"/>
      <c r="Z55" s="26"/>
      <c r="AA55" s="26"/>
      <c r="AB55"/>
      <c r="AC55" s="6"/>
      <c r="AD55" s="6"/>
      <c r="AE55" s="6"/>
      <c r="AF55" s="6"/>
      <c r="AG55"/>
      <c r="AH55"/>
      <c r="AI55"/>
      <c r="AJ55"/>
      <c r="AK55" s="6"/>
      <c r="AL55" s="6"/>
      <c r="AM55" s="26"/>
      <c r="AN55" s="26"/>
      <c r="AO55" s="6"/>
      <c r="AP55" s="6"/>
      <c r="AQ55" s="6"/>
      <c r="AR55" s="6"/>
      <c r="AS55" s="6"/>
      <c r="AX55" s="6"/>
      <c r="AY55" s="6"/>
    </row>
    <row r="56" spans="1:51" ht="12.75">
      <c r="A56" t="s">
        <v>12</v>
      </c>
      <c r="B56" s="6" t="s">
        <v>29</v>
      </c>
      <c r="C56" s="15"/>
      <c r="D56" s="16">
        <f>D51+(D50-D46)</f>
        <v>0.09423441072576214</v>
      </c>
      <c r="E56" s="16">
        <f>E51+(E50-E46)</f>
        <v>0.23181936621239302</v>
      </c>
      <c r="J56" s="16">
        <f>J51+(J50-J46)</f>
        <v>0.07372176055858606</v>
      </c>
      <c r="K56" s="16">
        <f>K51+(K50-K46)</f>
        <v>0.18109974239140325</v>
      </c>
      <c r="L56" s="29"/>
      <c r="M56" s="29"/>
      <c r="N56" s="16"/>
      <c r="O56" s="6" t="s">
        <v>29</v>
      </c>
      <c r="P56" s="15"/>
      <c r="Q56" s="16">
        <f>Q51+(Q50-Q46)</f>
        <v>0.025578132274892286</v>
      </c>
      <c r="R56" s="16">
        <f>R51+(R50-R46)</f>
        <v>0.13972255907459838</v>
      </c>
      <c r="W56" s="16">
        <f>W51+(W50-W46)</f>
        <v>0.017305978285090444</v>
      </c>
      <c r="X56" s="16">
        <f>X51+(X50-X46)</f>
        <v>0.0785035824336233</v>
      </c>
      <c r="Y56" s="16"/>
      <c r="Z56" s="29"/>
      <c r="AA56" s="29"/>
      <c r="AB56" t="s">
        <v>12</v>
      </c>
      <c r="AC56" s="6" t="s">
        <v>29</v>
      </c>
      <c r="AD56" s="15"/>
      <c r="AE56" s="16">
        <f>AE51+(AE50-AE46)</f>
        <v>0.07163012571071689</v>
      </c>
      <c r="AF56" s="16">
        <f>AF51+(AF50-AF46)</f>
        <v>0</v>
      </c>
      <c r="AG56"/>
      <c r="AH56"/>
      <c r="AI56"/>
      <c r="AJ56"/>
      <c r="AK56" s="16">
        <f>AK51+(AK50-AK46)</f>
        <v>0.049544038961066475</v>
      </c>
      <c r="AL56" s="16">
        <f>AL51+(AL50-AL46)</f>
        <v>0.3251881863024513</v>
      </c>
      <c r="AM56" s="29"/>
      <c r="AN56" s="29"/>
      <c r="AO56" s="16"/>
      <c r="AP56" s="6" t="s">
        <v>29</v>
      </c>
      <c r="AQ56" s="15"/>
      <c r="AR56" s="16">
        <f>AR51+(AR50-AR46)</f>
        <v>0.02304916934276441</v>
      </c>
      <c r="AS56" s="16">
        <f>AS51+(AS50-AS46)</f>
        <v>0.14509357875580028</v>
      </c>
      <c r="AX56" s="16">
        <f>AX51+(AX50-AX46)</f>
        <v>0.012510681063610411</v>
      </c>
      <c r="AY56" s="16">
        <f>AY51+(AY50-AY46)</f>
        <v>0.08719101339564482</v>
      </c>
    </row>
    <row r="57" spans="2:51" ht="12.75">
      <c r="B57" s="6" t="s">
        <v>30</v>
      </c>
      <c r="C57" s="15"/>
      <c r="D57" s="16">
        <f>D51-(D50-D46)</f>
        <v>0.07790943419494836</v>
      </c>
      <c r="E57" s="16">
        <f>E51-(E50-E46)</f>
        <v>0.28732576313429686</v>
      </c>
      <c r="J57" s="16">
        <f>J51-(J50-J46)</f>
        <v>0.044336802803121196</v>
      </c>
      <c r="K57" s="16">
        <f>K51-(K50-K46)</f>
        <v>0.11216095758142375</v>
      </c>
      <c r="L57" s="29"/>
      <c r="M57" s="29"/>
      <c r="N57" s="16"/>
      <c r="O57" s="6" t="s">
        <v>30</v>
      </c>
      <c r="P57" s="15"/>
      <c r="Q57" s="16">
        <f>Q51-(Q50-Q46)</f>
        <v>0.022336859787430254</v>
      </c>
      <c r="R57" s="16">
        <f>R51-(R50-R46)</f>
        <v>0.14337234559718257</v>
      </c>
      <c r="W57" s="16">
        <f>W51-(W50-W46)</f>
        <v>0.013209141486217052</v>
      </c>
      <c r="X57" s="16">
        <f>X51-(X50-X46)</f>
        <v>0.05948734954342204</v>
      </c>
      <c r="Y57" s="16"/>
      <c r="Z57" s="29"/>
      <c r="AA57" s="29"/>
      <c r="AB57"/>
      <c r="AC57" s="6" t="s">
        <v>30</v>
      </c>
      <c r="AD57" s="15"/>
      <c r="AE57" s="16">
        <f>AE51-(AE50-AE46)</f>
        <v>0.041519613442771386</v>
      </c>
      <c r="AF57" s="16">
        <f>AF51-(AF50-AF46)</f>
        <v>0.6576188570228347</v>
      </c>
      <c r="AG57"/>
      <c r="AH57"/>
      <c r="AI57"/>
      <c r="AJ57"/>
      <c r="AK57" s="16">
        <f>AK51-(AK50-AK46)</f>
        <v>0.01435464510575665</v>
      </c>
      <c r="AL57" s="16">
        <f>AL51-(AL50-AL46)</f>
        <v>0.15899696632072102</v>
      </c>
      <c r="AM57" s="29"/>
      <c r="AN57" s="29"/>
      <c r="AO57" s="16"/>
      <c r="AP57" s="6" t="s">
        <v>30</v>
      </c>
      <c r="AQ57" s="15"/>
      <c r="AR57" s="16">
        <f>AR51-(AR50-AR46)</f>
        <v>0.0194788336586057</v>
      </c>
      <c r="AS57" s="16">
        <f>AS51-(AS50-AS46)</f>
        <v>0.22475715229497648</v>
      </c>
      <c r="AX57" s="16">
        <f>AX51-(AX50-AX46)</f>
        <v>0.008139624934156472</v>
      </c>
      <c r="AY57" s="16">
        <f>AY51-(AY50-AY46)</f>
        <v>0.05930841663074231</v>
      </c>
    </row>
    <row r="58" spans="2:51" ht="12.75">
      <c r="B58" s="3"/>
      <c r="C58" s="2"/>
      <c r="D58" s="2"/>
      <c r="E58" s="2"/>
      <c r="J58" s="2"/>
      <c r="K58" s="2"/>
      <c r="L58" s="35"/>
      <c r="M58" s="28"/>
      <c r="N58" s="2"/>
      <c r="O58" s="3"/>
      <c r="P58" s="2"/>
      <c r="Q58" s="2"/>
      <c r="R58" s="2"/>
      <c r="W58" s="2"/>
      <c r="X58" s="2"/>
      <c r="Y58" s="2"/>
      <c r="Z58" s="35"/>
      <c r="AA58" s="35"/>
      <c r="AB58"/>
      <c r="AC58" s="3"/>
      <c r="AD58" s="2"/>
      <c r="AE58" s="2"/>
      <c r="AF58" s="2"/>
      <c r="AG58"/>
      <c r="AH58"/>
      <c r="AI58"/>
      <c r="AJ58"/>
      <c r="AK58" s="2"/>
      <c r="AL58" s="2"/>
      <c r="AM58" s="35"/>
      <c r="AN58" s="35"/>
      <c r="AO58" s="2"/>
      <c r="AP58" s="3"/>
      <c r="AQ58" s="2"/>
      <c r="AR58" s="2"/>
      <c r="AS58" s="2"/>
      <c r="AX58" s="2"/>
      <c r="AY58" s="2"/>
    </row>
    <row r="59" spans="1:43" ht="18">
      <c r="A59" s="17" t="s">
        <v>28</v>
      </c>
      <c r="B59" s="11"/>
      <c r="C59" s="5"/>
      <c r="O59" s="11"/>
      <c r="P59" s="5"/>
      <c r="AB59" s="17" t="s">
        <v>28</v>
      </c>
      <c r="AC59" s="11"/>
      <c r="AD59" s="5"/>
      <c r="AE59"/>
      <c r="AF59"/>
      <c r="AG59"/>
      <c r="AH59"/>
      <c r="AI59"/>
      <c r="AJ59"/>
      <c r="AK59"/>
      <c r="AL59"/>
      <c r="AP59" s="11"/>
      <c r="AQ59" s="5"/>
    </row>
    <row r="60" spans="2:42" ht="12.75">
      <c r="B60" s="3"/>
      <c r="O60" s="3"/>
      <c r="AB60"/>
      <c r="AC60" s="3"/>
      <c r="AD60"/>
      <c r="AE60"/>
      <c r="AF60"/>
      <c r="AG60"/>
      <c r="AH60"/>
      <c r="AI60"/>
      <c r="AJ60"/>
      <c r="AK60"/>
      <c r="AL60"/>
      <c r="AP60" s="3"/>
    </row>
    <row r="61" spans="1:51" ht="12.75">
      <c r="A61" s="3" t="s">
        <v>20</v>
      </c>
      <c r="C61" s="1" t="s">
        <v>17</v>
      </c>
      <c r="D61" s="19">
        <f>-SQRT(D38^2+D57^2)</f>
        <v>-0.12629859608977517</v>
      </c>
      <c r="E61" s="19">
        <f>-SQRT(E38^2+E57^2)</f>
        <v>-0.35705456113241746</v>
      </c>
      <c r="J61" s="19">
        <f>-SQRT(J38^2+J57^2)</f>
        <v>-0.09821324214596686</v>
      </c>
      <c r="K61" s="19">
        <f>-SQRT(K38^2+K57^2)</f>
        <v>-0.24799614596510672</v>
      </c>
      <c r="L61" s="37"/>
      <c r="M61" s="31"/>
      <c r="N61" s="19"/>
      <c r="P61" s="1" t="s">
        <v>17</v>
      </c>
      <c r="Q61" s="19">
        <f>-SQRT(Q38^2+Q57^2)</f>
        <v>-0.030140860441483622</v>
      </c>
      <c r="R61" s="19">
        <f>-SQRT(R38^2+R57^2)</f>
        <v>-0.1825360555182002</v>
      </c>
      <c r="W61" s="19">
        <f>-SQRT(W38^2+W57^2)</f>
        <v>-0.017991838916704667</v>
      </c>
      <c r="X61" s="19">
        <f>-SQRT(X38^2+X57^2)</f>
        <v>-0.08088983679004191</v>
      </c>
      <c r="Y61" s="19"/>
      <c r="Z61" s="37"/>
      <c r="AA61" s="37"/>
      <c r="AB61" s="3" t="s">
        <v>20</v>
      </c>
      <c r="AC61"/>
      <c r="AD61" s="1" t="s">
        <v>17</v>
      </c>
      <c r="AE61" s="19">
        <f>-SQRT(AE38^2+AE57^2)</f>
        <v>-0.10447891006494807</v>
      </c>
      <c r="AF61" s="19">
        <f>-SQRT(AF38^2+AF57^2)</f>
        <v>-0.7529352579516645</v>
      </c>
      <c r="AG61"/>
      <c r="AH61"/>
      <c r="AI61"/>
      <c r="AJ61"/>
      <c r="AK61" s="19">
        <f>-SQRT(AK38^2+AK57^2)</f>
        <v>-0.07633401128348734</v>
      </c>
      <c r="AL61" s="19">
        <f>-SQRT(AL38^2+AL57^2)</f>
        <v>-0.2839227238935994</v>
      </c>
      <c r="AM61" s="37"/>
      <c r="AN61" s="37"/>
      <c r="AO61" s="19"/>
      <c r="AQ61" s="1" t="s">
        <v>17</v>
      </c>
      <c r="AR61" s="19">
        <f>-SQRT(AR38^2+AR57^2)</f>
        <v>-0.024009381134978247</v>
      </c>
      <c r="AS61" s="19">
        <f>-SQRT(AS38^2+AS57^2)</f>
        <v>-0.2646583156537573</v>
      </c>
      <c r="AX61" s="19">
        <f>-SQRT(AX38^2+AX57^2)</f>
        <v>-0.01093364839092265</v>
      </c>
      <c r="AY61" s="19">
        <f>-SQRT(AY38^2+AY57^2)</f>
        <v>-0.10746777912958658</v>
      </c>
    </row>
    <row r="62" spans="3:51" ht="12.75">
      <c r="C62" s="1" t="s">
        <v>18</v>
      </c>
      <c r="D62" s="19">
        <f>SQRT(D39^2+D56^2)</f>
        <v>0.12074716433944506</v>
      </c>
      <c r="E62" s="19">
        <f>SQRT(E39^2+E56^2)</f>
        <v>0.36548801410092996</v>
      </c>
      <c r="J62" s="19">
        <f>SQRT(J39^2+J56^2)</f>
        <v>0.09233060549509445</v>
      </c>
      <c r="K62" s="19">
        <f>SQRT(K39^2+K56^2)</f>
        <v>0.2531793940957005</v>
      </c>
      <c r="L62" s="37"/>
      <c r="M62" s="31"/>
      <c r="N62" s="19"/>
      <c r="P62" s="1" t="s">
        <v>18</v>
      </c>
      <c r="Q62" s="19">
        <f>SQRT(Q39^2+Q56^2)</f>
        <v>0.03148134826890014</v>
      </c>
      <c r="R62" s="19">
        <f>SQRT(R39^2+R56^2)</f>
        <v>0.1869899577942246</v>
      </c>
      <c r="W62" s="19">
        <f>SQRT(W39^2+W56^2)</f>
        <v>0.019836985344658064</v>
      </c>
      <c r="X62" s="19">
        <f>SQRT(X39^2+X56^2)</f>
        <v>0.08972494705575804</v>
      </c>
      <c r="Y62" s="19"/>
      <c r="Z62" s="37"/>
      <c r="AA62" s="37"/>
      <c r="AB62"/>
      <c r="AC62"/>
      <c r="AD62" s="1" t="s">
        <v>18</v>
      </c>
      <c r="AE62" s="19">
        <f>SQRT(AE39^2+AE56^2)</f>
        <v>0.0993980860568551</v>
      </c>
      <c r="AF62" s="19">
        <f>SQRT(AF39^2+AF56^2)</f>
        <v>0.23656169226587426</v>
      </c>
      <c r="AG62"/>
      <c r="AH62"/>
      <c r="AI62"/>
      <c r="AJ62"/>
      <c r="AK62" s="19">
        <f>SQRT(AK39^2+AK56^2)</f>
        <v>0.062339932841719826</v>
      </c>
      <c r="AL62" s="19">
        <f>SQRT(AL39^2+AL56^2)</f>
        <v>0.33741872282829105</v>
      </c>
      <c r="AM62" s="37"/>
      <c r="AN62" s="37"/>
      <c r="AO62" s="19"/>
      <c r="AQ62" s="1" t="s">
        <v>18</v>
      </c>
      <c r="AR62" s="19">
        <f>SQRT(AR39^2+AR56^2)</f>
        <v>0.02581105384354177</v>
      </c>
      <c r="AS62" s="19">
        <f>SQRT(AS39^2+AS56^2)</f>
        <v>0.27816277190108624</v>
      </c>
      <c r="AX62" s="19">
        <f>SQRT(AX39^2+AX56^2)</f>
        <v>0.013329611354927736</v>
      </c>
      <c r="AY62" s="19">
        <f>SQRT(AY39^2+AY56^2)</f>
        <v>0.10582421754473736</v>
      </c>
    </row>
    <row r="63" spans="1:51" ht="12.75">
      <c r="A63" s="5"/>
      <c r="B63" s="5"/>
      <c r="C63" t="s">
        <v>19</v>
      </c>
      <c r="D63" s="19">
        <f>D28-D46</f>
        <v>-0.05369831100757136</v>
      </c>
      <c r="E63" s="19">
        <f>E28-E46</f>
        <v>0.036363636363636376</v>
      </c>
      <c r="J63" s="19">
        <f>J28-J46</f>
        <v>0.03040186371578335</v>
      </c>
      <c r="K63" s="19">
        <f>K28-K46</f>
        <v>0.15413533834586465</v>
      </c>
      <c r="L63" s="37"/>
      <c r="M63" s="31"/>
      <c r="N63" s="19"/>
      <c r="O63" s="5"/>
      <c r="P63" t="s">
        <v>19</v>
      </c>
      <c r="Q63" s="19">
        <f>Q28-Q46</f>
        <v>0.013574296493717775</v>
      </c>
      <c r="R63" s="19">
        <f>R28-R46</f>
        <v>0.07404692082111441</v>
      </c>
      <c r="W63" s="19">
        <f>W28-W46</f>
        <v>-0.007896922917171437</v>
      </c>
      <c r="X63" s="19">
        <f>X28-X46</f>
        <v>-0.021103775684296416</v>
      </c>
      <c r="Y63" s="19"/>
      <c r="Z63" s="37"/>
      <c r="AA63" s="37"/>
      <c r="AB63" s="5"/>
      <c r="AC63" s="5"/>
      <c r="AD63" t="s">
        <v>19</v>
      </c>
      <c r="AE63" s="19">
        <f>AE28-AE46</f>
        <v>0.09912638322655795</v>
      </c>
      <c r="AF63" s="19">
        <f>AF28-AF46</f>
        <v>-0.6666666666666667</v>
      </c>
      <c r="AG63"/>
      <c r="AH63"/>
      <c r="AI63"/>
      <c r="AJ63"/>
      <c r="AK63" s="19">
        <f>AK28-AK46</f>
        <v>0.05078625509609784</v>
      </c>
      <c r="AL63" s="19">
        <f>AL28-AL46</f>
        <v>-0.09722222222222221</v>
      </c>
      <c r="AM63" s="37"/>
      <c r="AN63" s="37"/>
      <c r="AO63" s="19"/>
      <c r="AP63" s="5"/>
      <c r="AQ63" t="s">
        <v>19</v>
      </c>
      <c r="AR63" s="19">
        <f>AR28-AR46</f>
        <v>-0.04731836904226229</v>
      </c>
      <c r="AS63" s="19">
        <f>AS28-AS46</f>
        <v>0.02786377708978327</v>
      </c>
      <c r="AX63" s="19">
        <f>AX28-AX46</f>
        <v>-0.010471254023744419</v>
      </c>
      <c r="AY63" s="19">
        <f>AY28-AY46</f>
        <v>-0.0027486256871564196</v>
      </c>
    </row>
    <row r="64" spans="2:51" ht="12.75">
      <c r="B64" s="5"/>
      <c r="C64" s="2"/>
      <c r="D64" s="1" t="str">
        <f>IF(D63&lt;D61,"s- (sp &gt; w)",IF(D63&gt;D62,"s+ (sp &lt; w)","ns"))</f>
        <v>ns</v>
      </c>
      <c r="E64" s="1" t="str">
        <f>IF(E63&lt;E61,"s- (sp &gt; w)",IF(E63&gt;E62,"s+ (sp &lt; w)","ns"))</f>
        <v>ns</v>
      </c>
      <c r="J64" s="1" t="str">
        <f>IF(J63&lt;J61,"s- (sp &gt; w)",IF(J63&gt;J62,"s+ (sp &lt; w)","ns"))</f>
        <v>ns</v>
      </c>
      <c r="K64" s="1" t="str">
        <f>IF(K63&lt;K61,"s- (sp &gt; w)",IF(K63&gt;K62,"s+ (sp &lt; w)","ns"))</f>
        <v>ns</v>
      </c>
      <c r="L64" s="32"/>
      <c r="M64" s="9"/>
      <c r="N64" s="1"/>
      <c r="O64" s="5"/>
      <c r="P64" s="2"/>
      <c r="Q64" s="1" t="str">
        <f>IF(Q63&lt;Q61,"s- (sp &gt; w)",IF(Q63&gt;Q62,"s+ (sp &lt; w)","ns"))</f>
        <v>ns</v>
      </c>
      <c r="R64" s="1" t="str">
        <f>IF(R63&lt;R61,"s- (sp &gt; w)",IF(R63&gt;R62,"s+ (sp &lt; w)","ns"))</f>
        <v>ns</v>
      </c>
      <c r="W64" s="1" t="str">
        <f>IF(W63&lt;W61,"s- (sp &gt; w)",IF(W63&gt;W62,"s+ (sp &lt; w)","ns"))</f>
        <v>ns</v>
      </c>
      <c r="X64" s="1" t="str">
        <f>IF(X63&lt;X61,"s- (sp &gt; w)",IF(X63&gt;X62,"s+ (sp &lt; w)","ns"))</f>
        <v>ns</v>
      </c>
      <c r="Y64" s="1"/>
      <c r="Z64" s="32"/>
      <c r="AA64" s="32"/>
      <c r="AB64"/>
      <c r="AC64" s="5"/>
      <c r="AD64" s="2"/>
      <c r="AE64" s="1" t="str">
        <f>IF(AE63&lt;AE61,"s- (sp &gt; w)",IF(AE63&gt;AE62,"s+ (sp &lt; w)","ns"))</f>
        <v>ns</v>
      </c>
      <c r="AF64" s="1" t="str">
        <f>IF(AF63&lt;AF61,"s- (sp &gt; w)",IF(AF63&gt;AF62,"s+ (sp &lt; w)","ns"))</f>
        <v>ns</v>
      </c>
      <c r="AG64"/>
      <c r="AH64"/>
      <c r="AI64"/>
      <c r="AJ64"/>
      <c r="AK64" s="1" t="str">
        <f>IF(AK63&lt;AK61,"s- (sp &gt; w)",IF(AK63&gt;AK62,"s+ (sp &lt; w)","ns"))</f>
        <v>ns</v>
      </c>
      <c r="AL64" s="1" t="str">
        <f>IF(AL63&lt;AL61,"s- (sp &gt; w)",IF(AL63&gt;AL62,"s+ (sp &lt; w)","ns"))</f>
        <v>ns</v>
      </c>
      <c r="AM64" s="32"/>
      <c r="AN64" s="32"/>
      <c r="AO64" s="1"/>
      <c r="AP64" s="5"/>
      <c r="AQ64" s="2"/>
      <c r="AR64" s="1" t="str">
        <f>IF(AR63&lt;AR61,"s- (sp &gt; w)",IF(AR63&gt;AR62,"s+ (sp &lt; w)","ns"))</f>
        <v>s- (sp &gt; w)</v>
      </c>
      <c r="AS64" s="1" t="str">
        <f>IF(AS63&lt;AS61,"s- (sp &gt; w)",IF(AS63&gt;AS62,"s+ (sp &lt; w)","ns"))</f>
        <v>ns</v>
      </c>
      <c r="AX64" s="1" t="str">
        <f>IF(AX63&lt;AX61,"s- (sp &gt; w)",IF(AX63&gt;AX62,"s+ (sp &lt; w)","ns"))</f>
        <v>ns</v>
      </c>
      <c r="AY64" s="1" t="str">
        <f>IF(AY63&lt;AY61,"s- (sp &gt; w)",IF(AY63&gt;AY62,"s+ (sp &lt; w)","ns"))</f>
        <v>ns</v>
      </c>
    </row>
    <row r="65" spans="2:51" ht="12.75">
      <c r="B65" s="5"/>
      <c r="C65" s="2"/>
      <c r="D65" s="2"/>
      <c r="E65" s="2"/>
      <c r="J65" s="2"/>
      <c r="K65" s="2"/>
      <c r="L65" s="35"/>
      <c r="M65" s="28"/>
      <c r="N65" s="2"/>
      <c r="O65" s="5"/>
      <c r="P65" s="2"/>
      <c r="Q65" s="2"/>
      <c r="R65" s="2"/>
      <c r="W65" s="2"/>
      <c r="X65" s="2"/>
      <c r="Y65" s="2"/>
      <c r="Z65" s="35"/>
      <c r="AA65" s="35"/>
      <c r="AB65"/>
      <c r="AC65" s="5"/>
      <c r="AD65" s="2"/>
      <c r="AE65" s="2"/>
      <c r="AF65" s="2"/>
      <c r="AG65"/>
      <c r="AH65"/>
      <c r="AI65"/>
      <c r="AJ65"/>
      <c r="AK65" s="2"/>
      <c r="AL65" s="2"/>
      <c r="AM65" s="35"/>
      <c r="AN65" s="35"/>
      <c r="AO65" s="2"/>
      <c r="AP65" s="5"/>
      <c r="AQ65" s="2"/>
      <c r="AR65" s="2"/>
      <c r="AS65" s="2"/>
      <c r="AX65" s="2"/>
      <c r="AY65" s="2"/>
    </row>
    <row r="66" spans="1:51" ht="12.75">
      <c r="A66" s="3" t="s">
        <v>24</v>
      </c>
      <c r="C66" t="s">
        <v>21</v>
      </c>
      <c r="E66" s="2">
        <f>E28-D28</f>
        <v>0.4128342245989305</v>
      </c>
      <c r="K66" s="2">
        <f>K28-J28</f>
        <v>0.23900928792569656</v>
      </c>
      <c r="L66" s="35"/>
      <c r="M66" s="28"/>
      <c r="N66" s="2"/>
      <c r="P66" t="s">
        <v>21</v>
      </c>
      <c r="R66" s="2">
        <f>R28-Q28</f>
        <v>0.43709211262353165</v>
      </c>
      <c r="X66" s="2">
        <f>X28-W28</f>
        <v>0.12262312661836633</v>
      </c>
      <c r="Y66" s="2"/>
      <c r="Z66" s="35"/>
      <c r="AA66" s="35"/>
      <c r="AB66" s="3" t="s">
        <v>24</v>
      </c>
      <c r="AC66"/>
      <c r="AD66" t="s">
        <v>21</v>
      </c>
      <c r="AE66"/>
      <c r="AF66" s="2">
        <f>AF28-AE28</f>
        <v>0.14509803921568626</v>
      </c>
      <c r="AG66"/>
      <c r="AH66"/>
      <c r="AI66"/>
      <c r="AJ66"/>
      <c r="AK66"/>
      <c r="AL66" s="2">
        <f>AL28-AK28</f>
        <v>0.054411764705882354</v>
      </c>
      <c r="AM66" s="35"/>
      <c r="AN66" s="35"/>
      <c r="AO66" s="2"/>
      <c r="AQ66" t="s">
        <v>21</v>
      </c>
      <c r="AS66" s="2">
        <f>AS28-AR28</f>
        <v>0.7018446106766405</v>
      </c>
      <c r="AY66" s="2">
        <f>AY28-AX28</f>
        <v>0.1371420503621022</v>
      </c>
    </row>
    <row r="67" spans="2:51" ht="12.75">
      <c r="B67" s="3"/>
      <c r="C67" t="s">
        <v>22</v>
      </c>
      <c r="E67" s="2">
        <f>E46-D46</f>
        <v>0.3227722772277227</v>
      </c>
      <c r="K67" s="2">
        <f>K46-J46</f>
        <v>0.11527581329561526</v>
      </c>
      <c r="L67" s="35"/>
      <c r="M67" s="28"/>
      <c r="N67" s="2"/>
      <c r="O67" s="3"/>
      <c r="P67" t="s">
        <v>22</v>
      </c>
      <c r="R67" s="2">
        <f>R46-Q46</f>
        <v>0.376619488296135</v>
      </c>
      <c r="X67" s="2">
        <f>X46-W46</f>
        <v>0.1358299793854913</v>
      </c>
      <c r="Y67" s="2"/>
      <c r="Z67" s="35"/>
      <c r="AA67" s="35"/>
      <c r="AB67"/>
      <c r="AC67" s="3"/>
      <c r="AD67" t="s">
        <v>22</v>
      </c>
      <c r="AE67"/>
      <c r="AF67" s="2">
        <f>AF46-AE46</f>
        <v>0.9108910891089109</v>
      </c>
      <c r="AG67"/>
      <c r="AH67"/>
      <c r="AI67"/>
      <c r="AJ67"/>
      <c r="AK67"/>
      <c r="AL67" s="2">
        <f>AL46-AK46</f>
        <v>0.20242024202420242</v>
      </c>
      <c r="AM67" s="35"/>
      <c r="AN67" s="35"/>
      <c r="AO67" s="2"/>
      <c r="AP67" s="3"/>
      <c r="AQ67" t="s">
        <v>22</v>
      </c>
      <c r="AS67" s="2">
        <f>AS46-AR46</f>
        <v>0.626662464544595</v>
      </c>
      <c r="AY67" s="2">
        <f>AY46-AX46</f>
        <v>0.1294194220255142</v>
      </c>
    </row>
    <row r="68" spans="1:51" ht="12.75">
      <c r="A68" t="s">
        <v>25</v>
      </c>
      <c r="B68" s="3"/>
      <c r="C68" t="s">
        <v>23</v>
      </c>
      <c r="E68" s="2">
        <f>E67-E66</f>
        <v>-0.09006194737120776</v>
      </c>
      <c r="K68" s="2">
        <f>K67-K66</f>
        <v>-0.1237334746300813</v>
      </c>
      <c r="L68" s="35"/>
      <c r="M68" s="28"/>
      <c r="N68" s="2"/>
      <c r="O68" s="3"/>
      <c r="P68" t="s">
        <v>23</v>
      </c>
      <c r="R68" s="2">
        <f>R67-R66</f>
        <v>-0.06047262432739664</v>
      </c>
      <c r="X68" s="2">
        <f>X67-X66</f>
        <v>0.013206852767124966</v>
      </c>
      <c r="Y68" s="2"/>
      <c r="Z68" s="35"/>
      <c r="AA68" s="35"/>
      <c r="AB68" t="s">
        <v>25</v>
      </c>
      <c r="AC68" s="3"/>
      <c r="AD68" t="s">
        <v>23</v>
      </c>
      <c r="AE68"/>
      <c r="AF68" s="2">
        <f>AF67-AF66</f>
        <v>0.7657930498932246</v>
      </c>
      <c r="AG68"/>
      <c r="AH68"/>
      <c r="AI68"/>
      <c r="AJ68"/>
      <c r="AK68"/>
      <c r="AL68" s="2">
        <f>AL67-AL66</f>
        <v>0.14800847731832006</v>
      </c>
      <c r="AM68" s="35"/>
      <c r="AN68" s="35"/>
      <c r="AO68" s="2"/>
      <c r="AP68" s="3"/>
      <c r="AQ68" t="s">
        <v>23</v>
      </c>
      <c r="AS68" s="2">
        <f>AS67-AS66</f>
        <v>-0.07518214613204555</v>
      </c>
      <c r="AY68" s="2">
        <f>AY67-AY66</f>
        <v>-0.007722628336587989</v>
      </c>
    </row>
    <row r="69" spans="2:51" ht="12.75">
      <c r="B69" s="3"/>
      <c r="E69" s="1" t="str">
        <f>IF(E68&lt;E61,"s- (sp &gt; w)",IF(E68&gt;E62,"s+ (sp &lt; w)","ns"))</f>
        <v>ns</v>
      </c>
      <c r="K69" s="1" t="str">
        <f>IF(K68&lt;K61,"s- (sp &gt; w)",IF(K68&gt;K62,"s+ (sp &lt; w)","ns"))</f>
        <v>ns</v>
      </c>
      <c r="L69" s="32"/>
      <c r="M69" s="9"/>
      <c r="N69" s="1"/>
      <c r="O69" s="3"/>
      <c r="R69" s="1" t="str">
        <f>IF(R68&lt;R61,"s- (sp &gt; w)",IF(R68&gt;R62,"s+ (sp &lt; w)","ns"))</f>
        <v>ns</v>
      </c>
      <c r="X69" s="1" t="str">
        <f>IF(X68&lt;X61,"s- (sp &gt; w)",IF(X68&gt;X62,"s+ (sp &lt; w)","ns"))</f>
        <v>ns</v>
      </c>
      <c r="Y69" s="1"/>
      <c r="Z69" s="32"/>
      <c r="AA69" s="32"/>
      <c r="AB69"/>
      <c r="AC69" s="3"/>
      <c r="AD69"/>
      <c r="AE69"/>
      <c r="AF69" s="1" t="str">
        <f>IF(AF68&lt;AF61,"s- (sp &gt; w)",IF(AF68&gt;AF62,"s+ (sp &lt; w)","ns"))</f>
        <v>s+ (sp &lt; w)</v>
      </c>
      <c r="AG69"/>
      <c r="AH69"/>
      <c r="AI69"/>
      <c r="AJ69"/>
      <c r="AK69"/>
      <c r="AL69" s="1" t="str">
        <f>IF(AL68&lt;AL61,"s- (sp &gt; w)",IF(AL68&gt;AL62,"s+ (sp &lt; w)","ns"))</f>
        <v>ns</v>
      </c>
      <c r="AM69" s="32"/>
      <c r="AN69" s="32"/>
      <c r="AO69" s="1"/>
      <c r="AP69" s="3"/>
      <c r="AS69" s="1" t="str">
        <f>IF(AS68&lt;AS61,"s- (sp &gt; w)",IF(AS68&gt;AS62,"s+ (sp &lt; w)","ns"))</f>
        <v>ns</v>
      </c>
      <c r="AY69" s="1" t="str">
        <f>IF(AY68&lt;AY61,"s- (sp &gt; w)",IF(AY68&gt;AY62,"s+ (sp &lt; w)","ns"))</f>
        <v>ns</v>
      </c>
    </row>
    <row r="70" spans="2:42" ht="12.75">
      <c r="B70" s="3"/>
      <c r="O70" s="3"/>
      <c r="AB70"/>
      <c r="AC70" s="3"/>
      <c r="AD70"/>
      <c r="AE70"/>
      <c r="AF70"/>
      <c r="AG70"/>
      <c r="AH70"/>
      <c r="AI70"/>
      <c r="AJ70"/>
      <c r="AK70"/>
      <c r="AL70"/>
      <c r="AP70" s="3"/>
    </row>
    <row r="71" spans="3:45" ht="12.75">
      <c r="C71" t="s">
        <v>52</v>
      </c>
      <c r="D71" t="s">
        <v>47</v>
      </c>
      <c r="P71" t="s">
        <v>47</v>
      </c>
      <c r="Q71" t="s">
        <v>48</v>
      </c>
      <c r="R71" t="s">
        <v>49</v>
      </c>
      <c r="AB71"/>
      <c r="AC71"/>
      <c r="AD71" t="s">
        <v>52</v>
      </c>
      <c r="AE71" t="s">
        <v>47</v>
      </c>
      <c r="AF71"/>
      <c r="AG71"/>
      <c r="AH71"/>
      <c r="AI71"/>
      <c r="AJ71"/>
      <c r="AK71"/>
      <c r="AL71"/>
      <c r="AQ71" t="s">
        <v>47</v>
      </c>
      <c r="AR71" t="s">
        <v>48</v>
      </c>
      <c r="AS71" t="s">
        <v>49</v>
      </c>
    </row>
    <row r="72" spans="2:45" ht="12.75">
      <c r="B72" t="s">
        <v>50</v>
      </c>
      <c r="C72" s="2">
        <f>D5</f>
        <v>0.25268817204301075</v>
      </c>
      <c r="D72" s="2">
        <f>J5</f>
        <v>0.11290322580645161</v>
      </c>
      <c r="O72" t="s">
        <v>50</v>
      </c>
      <c r="P72" s="2">
        <f>Q5</f>
        <v>0.15457413249211358</v>
      </c>
      <c r="Q72" s="2">
        <f>W5</f>
        <v>0.047769265434880574</v>
      </c>
      <c r="R72">
        <f>P72/Q72</f>
        <v>3.235849056603774</v>
      </c>
      <c r="AB72"/>
      <c r="AC72" t="s">
        <v>50</v>
      </c>
      <c r="AD72" s="2">
        <f>AE5</f>
        <v>0.13440860215053763</v>
      </c>
      <c r="AE72" s="2">
        <f>AK5</f>
        <v>0.043010752688172046</v>
      </c>
      <c r="AF72"/>
      <c r="AG72"/>
      <c r="AH72"/>
      <c r="AI72"/>
      <c r="AJ72"/>
      <c r="AK72"/>
      <c r="AL72"/>
      <c r="AP72" t="s">
        <v>50</v>
      </c>
      <c r="AQ72" s="2">
        <f>AR5</f>
        <v>0.08066696710229833</v>
      </c>
      <c r="AR72" s="2">
        <f>AX5</f>
        <v>0.01622352410995944</v>
      </c>
      <c r="AS72">
        <f>AQ72/AR72</f>
        <v>4.972222222222222</v>
      </c>
    </row>
    <row r="73" spans="2:44" ht="12.75">
      <c r="B73" t="s">
        <v>17</v>
      </c>
      <c r="C73" s="2">
        <f>D12</f>
        <v>0.19567511983365365</v>
      </c>
      <c r="D73" s="2">
        <f>J12</f>
        <v>0.07504134379203439</v>
      </c>
      <c r="O73" t="s">
        <v>17</v>
      </c>
      <c r="P73" s="2">
        <f>Q12</f>
        <v>0.14013130547014166</v>
      </c>
      <c r="Q73" s="2">
        <f>W12</f>
        <v>0.03965020116275138</v>
      </c>
      <c r="AB73"/>
      <c r="AC73" t="s">
        <v>17</v>
      </c>
      <c r="AD73" s="2">
        <f>AE12</f>
        <v>0.09272552814351981</v>
      </c>
      <c r="AE73" s="2">
        <f>AK12</f>
        <v>0.021952817896745074</v>
      </c>
      <c r="AF73"/>
      <c r="AG73"/>
      <c r="AH73"/>
      <c r="AI73"/>
      <c r="AJ73"/>
      <c r="AK73"/>
      <c r="AL73"/>
      <c r="AP73" t="s">
        <v>17</v>
      </c>
      <c r="AQ73" s="2">
        <f>AR12</f>
        <v>0.07004767055049876</v>
      </c>
      <c r="AR73" s="2">
        <f>AX12</f>
        <v>0.011741574332089381</v>
      </c>
    </row>
    <row r="74" spans="2:44" ht="12.75">
      <c r="B74" t="s">
        <v>18</v>
      </c>
      <c r="C74" s="2">
        <f>D11</f>
        <v>0.3197099380943899</v>
      </c>
      <c r="D74" s="2">
        <f>J11</f>
        <v>0.16643092079099026</v>
      </c>
      <c r="O74" t="s">
        <v>18</v>
      </c>
      <c r="P74" s="2">
        <f>Q11</f>
        <v>0.17021086729770477</v>
      </c>
      <c r="Q74" s="2">
        <f>W11</f>
        <v>0.057451390973626795</v>
      </c>
      <c r="AB74"/>
      <c r="AC74" t="s">
        <v>18</v>
      </c>
      <c r="AD74" s="2">
        <f>AE11</f>
        <v>0.19088716618489238</v>
      </c>
      <c r="AE74" s="2">
        <f>AK11</f>
        <v>0.08256305001377015</v>
      </c>
      <c r="AF74"/>
      <c r="AG74"/>
      <c r="AH74"/>
      <c r="AI74"/>
      <c r="AJ74"/>
      <c r="AK74"/>
      <c r="AL74"/>
      <c r="AP74" t="s">
        <v>18</v>
      </c>
      <c r="AQ74" s="2">
        <f>AR11</f>
        <v>0.0927356194175131</v>
      </c>
      <c r="AR74" s="2">
        <f>AX11</f>
        <v>0.022377567828749653</v>
      </c>
    </row>
    <row r="75" spans="28:38" ht="12.75">
      <c r="AB75"/>
      <c r="AC75"/>
      <c r="AD75"/>
      <c r="AE75"/>
      <c r="AF75"/>
      <c r="AG75"/>
      <c r="AH75"/>
      <c r="AI75"/>
      <c r="AJ75"/>
      <c r="AK75"/>
      <c r="AL75"/>
    </row>
    <row r="76" spans="2:44" ht="12.75">
      <c r="B76" s="38" t="s">
        <v>39</v>
      </c>
      <c r="C76" s="39">
        <f aca="true" t="shared" si="0" ref="C76:D78">LN(C72)</f>
        <v>-1.3755990720031426</v>
      </c>
      <c r="D76" s="39">
        <f t="shared" si="0"/>
        <v>-2.181224235989778</v>
      </c>
      <c r="O76" s="38" t="s">
        <v>39</v>
      </c>
      <c r="P76" s="39">
        <f aca="true" t="shared" si="1" ref="P76:Q78">LN(P72)</f>
        <v>-1.8670814757666538</v>
      </c>
      <c r="Q76" s="39">
        <f t="shared" si="1"/>
        <v>-3.041372828820527</v>
      </c>
      <c r="AB76"/>
      <c r="AC76" s="38" t="s">
        <v>39</v>
      </c>
      <c r="AD76" s="39">
        <f aca="true" t="shared" si="2" ref="AD76:AE78">LN(AD72)</f>
        <v>-2.0068708488450007</v>
      </c>
      <c r="AE76" s="39">
        <f t="shared" si="2"/>
        <v>-3.146305132033365</v>
      </c>
      <c r="AF76"/>
      <c r="AG76"/>
      <c r="AH76"/>
      <c r="AI76"/>
      <c r="AJ76"/>
      <c r="AK76"/>
      <c r="AL76"/>
      <c r="AP76" s="38" t="s">
        <v>39</v>
      </c>
      <c r="AQ76" s="39">
        <f aca="true" t="shared" si="3" ref="AQ76:AR78">LN(AQ72)</f>
        <v>-2.517426117091839</v>
      </c>
      <c r="AR76" s="39">
        <f t="shared" si="3"/>
        <v>-4.121292984476484</v>
      </c>
    </row>
    <row r="77" spans="2:44" ht="12.75">
      <c r="B77" s="23" t="s">
        <v>17</v>
      </c>
      <c r="C77" s="39">
        <f t="shared" si="0"/>
        <v>-1.6312995468797522</v>
      </c>
      <c r="D77" s="39">
        <f t="shared" si="0"/>
        <v>-2.589716066768144</v>
      </c>
      <c r="O77" s="23" t="s">
        <v>17</v>
      </c>
      <c r="P77" s="39">
        <f t="shared" si="1"/>
        <v>-1.9651753997073773</v>
      </c>
      <c r="Q77" s="39">
        <f t="shared" si="1"/>
        <v>-3.2276592574525766</v>
      </c>
      <c r="AB77"/>
      <c r="AC77" s="23" t="s">
        <v>17</v>
      </c>
      <c r="AD77" s="39">
        <f t="shared" si="2"/>
        <v>-2.3781114598176907</v>
      </c>
      <c r="AE77" s="39">
        <f t="shared" si="2"/>
        <v>-3.8188597697168745</v>
      </c>
      <c r="AF77"/>
      <c r="AG77"/>
      <c r="AH77"/>
      <c r="AI77"/>
      <c r="AJ77"/>
      <c r="AK77"/>
      <c r="AL77"/>
      <c r="AP77" s="23" t="s">
        <v>17</v>
      </c>
      <c r="AQ77" s="39">
        <f t="shared" si="3"/>
        <v>-2.658579260849142</v>
      </c>
      <c r="AR77" s="39">
        <f t="shared" si="3"/>
        <v>-4.44461937373551</v>
      </c>
    </row>
    <row r="78" spans="2:44" ht="12.75">
      <c r="B78" s="40" t="s">
        <v>18</v>
      </c>
      <c r="C78" s="39">
        <f t="shared" si="0"/>
        <v>-1.1403411377116905</v>
      </c>
      <c r="D78" s="39">
        <f t="shared" si="0"/>
        <v>-1.79317494579657</v>
      </c>
      <c r="O78" s="40" t="s">
        <v>18</v>
      </c>
      <c r="P78" s="39">
        <f t="shared" si="1"/>
        <v>-1.7707172147184205</v>
      </c>
      <c r="Q78" s="39">
        <f t="shared" si="1"/>
        <v>-2.8568160630809665</v>
      </c>
      <c r="AB78"/>
      <c r="AC78" s="40" t="s">
        <v>18</v>
      </c>
      <c r="AD78" s="39">
        <f t="shared" si="2"/>
        <v>-1.6560727784574676</v>
      </c>
      <c r="AE78" s="39">
        <f t="shared" si="2"/>
        <v>-2.494193034935013</v>
      </c>
      <c r="AF78"/>
      <c r="AG78"/>
      <c r="AH78"/>
      <c r="AI78"/>
      <c r="AJ78"/>
      <c r="AK78"/>
      <c r="AL78"/>
      <c r="AP78" s="40" t="s">
        <v>18</v>
      </c>
      <c r="AQ78" s="39">
        <f t="shared" si="3"/>
        <v>-2.3780026362270257</v>
      </c>
      <c r="AR78" s="39">
        <f t="shared" si="3"/>
        <v>-3.799696258109947</v>
      </c>
    </row>
    <row r="79" spans="2:44" ht="12.75">
      <c r="B79" s="40" t="s">
        <v>40</v>
      </c>
      <c r="C79" s="40">
        <f>SQRT((C76-C77)^2+(D76-D78)^2)</f>
        <v>0.46472032930739793</v>
      </c>
      <c r="D79" s="40">
        <f>SQRT((C76-C78)^2+(D76-D77)^2)</f>
        <v>0.47139354202167666</v>
      </c>
      <c r="O79" s="40" t="s">
        <v>40</v>
      </c>
      <c r="P79" s="40">
        <f>SQRT((P76-P77)^2+(Q76-Q78)^2)</f>
        <v>0.2090062623328196</v>
      </c>
      <c r="Q79" s="40">
        <f>SQRT((P76-P78)^2+(Q76-Q77)^2)</f>
        <v>0.2097348428369875</v>
      </c>
      <c r="AB79"/>
      <c r="AC79" s="40" t="s">
        <v>40</v>
      </c>
      <c r="AD79" s="40">
        <f>SQRT((AD76-AD77)^2+(AE76-AE78)^2)</f>
        <v>0.7503797561351094</v>
      </c>
      <c r="AE79" s="40">
        <f>SQRT((AD76-AD78)^2+(AE76-AE77)^2)</f>
        <v>0.7585440177453207</v>
      </c>
      <c r="AF79"/>
      <c r="AG79"/>
      <c r="AH79"/>
      <c r="AI79"/>
      <c r="AJ79"/>
      <c r="AK79"/>
      <c r="AL79"/>
      <c r="AP79" s="40" t="s">
        <v>40</v>
      </c>
      <c r="AQ79" s="40">
        <f>SQRT((AQ76-AQ77)^2+(AR76-AR78)^2)</f>
        <v>0.35121028516010594</v>
      </c>
      <c r="AR79" s="40">
        <f>SQRT((AQ76-AQ78)^2+(AR76-AR77)^2)</f>
        <v>0.3521063206018042</v>
      </c>
    </row>
    <row r="80" spans="2:44" ht="12.75">
      <c r="B80" s="40" t="s">
        <v>41</v>
      </c>
      <c r="C80" s="41">
        <f>C76-D76-C79</f>
        <v>0.3409048346792377</v>
      </c>
      <c r="D80" s="41"/>
      <c r="O80" s="40" t="s">
        <v>41</v>
      </c>
      <c r="P80" s="41">
        <f>P76-Q76-P79</f>
        <v>0.9652850907210534</v>
      </c>
      <c r="Q80" s="41"/>
      <c r="AB80"/>
      <c r="AC80" s="40" t="s">
        <v>41</v>
      </c>
      <c r="AD80" s="41">
        <f>AD76-AE76-AD79</f>
        <v>0.38905452705325494</v>
      </c>
      <c r="AE80" s="41"/>
      <c r="AF80"/>
      <c r="AG80"/>
      <c r="AH80"/>
      <c r="AI80"/>
      <c r="AJ80"/>
      <c r="AK80"/>
      <c r="AL80"/>
      <c r="AP80" s="40" t="s">
        <v>41</v>
      </c>
      <c r="AQ80" s="41">
        <f>AQ76-AR76-AQ79</f>
        <v>1.252656582224539</v>
      </c>
      <c r="AR80" s="41"/>
    </row>
    <row r="81" spans="2:44" ht="12.75">
      <c r="B81" s="40" t="s">
        <v>42</v>
      </c>
      <c r="C81" s="41">
        <f>C76-D76+D79</f>
        <v>1.2770187060083122</v>
      </c>
      <c r="D81" s="41"/>
      <c r="O81" s="40" t="s">
        <v>42</v>
      </c>
      <c r="P81" s="41">
        <f>P76-Q76+Q79</f>
        <v>1.3840261958908604</v>
      </c>
      <c r="Q81" s="41"/>
      <c r="AB81"/>
      <c r="AC81" s="40" t="s">
        <v>42</v>
      </c>
      <c r="AD81" s="41">
        <f>AD76-AE76+AE79</f>
        <v>1.897978300933685</v>
      </c>
      <c r="AE81" s="41"/>
      <c r="AF81"/>
      <c r="AG81"/>
      <c r="AH81"/>
      <c r="AI81"/>
      <c r="AJ81"/>
      <c r="AK81"/>
      <c r="AL81"/>
      <c r="AP81" s="40" t="s">
        <v>42</v>
      </c>
      <c r="AQ81" s="41">
        <f>AQ76-AR76+AR79</f>
        <v>1.9559731879864493</v>
      </c>
      <c r="AR81" s="41"/>
    </row>
    <row r="82" spans="28:38" ht="12.75">
      <c r="AB82"/>
      <c r="AC82"/>
      <c r="AD82"/>
      <c r="AE82"/>
      <c r="AF82"/>
      <c r="AG82"/>
      <c r="AH82"/>
      <c r="AI82"/>
      <c r="AJ82"/>
      <c r="AK82"/>
      <c r="AL82"/>
    </row>
    <row r="83" spans="2:45" ht="12.75">
      <c r="B83" s="3" t="s">
        <v>43</v>
      </c>
      <c r="C83" s="42">
        <f>C72/D72</f>
        <v>2.238095238095238</v>
      </c>
      <c r="E83">
        <f>1/C83</f>
        <v>0.44680851063829785</v>
      </c>
      <c r="O83" s="3" t="s">
        <v>43</v>
      </c>
      <c r="P83" s="42">
        <f>P72/Q72</f>
        <v>3.235849056603774</v>
      </c>
      <c r="R83">
        <f>1/P83</f>
        <v>0.3090379008746355</v>
      </c>
      <c r="AB83"/>
      <c r="AC83" s="3" t="s">
        <v>43</v>
      </c>
      <c r="AD83" s="42">
        <f>AD72/AE72</f>
        <v>3.1249999999999996</v>
      </c>
      <c r="AE83"/>
      <c r="AF83">
        <f>1/AD83</f>
        <v>0.32000000000000006</v>
      </c>
      <c r="AG83"/>
      <c r="AH83"/>
      <c r="AI83"/>
      <c r="AJ83"/>
      <c r="AK83"/>
      <c r="AL83"/>
      <c r="AP83" s="3" t="s">
        <v>43</v>
      </c>
      <c r="AQ83" s="42">
        <f>AQ72/AR72</f>
        <v>4.972222222222222</v>
      </c>
      <c r="AS83">
        <f>1/AQ83</f>
        <v>0.20111731843575417</v>
      </c>
    </row>
    <row r="84" spans="2:45" ht="12.75">
      <c r="B84" t="s">
        <v>44</v>
      </c>
      <c r="C84" s="25">
        <f>EXP(C80)</f>
        <v>1.4062194111729711</v>
      </c>
      <c r="E84">
        <f>1/C84</f>
        <v>0.7111265795754228</v>
      </c>
      <c r="O84" t="s">
        <v>44</v>
      </c>
      <c r="P84" s="25">
        <f>EXP(P80)</f>
        <v>2.6255360657573736</v>
      </c>
      <c r="R84">
        <f>1/P84</f>
        <v>0.3808746004452754</v>
      </c>
      <c r="AB84"/>
      <c r="AC84" t="s">
        <v>44</v>
      </c>
      <c r="AD84" s="25">
        <f>EXP(AD80)</f>
        <v>1.475585008441828</v>
      </c>
      <c r="AE84"/>
      <c r="AF84">
        <f>1/AD84</f>
        <v>0.6776973161688387</v>
      </c>
      <c r="AG84"/>
      <c r="AH84"/>
      <c r="AI84"/>
      <c r="AJ84"/>
      <c r="AK84"/>
      <c r="AL84"/>
      <c r="AP84" t="s">
        <v>44</v>
      </c>
      <c r="AQ84" s="25">
        <f>EXP(AQ80)</f>
        <v>3.499627667857964</v>
      </c>
      <c r="AS84">
        <f>1/AQ84</f>
        <v>0.28574468340858544</v>
      </c>
    </row>
    <row r="85" spans="2:45" ht="12.75">
      <c r="B85" t="s">
        <v>45</v>
      </c>
      <c r="C85" s="43">
        <f>EXP(C81)</f>
        <v>3.5859330529647058</v>
      </c>
      <c r="E85">
        <f>1/C85</f>
        <v>0.27886744822891774</v>
      </c>
      <c r="O85" t="s">
        <v>45</v>
      </c>
      <c r="P85" s="43">
        <f>EXP(P81)</f>
        <v>3.9909376204561386</v>
      </c>
      <c r="R85">
        <f>1/P85</f>
        <v>0.25056768486541925</v>
      </c>
      <c r="AB85"/>
      <c r="AC85" t="s">
        <v>45</v>
      </c>
      <c r="AD85" s="43">
        <f>EXP(AD81)</f>
        <v>6.672391230042887</v>
      </c>
      <c r="AE85"/>
      <c r="AF85">
        <f>1/AD85</f>
        <v>0.14987130783000752</v>
      </c>
      <c r="AG85"/>
      <c r="AH85"/>
      <c r="AI85"/>
      <c r="AJ85"/>
      <c r="AK85"/>
      <c r="AL85"/>
      <c r="AP85" t="s">
        <v>45</v>
      </c>
      <c r="AQ85" s="43">
        <f>EXP(AQ81)</f>
        <v>7.070796891018417</v>
      </c>
      <c r="AS85">
        <f>1/AQ85</f>
        <v>0.1414267748618598</v>
      </c>
    </row>
    <row r="86" spans="3:43" ht="12.75">
      <c r="C86" t="str">
        <f>IF(OR(C84&gt;1,C85&lt;1),"s","ns")</f>
        <v>s</v>
      </c>
      <c r="P86" t="str">
        <f>IF(OR(P84&gt;1,P85&lt;1),"s","ns")</f>
        <v>s</v>
      </c>
      <c r="AB86"/>
      <c r="AC86"/>
      <c r="AD86" t="str">
        <f>IF(OR(AD84&gt;1,AD85&lt;1),"s","ns")</f>
        <v>s</v>
      </c>
      <c r="AE86"/>
      <c r="AF86"/>
      <c r="AG86"/>
      <c r="AH86"/>
      <c r="AI86"/>
      <c r="AJ86"/>
      <c r="AK86"/>
      <c r="AL86"/>
      <c r="AQ86" t="str">
        <f>IF(OR(AQ84&gt;1,AQ85&lt;1),"s","ns")</f>
        <v>s</v>
      </c>
    </row>
    <row r="87" spans="28:38" ht="12.75">
      <c r="AB87"/>
      <c r="AC87"/>
      <c r="AD87"/>
      <c r="AE87"/>
      <c r="AF87"/>
      <c r="AG87"/>
      <c r="AH87"/>
      <c r="AI87"/>
      <c r="AJ87"/>
      <c r="AK87"/>
      <c r="AL87"/>
    </row>
    <row r="88" spans="2:43" ht="12.75">
      <c r="B88" t="s">
        <v>46</v>
      </c>
      <c r="C88">
        <f>1/C83-1</f>
        <v>-0.5531914893617021</v>
      </c>
      <c r="O88" t="s">
        <v>46</v>
      </c>
      <c r="P88">
        <f>1/P83-1</f>
        <v>-0.6909620991253644</v>
      </c>
      <c r="AB88"/>
      <c r="AC88" t="s">
        <v>46</v>
      </c>
      <c r="AD88">
        <f>1/AD83-1</f>
        <v>-0.6799999999999999</v>
      </c>
      <c r="AE88"/>
      <c r="AF88"/>
      <c r="AG88"/>
      <c r="AH88"/>
      <c r="AI88"/>
      <c r="AJ88"/>
      <c r="AK88"/>
      <c r="AL88"/>
      <c r="AP88" t="s">
        <v>46</v>
      </c>
      <c r="AQ88">
        <f>1/AQ83-1</f>
        <v>-0.7988826815642458</v>
      </c>
    </row>
    <row r="89" spans="3:43" ht="12.75">
      <c r="C89">
        <f>1/C85-1</f>
        <v>-0.7211325517710823</v>
      </c>
      <c r="P89">
        <f>1/P85-1</f>
        <v>-0.7494323151345808</v>
      </c>
      <c r="AB89"/>
      <c r="AC89"/>
      <c r="AD89">
        <f>1/AD85-1</f>
        <v>-0.8501286921699924</v>
      </c>
      <c r="AE89"/>
      <c r="AF89"/>
      <c r="AG89"/>
      <c r="AH89"/>
      <c r="AI89"/>
      <c r="AJ89"/>
      <c r="AK89"/>
      <c r="AL89"/>
      <c r="AQ89">
        <f>1/AQ85-1</f>
        <v>-0.8585732251381402</v>
      </c>
    </row>
    <row r="90" spans="3:43" ht="12.75">
      <c r="C90">
        <f>1/C84-1</f>
        <v>-0.2888734204245772</v>
      </c>
      <c r="P90">
        <f>1/P84-1</f>
        <v>-0.6191253995547246</v>
      </c>
      <c r="AB90"/>
      <c r="AC90"/>
      <c r="AD90">
        <f>1/AD84-1</f>
        <v>-0.32230268383116134</v>
      </c>
      <c r="AE90"/>
      <c r="AF90"/>
      <c r="AG90"/>
      <c r="AH90"/>
      <c r="AI90"/>
      <c r="AJ90"/>
      <c r="AK90"/>
      <c r="AL90"/>
      <c r="AQ90">
        <f>1/AQ84-1</f>
        <v>-0.7142553165914145</v>
      </c>
    </row>
    <row r="91" spans="28:38" ht="12.75">
      <c r="AB91"/>
      <c r="AC91"/>
      <c r="AD91"/>
      <c r="AE91"/>
      <c r="AF91"/>
      <c r="AG91"/>
      <c r="AH91"/>
      <c r="AI91"/>
      <c r="AJ91"/>
      <c r="AK91"/>
      <c r="AL91"/>
    </row>
    <row r="92" spans="28:38" ht="12.75">
      <c r="AB92"/>
      <c r="AC92"/>
      <c r="AD92"/>
      <c r="AE92"/>
      <c r="AF92"/>
      <c r="AG92"/>
      <c r="AH92"/>
      <c r="AI92"/>
      <c r="AJ92"/>
      <c r="AK92"/>
      <c r="AL92"/>
    </row>
    <row r="93" spans="28:38" ht="12.75">
      <c r="AB93"/>
      <c r="AC93"/>
      <c r="AD93"/>
      <c r="AE93"/>
      <c r="AF93"/>
      <c r="AG93"/>
      <c r="AH93"/>
      <c r="AI93"/>
      <c r="AJ93"/>
      <c r="AK93"/>
      <c r="AL93"/>
    </row>
    <row r="94" spans="28:38" ht="12.75">
      <c r="AB94"/>
      <c r="AC94"/>
      <c r="AD94"/>
      <c r="AE94"/>
      <c r="AF94"/>
      <c r="AG94"/>
      <c r="AH94"/>
      <c r="AI94"/>
      <c r="AJ94"/>
      <c r="AK94"/>
      <c r="AL94"/>
    </row>
    <row r="95" spans="28:38" ht="12.75">
      <c r="AB95"/>
      <c r="AC95"/>
      <c r="AD95"/>
      <c r="AE95"/>
      <c r="AF95"/>
      <c r="AG95"/>
      <c r="AH95"/>
      <c r="AI95"/>
      <c r="AJ95"/>
      <c r="AK95"/>
      <c r="AL95"/>
    </row>
    <row r="96" spans="28:38" ht="12.75">
      <c r="AB96"/>
      <c r="AC96"/>
      <c r="AD96"/>
      <c r="AE96"/>
      <c r="AF96"/>
      <c r="AG96"/>
      <c r="AH96"/>
      <c r="AI96"/>
      <c r="AJ96"/>
      <c r="AK96"/>
      <c r="AL96"/>
    </row>
    <row r="97" spans="28:38" ht="12.75">
      <c r="AB97"/>
      <c r="AC97"/>
      <c r="AD97"/>
      <c r="AE97"/>
      <c r="AF97"/>
      <c r="AG97"/>
      <c r="AH97"/>
      <c r="AI97"/>
      <c r="AJ97"/>
      <c r="AK97"/>
      <c r="AL97"/>
    </row>
    <row r="98" spans="28:38" ht="12.75">
      <c r="AB98"/>
      <c r="AC98"/>
      <c r="AD98"/>
      <c r="AE98"/>
      <c r="AF98"/>
      <c r="AG98"/>
      <c r="AH98"/>
      <c r="AI98"/>
      <c r="AJ98"/>
      <c r="AK98"/>
      <c r="AL98"/>
    </row>
    <row r="99" spans="28:38" ht="12.75">
      <c r="AB99"/>
      <c r="AC99"/>
      <c r="AD99"/>
      <c r="AE99"/>
      <c r="AF99"/>
      <c r="AG99"/>
      <c r="AH99"/>
      <c r="AI99"/>
      <c r="AJ99"/>
      <c r="AK99"/>
      <c r="AL99"/>
    </row>
    <row r="100" spans="28:38" ht="12.75">
      <c r="AB100"/>
      <c r="AC100"/>
      <c r="AD100"/>
      <c r="AE100"/>
      <c r="AF100"/>
      <c r="AG100"/>
      <c r="AH100"/>
      <c r="AI100"/>
      <c r="AJ100"/>
      <c r="AK100"/>
      <c r="AL10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B4" sqref="B4"/>
    </sheetView>
  </sheetViews>
  <sheetFormatPr defaultColWidth="9.140625" defaultRowHeight="12.75"/>
  <cols>
    <col min="3" max="3" width="8.8515625" style="0" customWidth="1"/>
    <col min="9" max="10" width="9.140625" style="0" customWidth="1"/>
    <col min="22" max="22" width="10.421875" style="0" customWidth="1"/>
  </cols>
  <sheetData>
    <row r="1" spans="1:13" ht="12.75">
      <c r="A1" s="3" t="s">
        <v>51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186</v>
      </c>
      <c r="C4">
        <f>SUM(C5:C6)</f>
        <v>21</v>
      </c>
      <c r="D4">
        <f>SUM(D5:D6)</f>
        <v>47</v>
      </c>
      <c r="E4">
        <v>13</v>
      </c>
      <c r="G4" s="45" t="s">
        <v>57</v>
      </c>
      <c r="H4" s="44">
        <f>J4-I4</f>
        <v>131</v>
      </c>
      <c r="I4" s="44">
        <f>I6-I5</f>
        <v>34</v>
      </c>
      <c r="J4" s="44">
        <f>J6-J5</f>
        <v>165</v>
      </c>
      <c r="M4" t="s">
        <v>34</v>
      </c>
      <c r="N4">
        <f>SUM(N5:N6)</f>
        <v>2219</v>
      </c>
      <c r="O4">
        <f>SUM(O5:O6)</f>
        <v>106</v>
      </c>
      <c r="P4">
        <f>SUM(P5:P6)</f>
        <v>343</v>
      </c>
      <c r="Q4">
        <f>SUM(Q5:Q6)</f>
        <v>60</v>
      </c>
      <c r="S4" s="45" t="s">
        <v>57</v>
      </c>
      <c r="T4" s="44">
        <f>V4-U4</f>
        <v>1830</v>
      </c>
      <c r="U4" s="44">
        <f>U6-U5</f>
        <v>283</v>
      </c>
      <c r="V4" s="44">
        <f>V6-V5</f>
        <v>2113</v>
      </c>
    </row>
    <row r="5" spans="1:23" ht="12.75">
      <c r="A5" t="s">
        <v>35</v>
      </c>
      <c r="B5">
        <v>101</v>
      </c>
      <c r="C5">
        <v>10</v>
      </c>
      <c r="D5">
        <v>28</v>
      </c>
      <c r="E5">
        <v>6</v>
      </c>
      <c r="G5" s="45" t="s">
        <v>58</v>
      </c>
      <c r="H5" s="44">
        <f>J5-I5</f>
        <v>8</v>
      </c>
      <c r="I5" s="44">
        <f>E4</f>
        <v>13</v>
      </c>
      <c r="J5" s="44">
        <f>C4</f>
        <v>21</v>
      </c>
      <c r="K5" s="19">
        <f>I5/J5</f>
        <v>0.6190476190476191</v>
      </c>
      <c r="M5" t="s">
        <v>35</v>
      </c>
      <c r="N5">
        <v>835</v>
      </c>
      <c r="O5">
        <v>44</v>
      </c>
      <c r="P5">
        <v>122</v>
      </c>
      <c r="Q5">
        <v>23</v>
      </c>
      <c r="S5" s="45" t="s">
        <v>58</v>
      </c>
      <c r="T5" s="44">
        <f>V5-U5</f>
        <v>46</v>
      </c>
      <c r="U5" s="44">
        <f>Q4</f>
        <v>60</v>
      </c>
      <c r="V5" s="44">
        <f>O4</f>
        <v>106</v>
      </c>
      <c r="W5" s="19">
        <f>U5/V5</f>
        <v>0.5660377358490566</v>
      </c>
    </row>
    <row r="6" spans="1:23" ht="12.75">
      <c r="A6" t="s">
        <v>36</v>
      </c>
      <c r="B6">
        <v>85</v>
      </c>
      <c r="C6">
        <v>11</v>
      </c>
      <c r="D6">
        <v>19</v>
      </c>
      <c r="E6">
        <v>7</v>
      </c>
      <c r="G6" t="s">
        <v>56</v>
      </c>
      <c r="H6" s="44">
        <f>J6-I6</f>
        <v>139</v>
      </c>
      <c r="I6" s="44">
        <f>D4</f>
        <v>47</v>
      </c>
      <c r="J6" s="44">
        <f>B4</f>
        <v>186</v>
      </c>
      <c r="K6" s="19">
        <f>I6/J6</f>
        <v>0.25268817204301075</v>
      </c>
      <c r="M6" t="s">
        <v>36</v>
      </c>
      <c r="N6">
        <v>1384</v>
      </c>
      <c r="O6">
        <v>62</v>
      </c>
      <c r="P6">
        <v>221</v>
      </c>
      <c r="Q6">
        <v>37</v>
      </c>
      <c r="S6" t="s">
        <v>56</v>
      </c>
      <c r="T6" s="44">
        <f>V6-U6</f>
        <v>1876</v>
      </c>
      <c r="U6" s="44">
        <f>P4</f>
        <v>343</v>
      </c>
      <c r="V6" s="44">
        <f>N4</f>
        <v>2219</v>
      </c>
      <c r="W6" s="19">
        <f>U6/V6</f>
        <v>0.15457413249211358</v>
      </c>
    </row>
    <row r="7" spans="9:22" ht="12.75">
      <c r="I7" s="19">
        <f>I5/I6</f>
        <v>0.2765957446808511</v>
      </c>
      <c r="J7" s="19">
        <f>J5/J6</f>
        <v>0.11290322580645161</v>
      </c>
      <c r="U7" s="19">
        <f>U5/U6</f>
        <v>0.1749271137026239</v>
      </c>
      <c r="V7" s="19">
        <f>V5/V6</f>
        <v>0.047769265434880574</v>
      </c>
    </row>
    <row r="8" spans="2:21" ht="12.75">
      <c r="B8">
        <f>PPu!B4/B4</f>
        <v>0.5806451612903226</v>
      </c>
      <c r="C8">
        <f>PPu!C4/C4</f>
        <v>0.6666666666666666</v>
      </c>
      <c r="D8">
        <f>PPu!D4/D4</f>
        <v>0.5319148936170213</v>
      </c>
      <c r="E8">
        <f>PPu!E4/E4</f>
        <v>0.6153846153846154</v>
      </c>
      <c r="I8" s="46">
        <f>I5/(I6*J5/J6)</f>
        <v>2.4498480243161094</v>
      </c>
      <c r="N8">
        <f>PPu!N4/N4</f>
        <v>0.9269941415051826</v>
      </c>
      <c r="O8">
        <f>PPu!O4/O4</f>
        <v>0.8301886792452831</v>
      </c>
      <c r="P8">
        <f>PPu!P4/P4</f>
        <v>0.9037900874635568</v>
      </c>
      <c r="Q8">
        <f>PPu!Q4/Q4</f>
        <v>0.8166666666666667</v>
      </c>
      <c r="U8" s="46">
        <f>U5/(U6*V5/V6)</f>
        <v>3.6619175972275704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131</v>
      </c>
      <c r="C11">
        <f>C4-E4</f>
        <v>8</v>
      </c>
      <c r="D11">
        <f>D4-E4</f>
        <v>34</v>
      </c>
      <c r="E11">
        <f>E4</f>
        <v>13</v>
      </c>
      <c r="F11">
        <f>B4</f>
        <v>186</v>
      </c>
      <c r="H11">
        <f>$H$1/F11</f>
        <v>0.020652943248449324</v>
      </c>
      <c r="I11" s="44"/>
      <c r="J11" s="7" t="s">
        <v>68</v>
      </c>
      <c r="K11" s="40">
        <f>(H4*I5-H5*I4)/SQRT(J4*J5*H6*I6)</f>
        <v>0.3007680396617735</v>
      </c>
      <c r="M11" t="s">
        <v>34</v>
      </c>
      <c r="N11">
        <f>R11-O11-P11-Q11</f>
        <v>1830</v>
      </c>
      <c r="O11">
        <f>O4-Q4</f>
        <v>46</v>
      </c>
      <c r="P11">
        <f>P4-Q4</f>
        <v>283</v>
      </c>
      <c r="Q11">
        <f>Q4</f>
        <v>60</v>
      </c>
      <c r="R11">
        <f>N4</f>
        <v>2219</v>
      </c>
      <c r="T11">
        <f>$H$1/R11</f>
        <v>0.001731161534119682</v>
      </c>
      <c r="U11" s="44"/>
      <c r="V11" s="7" t="s">
        <v>68</v>
      </c>
      <c r="W11" s="40">
        <f>(T4*U5-T5*U4)/SQRT(V4*V5*T6*U6)</f>
        <v>0.25493439570481347</v>
      </c>
    </row>
    <row r="12" spans="1:23" ht="12.75">
      <c r="A12" t="s">
        <v>35</v>
      </c>
      <c r="B12">
        <f>F12-C12-D12-E12</f>
        <v>69</v>
      </c>
      <c r="C12">
        <f>C5-E5</f>
        <v>4</v>
      </c>
      <c r="D12">
        <f>D5-E5</f>
        <v>22</v>
      </c>
      <c r="E12">
        <f>E5</f>
        <v>6</v>
      </c>
      <c r="F12">
        <f>B5</f>
        <v>101</v>
      </c>
      <c r="H12">
        <f>$H$1/F12</f>
        <v>0.03803413311100569</v>
      </c>
      <c r="I12" s="19"/>
      <c r="J12" s="10" t="s">
        <v>75</v>
      </c>
      <c r="K12" s="40">
        <f>IF(SIGN(J28)=SIGN(J41),-SIGN(J28)*SQRT(J28*J41),-(J28+J41)/2)</f>
        <v>0.1384967826618428</v>
      </c>
      <c r="M12" t="s">
        <v>35</v>
      </c>
      <c r="N12">
        <f>R12-O12-P12-Q12</f>
        <v>692</v>
      </c>
      <c r="O12">
        <f>O5-Q5</f>
        <v>21</v>
      </c>
      <c r="P12">
        <f>P5-Q5</f>
        <v>99</v>
      </c>
      <c r="Q12">
        <f>Q5</f>
        <v>23</v>
      </c>
      <c r="R12">
        <f>N5</f>
        <v>835</v>
      </c>
      <c r="T12">
        <f>$H$1/R12</f>
        <v>0.004600535861331227</v>
      </c>
      <c r="U12" s="19"/>
      <c r="V12" s="10" t="s">
        <v>75</v>
      </c>
      <c r="W12" s="40">
        <f>IF(SIGN(V28)=SIGN(V41),-SIGN(V28)*SQRT(V28*V41),-(V28+V41)/2)</f>
        <v>0.19481079841463084</v>
      </c>
    </row>
    <row r="13" spans="1:23" ht="12.75">
      <c r="A13" t="s">
        <v>36</v>
      </c>
      <c r="B13">
        <f>F13-C13-D13-E13</f>
        <v>62</v>
      </c>
      <c r="C13">
        <f>C6-E6</f>
        <v>4</v>
      </c>
      <c r="D13">
        <f>D6-E6</f>
        <v>12</v>
      </c>
      <c r="E13">
        <f>E6</f>
        <v>7</v>
      </c>
      <c r="F13">
        <f>B6</f>
        <v>85</v>
      </c>
      <c r="H13">
        <f>$H$1/F13</f>
        <v>0.04519349934366558</v>
      </c>
      <c r="I13" s="46"/>
      <c r="J13" s="10" t="s">
        <v>76</v>
      </c>
      <c r="K13" s="40">
        <f>IF(SIGN(J27)=SIGN(J40),-SIGN(J27)*SQRT(J40*J27),-(J27+J40)/2)</f>
        <v>0.4645573531052222</v>
      </c>
      <c r="M13" t="s">
        <v>36</v>
      </c>
      <c r="N13">
        <f>R13-O13-P13-Q13</f>
        <v>1138</v>
      </c>
      <c r="O13">
        <f>O6-Q6</f>
        <v>25</v>
      </c>
      <c r="P13">
        <f>P6-Q6</f>
        <v>184</v>
      </c>
      <c r="Q13">
        <f>Q6</f>
        <v>37</v>
      </c>
      <c r="R13">
        <f>N6</f>
        <v>1384</v>
      </c>
      <c r="T13">
        <f>$H$1/R13</f>
        <v>0.0027756123151817733</v>
      </c>
      <c r="U13" s="46"/>
      <c r="V13" s="10" t="s">
        <v>76</v>
      </c>
      <c r="W13" s="40">
        <f>IF(SIGN(V27)=SIGN(V40),-SIGN(V27)*SQRT(V40*V27),-(V27+V40)/2)</f>
        <v>0.31917262610513436</v>
      </c>
    </row>
    <row r="15" spans="1:22" ht="12.75">
      <c r="A15" t="str">
        <f>A11</f>
        <v>ICE-GB</v>
      </c>
      <c r="B15" s="19">
        <f>B11/F11</f>
        <v>0.7043010752688172</v>
      </c>
      <c r="C15" s="19">
        <f>C11/F11</f>
        <v>0.043010752688172046</v>
      </c>
      <c r="D15" s="19">
        <f>D11/F11</f>
        <v>0.1827956989247312</v>
      </c>
      <c r="E15" s="19">
        <f>E11/F11</f>
        <v>0.06989247311827956</v>
      </c>
      <c r="F15" s="19">
        <f>C4*D4/F11^2</f>
        <v>0.028529309746791538</v>
      </c>
      <c r="G15" s="19"/>
      <c r="J15" s="19"/>
      <c r="M15" t="str">
        <f>M11</f>
        <v>ICE-GB</v>
      </c>
      <c r="N15" s="19">
        <f>N11/R11</f>
        <v>0.8246958089229383</v>
      </c>
      <c r="O15" s="19">
        <f>O11/R11</f>
        <v>0.020730058584948176</v>
      </c>
      <c r="P15" s="19">
        <f>P11/R11</f>
        <v>0.12753492564218116</v>
      </c>
      <c r="Q15" s="19">
        <f>Q11/R11</f>
        <v>0.027039206849932402</v>
      </c>
      <c r="R15" s="19">
        <f>O4*P4/R11^2</f>
        <v>0.007383892764382171</v>
      </c>
      <c r="V15" s="19"/>
    </row>
    <row r="16" spans="1:21" ht="12.75">
      <c r="A16" t="str">
        <f>A12</f>
        <v> spoken</v>
      </c>
      <c r="B16" s="19">
        <f>B12/F12</f>
        <v>0.6831683168316832</v>
      </c>
      <c r="C16" s="19">
        <f>C12/F12</f>
        <v>0.039603960396039604</v>
      </c>
      <c r="D16" s="19">
        <f>D12/F12</f>
        <v>0.21782178217821782</v>
      </c>
      <c r="E16" s="19">
        <f>E12/F12</f>
        <v>0.0594059405940594</v>
      </c>
      <c r="F16" s="19">
        <f>C5*D5/F12^2</f>
        <v>0.027448289383393786</v>
      </c>
      <c r="G16" s="19"/>
      <c r="I16" s="44"/>
      <c r="M16" t="str">
        <f>M12</f>
        <v> spoken</v>
      </c>
      <c r="N16" s="19">
        <f>N12/R12</f>
        <v>0.8287425149700599</v>
      </c>
      <c r="O16" s="19">
        <f>O12/R12</f>
        <v>0.025149700598802394</v>
      </c>
      <c r="P16" s="19">
        <f>P12/R12</f>
        <v>0.118562874251497</v>
      </c>
      <c r="Q16" s="19">
        <f>Q12/R12</f>
        <v>0.027544910179640718</v>
      </c>
      <c r="R16" s="19">
        <f>O5*P5/R12^2</f>
        <v>0.007699092832299473</v>
      </c>
      <c r="U16" s="44"/>
    </row>
    <row r="17" spans="1:23" ht="12.75">
      <c r="A17" t="str">
        <f>A13</f>
        <v> written</v>
      </c>
      <c r="B17" s="19">
        <f>B13/F13</f>
        <v>0.7294117647058823</v>
      </c>
      <c r="C17" s="19">
        <f>C13/F13</f>
        <v>0.047058823529411764</v>
      </c>
      <c r="D17" s="19">
        <f>D13/F13</f>
        <v>0.1411764705882353</v>
      </c>
      <c r="E17" s="19">
        <f>E13/F13</f>
        <v>0.08235294117647059</v>
      </c>
      <c r="F17" s="19">
        <f>C6*D6/F13^2</f>
        <v>0.02892733564013841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0.8222543352601156</v>
      </c>
      <c r="O17" s="19">
        <f>O13/R13</f>
        <v>0.018063583815028903</v>
      </c>
      <c r="P17" s="19">
        <f>P13/R13</f>
        <v>0.1329479768786127</v>
      </c>
      <c r="Q17" s="19">
        <f>Q13/R13</f>
        <v>0.026734104046242775</v>
      </c>
      <c r="R17" s="19">
        <f>O6*P6/R13^2</f>
        <v>0.00715338801831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0.9424460431654677</v>
      </c>
      <c r="K18" s="19">
        <f>I4/I6</f>
        <v>0.723404255319149</v>
      </c>
      <c r="N18" s="19"/>
      <c r="O18" s="19"/>
      <c r="P18" s="19"/>
      <c r="Q18" s="19"/>
      <c r="R18" s="19"/>
      <c r="U18" t="s">
        <v>74</v>
      </c>
      <c r="V18" s="19">
        <f>T4/T6</f>
        <v>0.9754797441364605</v>
      </c>
      <c r="W18" s="19">
        <f>U4/U6</f>
        <v>0.8250728862973761</v>
      </c>
    </row>
    <row r="19" spans="1:23" ht="12.75">
      <c r="A19" t="s">
        <v>60</v>
      </c>
      <c r="B19" s="19">
        <f>(B15+H11/2)/(1+H11)</f>
        <v>0.7001670368172209</v>
      </c>
      <c r="C19" s="19">
        <f>(C15+H11/2)/(1+H11)</f>
        <v>0.052257943961479626</v>
      </c>
      <c r="D19" s="19">
        <f>(D15+H11/2)/(1+H11)</f>
        <v>0.18921433757326236</v>
      </c>
      <c r="E19" s="19">
        <f>(E15+H11/2)/(1+H11)</f>
        <v>0.07859571196374553</v>
      </c>
      <c r="F19" s="19"/>
      <c r="G19" s="19"/>
      <c r="I19" t="s">
        <v>62</v>
      </c>
      <c r="J19" s="19">
        <f>$H$1/H6</f>
        <v>0.027636312548284706</v>
      </c>
      <c r="K19" s="19">
        <f>$H$1/I6</f>
        <v>0.08173292434492711</v>
      </c>
      <c r="M19" t="s">
        <v>60</v>
      </c>
      <c r="N19" s="19">
        <f>(N15+T11/2)/(1+T11)</f>
        <v>0.8241346794340279</v>
      </c>
      <c r="O19" s="19">
        <f>(O15+T11/2)/(1+T11)</f>
        <v>0.021558318420418283</v>
      </c>
      <c r="P19" s="19">
        <f>(P15+T11/2)/(1+T11)</f>
        <v>0.12817860853265228</v>
      </c>
      <c r="Q19" s="19">
        <f>(Q15+T11/2)/(1+T11)</f>
        <v>0.02785656340595109</v>
      </c>
      <c r="R19" s="19"/>
      <c r="U19" t="s">
        <v>62</v>
      </c>
      <c r="V19" s="19">
        <f>$H$1/T6</f>
        <v>0.0020476798743132058</v>
      </c>
      <c r="W19" s="19">
        <f>$H$1/U6</f>
        <v>0.011199555230937535</v>
      </c>
    </row>
    <row r="20" spans="2:23" ht="12.75">
      <c r="B20" s="19">
        <f>(B16+H12/2)/(1+H12)</f>
        <v>0.6764569304505669</v>
      </c>
      <c r="C20" s="19">
        <f>(C16+H12/2)/(1+H12)</f>
        <v>0.05647312075938606</v>
      </c>
      <c r="D20" s="19">
        <f>(D16+H12/2)/(1+H12)</f>
        <v>0.2281609449815592</v>
      </c>
      <c r="E20" s="19">
        <f>(E16+H12/2)/(1+H12)</f>
        <v>0.07554954567296085</v>
      </c>
      <c r="F20" s="19"/>
      <c r="G20" s="19"/>
      <c r="I20" t="s">
        <v>60</v>
      </c>
      <c r="J20" s="19">
        <f>(J18+J19/2)/(1+J19)</f>
        <v>0.9305473033239848</v>
      </c>
      <c r="K20" s="19">
        <f>(K18+K19/2)/(1+K19)</f>
        <v>0.7065244112398977</v>
      </c>
      <c r="N20" s="19">
        <f>(N16+T12/2)/(1+T12)</f>
        <v>0.8272370491901047</v>
      </c>
      <c r="O20" s="19">
        <f>(O16+T12/2)/(1+T12)</f>
        <v>0.027324262280960028</v>
      </c>
      <c r="P20" s="19">
        <f>(P16+T12/2)/(1+T12)</f>
        <v>0.1203096533076564</v>
      </c>
      <c r="Q20" s="19">
        <f>(Q16+T12/2)/(1+T12)</f>
        <v>0.029708503076516346</v>
      </c>
      <c r="R20" s="19"/>
      <c r="U20" t="s">
        <v>60</v>
      </c>
      <c r="V20" s="19">
        <f>(V18+V19/2)/(1+V19)</f>
        <v>0.9745081034428421</v>
      </c>
      <c r="W20" s="19">
        <f>(W18+W19/2)/(1+W19)</f>
        <v>0.821472536865521</v>
      </c>
    </row>
    <row r="21" spans="2:23" ht="12.75">
      <c r="B21" s="19">
        <f>(B17+H13/2)/(1+H13)</f>
        <v>0.7194921465259233</v>
      </c>
      <c r="C21" s="19">
        <f>(C17+H13/2)/(1+H13)</f>
        <v>0.06664371070522837</v>
      </c>
      <c r="D21" s="19">
        <f>(D17+H13/2)/(1+H13)</f>
        <v>0.15669177081842767</v>
      </c>
      <c r="E21" s="19">
        <f>(E17+H13/2)/(1+H13)</f>
        <v>0.10041173324767812</v>
      </c>
      <c r="F21" s="19"/>
      <c r="G21" s="19"/>
      <c r="I21" t="s">
        <v>61</v>
      </c>
      <c r="J21" s="19">
        <f>$G$1*SQRT((J18*(1-J18)+J19/4)/H6)/(1+J19)</f>
        <v>0.040003766664467276</v>
      </c>
      <c r="K21" s="19">
        <f>$G$1*SQRT((K18*(1-K18)+K19/4)/I6)/(1+K19)</f>
        <v>0.12410982824294155</v>
      </c>
      <c r="N21" s="19">
        <f>(N17+T13/2)/(1+T13)</f>
        <v>0.8213623579417765</v>
      </c>
      <c r="O21" s="19">
        <f>(O17+T13/2)/(1+T13)</f>
        <v>0.019397549894248956</v>
      </c>
      <c r="P21" s="19">
        <f>(P17+T13/2)/(1+T13)</f>
        <v>0.13396395104389572</v>
      </c>
      <c r="Q21" s="19">
        <f>(Q17+T13/2)/(1+T13)</f>
        <v>0.028044070735731733</v>
      </c>
      <c r="R21" s="19"/>
      <c r="U21" t="s">
        <v>61</v>
      </c>
      <c r="V21" s="19">
        <f>$G$1*SQRT((V18*(1-V18)+V19/4)/T6)/(1+V19)</f>
        <v>0.007058504069211421</v>
      </c>
      <c r="W21" s="19">
        <f>$G$1*SQRT((W18*(1-W18)+W19/4)/U6)/(1+W19)</f>
        <v>0.0401430583473289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0.8905435366595176</v>
      </c>
      <c r="K22" s="19">
        <f>K20-K21</f>
        <v>0.5824145829969561</v>
      </c>
      <c r="N22" s="19"/>
      <c r="O22" s="19"/>
      <c r="P22" s="19"/>
      <c r="Q22" s="19"/>
      <c r="R22" s="19"/>
      <c r="U22" t="s">
        <v>17</v>
      </c>
      <c r="V22" s="19">
        <f>V20-V21</f>
        <v>0.9674495993736307</v>
      </c>
      <c r="W22" s="19">
        <f>W20-W21</f>
        <v>0.7813294785181921</v>
      </c>
    </row>
    <row r="23" spans="1:23" ht="12.75">
      <c r="A23" t="s">
        <v>61</v>
      </c>
      <c r="B23" s="19">
        <f>$G$1*SQRT((B15*(1-B15)+H11/4)/F11)/(1+H11)</f>
        <v>0.06504813104142652</v>
      </c>
      <c r="C23" s="19">
        <f>$G$1*SQRT((C15*(1-C15)+H11/4)/$F11)/(1+H11)</f>
        <v>0.03030513398147068</v>
      </c>
      <c r="D23" s="19">
        <f>$G$1*SQRT((D15*(1-D15)+H11/4)/$F11)/(1+H11)</f>
        <v>0.055352838361419875</v>
      </c>
      <c r="E23" s="19">
        <f>$G$1*SQRT((E15*(1-E15)+H11/4)/$F11)/(1+H11)</f>
        <v>0.037298463904617205</v>
      </c>
      <c r="F23" s="19"/>
      <c r="G23" s="19"/>
      <c r="I23" t="s">
        <v>18</v>
      </c>
      <c r="J23" s="19">
        <f>J20+J21</f>
        <v>0.9705510699884521</v>
      </c>
      <c r="K23" s="19">
        <f>K20+K21</f>
        <v>0.8306342394828393</v>
      </c>
      <c r="M23" t="s">
        <v>61</v>
      </c>
      <c r="N23" s="19">
        <f>$G$1*SQRT((N15*(1-N15)+T11/4)/R11)/(1+T11)</f>
        <v>0.015816476259060623</v>
      </c>
      <c r="O23" s="19">
        <f>$G$1*SQRT((O15*(1-O15)+T11/4)/$R11)/(1+T11)</f>
        <v>0.005980670513850023</v>
      </c>
      <c r="P23" s="19">
        <f>$G$1*SQRT((P15*(1-P15)+T11/4)/$R11)/(1+T11)</f>
        <v>0.013881908379746725</v>
      </c>
      <c r="Q23" s="19">
        <f>$G$1*SQRT((Q15*(1-Q15)+T11/4)/$R11)/(1+T11)</f>
        <v>0.006792121537563946</v>
      </c>
      <c r="R23" s="19"/>
      <c r="U23" t="s">
        <v>18</v>
      </c>
      <c r="V23" s="19">
        <f>V20+V21</f>
        <v>0.9815666075120535</v>
      </c>
      <c r="W23" s="19">
        <f>W20+W21</f>
        <v>0.8616155952128499</v>
      </c>
    </row>
    <row r="24" spans="2:23" ht="12.75">
      <c r="B24" s="19">
        <f>$G$1*SQRT((B16*(1-B16)+H12/4)/F12)/(1+H12)</f>
        <v>0.08930769746353731</v>
      </c>
      <c r="C24" s="19">
        <f>$G$1*SQRT((C16*(1-C16)+H12/4)/$F12)/(1+H12)</f>
        <v>0.04096595433715321</v>
      </c>
      <c r="D24" s="19">
        <f>$G$1*SQRT((D16*(1-D16)+H12/4)/$F12)/(1+H12)</f>
        <v>0.07968404620735636</v>
      </c>
      <c r="E24" s="19">
        <f>$G$1*SQRT((E16*(1-E16)+H12/4)/$F12)/(1+H12)</f>
        <v>0.04804138794729208</v>
      </c>
      <c r="F24" s="19"/>
      <c r="G24" s="19"/>
      <c r="I24" t="s">
        <v>70</v>
      </c>
      <c r="J24" s="19">
        <f>-SQRT((J22-J18)^2+(K23-K18)^2)</f>
        <v>-0.11913076716510085</v>
      </c>
      <c r="K24" s="19">
        <f>SQRT((K22-K18)^2+(J23-J18)^2)</f>
        <v>0.14376362625587874</v>
      </c>
      <c r="N24" s="19">
        <f>$G$1*SQRT((N16*(1-N16)+T12/4)/R12)/(1+T12)</f>
        <v>0.025538652750685596</v>
      </c>
      <c r="O24" s="19">
        <f>$G$1*SQRT((O16*(1-O16)+T12/4)/$R12)/(1+T12)</f>
        <v>0.010816857976322468</v>
      </c>
      <c r="P24" s="19">
        <f>$G$1*SQRT((P16*(1-P16)+T12/4)/$R12)/(1+T12)</f>
        <v>0.021946111691624467</v>
      </c>
      <c r="Q24" s="19">
        <f>$G$1*SQRT((Q16*(1-Q16)+T12/4)/$R12)/(1+T12)</f>
        <v>0.011284840344669993</v>
      </c>
      <c r="R24" s="19"/>
      <c r="U24" t="s">
        <v>70</v>
      </c>
      <c r="V24" s="19">
        <f>-SQRT((V22-V18)^2+(W23-W18)^2)</f>
        <v>-0.03741460677052553</v>
      </c>
      <c r="W24" s="19">
        <f>SQRT((W22-W18)^2+(V23-V18)^2)</f>
        <v>0.044164868729444966</v>
      </c>
    </row>
    <row r="25" spans="2:23" ht="12.75">
      <c r="B25" s="19">
        <f>$G$1*SQRT((B17*(1-B17)+H13/4)/F13)/(1+H13)</f>
        <v>0.0929115818252901</v>
      </c>
      <c r="C25" s="19">
        <f>$G$1*SQRT((C17*(1-C17)+H13/4)/$F13)/(1+H13)</f>
        <v>0.04819342581250806</v>
      </c>
      <c r="D25" s="19">
        <f>$G$1*SQRT((D17*(1-D17)+H13/4)/$F13)/(1+H13)</f>
        <v>0.07404937593975101</v>
      </c>
      <c r="E25" s="19">
        <f>$G$1*SQRT((E17*(1-E17)+H13/4)/$F13)/(1+H13)</f>
        <v>0.059947968280334364</v>
      </c>
      <c r="F25" s="19"/>
      <c r="G25" s="19"/>
      <c r="J25" s="19"/>
      <c r="K25" s="19"/>
      <c r="N25" s="19">
        <f>$G$1*SQRT((N17*(1-N17)+T13/4)/R13)/(1+T13)</f>
        <v>0.02013292004805148</v>
      </c>
      <c r="O25" s="19">
        <f>$G$1*SQRT((O17*(1-O17)+T13/4)/$R13)/(1+T13)</f>
        <v>0.0071326739643790766</v>
      </c>
      <c r="P25" s="19">
        <f>$G$1*SQRT((P17*(1-P17)+T13/4)/$R13)/(1+T13)</f>
        <v>0.017891317296710493</v>
      </c>
      <c r="Q25" s="19">
        <f>$G$1*SQRT((Q17*(1-Q17)+T13/4)/$R13)/(1+T13)</f>
        <v>0.008586958580909363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-0.21904178784631867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-0.15040685783908447</v>
      </c>
      <c r="W26" s="19"/>
    </row>
    <row r="27" spans="1:23" ht="12.75">
      <c r="A27" t="s">
        <v>17</v>
      </c>
      <c r="B27" s="19">
        <f aca="true" t="shared" si="0" ref="B27:E29">B19-B23</f>
        <v>0.6351189057757944</v>
      </c>
      <c r="C27" s="19">
        <f t="shared" si="0"/>
        <v>0.021952809980008946</v>
      </c>
      <c r="D27" s="19">
        <f t="shared" si="0"/>
        <v>0.13386149921184248</v>
      </c>
      <c r="E27" s="19">
        <f t="shared" si="0"/>
        <v>0.04129724805912832</v>
      </c>
      <c r="F27" s="19"/>
      <c r="G27" s="19"/>
      <c r="I27" t="s">
        <v>72</v>
      </c>
      <c r="J27" s="19">
        <f>J26-K24</f>
        <v>-0.3628054141021974</v>
      </c>
      <c r="K27" s="19"/>
      <c r="M27" t="s">
        <v>17</v>
      </c>
      <c r="N27" s="19">
        <f aca="true" t="shared" si="1" ref="N27:Q29">N19-N23</f>
        <v>0.8083182031749673</v>
      </c>
      <c r="O27" s="19">
        <f t="shared" si="1"/>
        <v>0.015577647906568261</v>
      </c>
      <c r="P27" s="19">
        <f t="shared" si="1"/>
        <v>0.11429670015290555</v>
      </c>
      <c r="Q27" s="19">
        <f t="shared" si="1"/>
        <v>0.021064441868387143</v>
      </c>
      <c r="R27" s="19"/>
      <c r="U27" t="s">
        <v>72</v>
      </c>
      <c r="V27" s="19">
        <f>V26-W24</f>
        <v>-0.19457172656852945</v>
      </c>
      <c r="W27" s="19"/>
    </row>
    <row r="28" spans="2:22" ht="12.75">
      <c r="B28" s="19">
        <f t="shared" si="0"/>
        <v>0.5871492329870296</v>
      </c>
      <c r="C28" s="19">
        <f t="shared" si="0"/>
        <v>0.015507166422232856</v>
      </c>
      <c r="D28" s="19">
        <f t="shared" si="0"/>
        <v>0.14847689877420284</v>
      </c>
      <c r="E28" s="19">
        <f t="shared" si="0"/>
        <v>0.027508157725668766</v>
      </c>
      <c r="F28" s="19"/>
      <c r="G28" s="19"/>
      <c r="I28" t="s">
        <v>73</v>
      </c>
      <c r="J28" s="19">
        <f>J26-J24</f>
        <v>-0.09991102068121782</v>
      </c>
      <c r="N28" s="19">
        <f t="shared" si="1"/>
        <v>0.8016983964394191</v>
      </c>
      <c r="O28" s="19">
        <f t="shared" si="1"/>
        <v>0.01650740430463756</v>
      </c>
      <c r="P28" s="19">
        <f t="shared" si="1"/>
        <v>0.09836354161603193</v>
      </c>
      <c r="Q28" s="19">
        <f t="shared" si="1"/>
        <v>0.018423662731846355</v>
      </c>
      <c r="R28" s="19"/>
      <c r="U28" t="s">
        <v>73</v>
      </c>
      <c r="V28" s="19">
        <f>V26-V24</f>
        <v>-0.11299225106855895</v>
      </c>
    </row>
    <row r="29" spans="2:18" ht="12.75">
      <c r="B29" s="19">
        <f t="shared" si="0"/>
        <v>0.6265805647006332</v>
      </c>
      <c r="C29" s="19">
        <f t="shared" si="0"/>
        <v>0.01845028489272031</v>
      </c>
      <c r="D29" s="19">
        <f t="shared" si="0"/>
        <v>0.08264239487867665</v>
      </c>
      <c r="E29" s="19">
        <f t="shared" si="0"/>
        <v>0.04046376496734375</v>
      </c>
      <c r="F29" s="19"/>
      <c r="G29" s="19"/>
      <c r="N29" s="19">
        <f t="shared" si="1"/>
        <v>0.801229437893725</v>
      </c>
      <c r="O29" s="19">
        <f t="shared" si="1"/>
        <v>0.01226487592986988</v>
      </c>
      <c r="P29" s="19">
        <f t="shared" si="1"/>
        <v>0.11607263374718522</v>
      </c>
      <c r="Q29" s="19">
        <f t="shared" si="1"/>
        <v>0.01945711215482237</v>
      </c>
      <c r="R29" s="19"/>
    </row>
    <row r="30" spans="2:23" ht="12.75">
      <c r="B30" s="19"/>
      <c r="C30" s="19"/>
      <c r="D30" s="19"/>
      <c r="E30" s="19"/>
      <c r="F30" s="19"/>
      <c r="G30" s="19" t="s">
        <v>82</v>
      </c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0.7652151678586474</v>
      </c>
      <c r="C31" s="19">
        <f t="shared" si="2"/>
        <v>0.08256307794295031</v>
      </c>
      <c r="D31" s="19">
        <f t="shared" si="2"/>
        <v>0.24456717593468225</v>
      </c>
      <c r="E31" s="19">
        <f t="shared" si="2"/>
        <v>0.11589417586836273</v>
      </c>
      <c r="F31" s="19"/>
      <c r="G31" s="19">
        <f>D15-C15</f>
        <v>0.13978494623655913</v>
      </c>
      <c r="H31" t="str">
        <f>IF(G31&gt;G39,"s+",IF(G31&lt;G35,"s-","ns"))</f>
        <v>s+</v>
      </c>
      <c r="I31" t="s">
        <v>69</v>
      </c>
      <c r="J31" s="19">
        <f>H4/J4</f>
        <v>0.793939393939394</v>
      </c>
      <c r="K31" s="19">
        <f>H5/J5</f>
        <v>0.38095238095238093</v>
      </c>
      <c r="M31" t="s">
        <v>18</v>
      </c>
      <c r="N31" s="19">
        <f aca="true" t="shared" si="3" ref="N31:Q33">N19+N23</f>
        <v>0.8399511556930884</v>
      </c>
      <c r="O31" s="19">
        <f t="shared" si="3"/>
        <v>0.027538988934268305</v>
      </c>
      <c r="P31" s="19">
        <f t="shared" si="3"/>
        <v>0.14206051691239902</v>
      </c>
      <c r="Q31" s="19">
        <f t="shared" si="3"/>
        <v>0.034648684943515036</v>
      </c>
      <c r="R31" s="19"/>
      <c r="S31" s="19">
        <f>P15-O15</f>
        <v>0.106804867057233</v>
      </c>
      <c r="T31" t="str">
        <f>IF(S31&gt;S39,"s+",IF(S31&lt;S35,"s-","ns"))</f>
        <v>s+</v>
      </c>
      <c r="U31" t="s">
        <v>69</v>
      </c>
      <c r="V31" s="19">
        <f>T4/V4</f>
        <v>0.8660672030288689</v>
      </c>
      <c r="W31" s="19">
        <f>T5/V5</f>
        <v>0.4339622641509434</v>
      </c>
    </row>
    <row r="32" spans="2:23" ht="12.75">
      <c r="B32" s="19">
        <f t="shared" si="2"/>
        <v>0.7657646279141042</v>
      </c>
      <c r="C32" s="19">
        <f t="shared" si="2"/>
        <v>0.09743907509653926</v>
      </c>
      <c r="D32" s="19">
        <f t="shared" si="2"/>
        <v>0.30784499118891556</v>
      </c>
      <c r="E32" s="19">
        <f t="shared" si="2"/>
        <v>0.12359093362025293</v>
      </c>
      <c r="F32" s="19"/>
      <c r="G32" s="19">
        <f>D16-C16</f>
        <v>0.1782178217821782</v>
      </c>
      <c r="H32" t="str">
        <f>IF(G32&gt;G40,"s+",IF(G32&lt;G36,"s-","ns"))</f>
        <v>s+</v>
      </c>
      <c r="I32" t="s">
        <v>62</v>
      </c>
      <c r="J32" s="19">
        <f>$H$1/J4</f>
        <v>0.02328149966188833</v>
      </c>
      <c r="K32" s="19">
        <f>$H$1/J5</f>
        <v>0.18292606877197973</v>
      </c>
      <c r="N32" s="19">
        <f t="shared" si="3"/>
        <v>0.8527757019407902</v>
      </c>
      <c r="O32" s="19">
        <f t="shared" si="3"/>
        <v>0.038141120257282494</v>
      </c>
      <c r="P32" s="19">
        <f t="shared" si="3"/>
        <v>0.14225576499928086</v>
      </c>
      <c r="Q32" s="19">
        <f t="shared" si="3"/>
        <v>0.04099334342118634</v>
      </c>
      <c r="R32" s="19"/>
      <c r="S32" s="19">
        <f>P16-O16</f>
        <v>0.09341317365269461</v>
      </c>
      <c r="T32" t="str">
        <f>IF(S32&gt;S40,"s+",IF(S32&lt;S36,"s-","ns"))</f>
        <v>s+</v>
      </c>
      <c r="U32" t="s">
        <v>62</v>
      </c>
      <c r="V32" s="19">
        <f>$H$1/V4</f>
        <v>0.001818006362617877</v>
      </c>
      <c r="W32" s="19">
        <f>$H$1/V5</f>
        <v>0.03624007022841108</v>
      </c>
    </row>
    <row r="33" spans="2:23" ht="12.75">
      <c r="B33" s="19">
        <f t="shared" si="2"/>
        <v>0.8124037283512134</v>
      </c>
      <c r="C33" s="19">
        <f t="shared" si="2"/>
        <v>0.11483713651773643</v>
      </c>
      <c r="D33" s="19">
        <f t="shared" si="2"/>
        <v>0.2307411467581787</v>
      </c>
      <c r="E33" s="19">
        <f t="shared" si="2"/>
        <v>0.1603597015280125</v>
      </c>
      <c r="F33" s="19"/>
      <c r="G33" s="19">
        <f>D17-C17</f>
        <v>0.09411764705882353</v>
      </c>
      <c r="H33" t="str">
        <f>IF(G33&gt;G41,"s+",IF(G33&lt;G37,"s-","ns"))</f>
        <v>s+</v>
      </c>
      <c r="I33" t="s">
        <v>60</v>
      </c>
      <c r="J33" s="19">
        <f>(J31+J32/2)/(1+J32)</f>
        <v>0.787251742591376</v>
      </c>
      <c r="K33" s="19">
        <f>(K31+K32/2)/(1+K32)</f>
        <v>0.39936174187859014</v>
      </c>
      <c r="N33" s="19">
        <f t="shared" si="3"/>
        <v>0.8414952779898279</v>
      </c>
      <c r="O33" s="19">
        <f t="shared" si="3"/>
        <v>0.026530223858628032</v>
      </c>
      <c r="P33" s="19">
        <f t="shared" si="3"/>
        <v>0.1518552683406062</v>
      </c>
      <c r="Q33" s="19">
        <f t="shared" si="3"/>
        <v>0.0366310293166411</v>
      </c>
      <c r="R33" s="19"/>
      <c r="S33" s="19">
        <f>P17-O17</f>
        <v>0.1148843930635838</v>
      </c>
      <c r="T33" t="str">
        <f>IF(S33&gt;S41,"s+",IF(S33&lt;S37,"s-","ns"))</f>
        <v>s+</v>
      </c>
      <c r="U33" t="s">
        <v>60</v>
      </c>
      <c r="V33" s="19">
        <f>(V31+V32/2)/(1+V32)</f>
        <v>0.8654028982349588</v>
      </c>
      <c r="W33" s="19">
        <f>(W31+W32/2)/(1+W32)</f>
        <v>0.4362717793430818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0.06137516912576644</v>
      </c>
      <c r="K34" s="19">
        <f>$G$1*SQRT((K31*(1-K31)+K32/4)/J5)/(1+K32)</f>
        <v>0.19185143191620277</v>
      </c>
      <c r="N34" s="19"/>
      <c r="O34" s="19"/>
      <c r="P34" s="19"/>
      <c r="Q34" s="19"/>
      <c r="R34" s="19"/>
      <c r="S34" s="19"/>
      <c r="U34" t="s">
        <v>61</v>
      </c>
      <c r="V34" s="19">
        <f>$G$1*SQRT((V31*(1-V31)+V32/4)/V4)/(1+V32)</f>
        <v>0.014523701536911102</v>
      </c>
      <c r="W34" s="19">
        <f>$G$1*SQRT((W31*(1-W31)+W32/4)/V5)/(1+W32)</f>
        <v>0.0927145261659541</v>
      </c>
    </row>
    <row r="35" spans="1:23" ht="12.75">
      <c r="A35" t="s">
        <v>30</v>
      </c>
      <c r="B35" s="19">
        <f aca="true" t="shared" si="4" ref="B35:E37">B15-B27</f>
        <v>0.0691821694930228</v>
      </c>
      <c r="C35" s="19">
        <f t="shared" si="4"/>
        <v>0.0210579427081631</v>
      </c>
      <c r="D35" s="19">
        <f t="shared" si="4"/>
        <v>0.048934199712888704</v>
      </c>
      <c r="E35" s="19">
        <f t="shared" si="4"/>
        <v>0.02859522505915124</v>
      </c>
      <c r="F35" s="19"/>
      <c r="G35" s="19">
        <f>-SQRT(C35^2+D39^2)</f>
        <v>-0.06526218141535871</v>
      </c>
      <c r="I35" t="s">
        <v>17</v>
      </c>
      <c r="J35" s="19">
        <f>J33-J34</f>
        <v>0.7258765734656095</v>
      </c>
      <c r="K35" s="19">
        <f>K33-K34</f>
        <v>0.20751030996238737</v>
      </c>
      <c r="M35" t="s">
        <v>30</v>
      </c>
      <c r="N35" s="19">
        <f aca="true" t="shared" si="5" ref="N35:Q37">N15-N27</f>
        <v>0.01637760574797098</v>
      </c>
      <c r="O35" s="19">
        <f t="shared" si="5"/>
        <v>0.005152410678379914</v>
      </c>
      <c r="P35" s="19">
        <f t="shared" si="5"/>
        <v>0.013238225489275612</v>
      </c>
      <c r="Q35" s="19">
        <f t="shared" si="5"/>
        <v>0.005974764981545259</v>
      </c>
      <c r="R35" s="19"/>
      <c r="S35" s="19">
        <f>-SQRT(O35^2+P39^2)</f>
        <v>-0.015412337186426739</v>
      </c>
      <c r="U35" t="s">
        <v>17</v>
      </c>
      <c r="V35" s="19">
        <f>V33-V34</f>
        <v>0.8508791966980477</v>
      </c>
      <c r="W35" s="19">
        <f>W33-W34</f>
        <v>0.3435572531771277</v>
      </c>
    </row>
    <row r="36" spans="2:23" ht="12.75">
      <c r="B36" s="19">
        <f t="shared" si="4"/>
        <v>0.09601908384465363</v>
      </c>
      <c r="C36" s="19">
        <f t="shared" si="4"/>
        <v>0.02409679397380675</v>
      </c>
      <c r="D36" s="19">
        <f t="shared" si="4"/>
        <v>0.06934488340401498</v>
      </c>
      <c r="E36" s="19">
        <f t="shared" si="4"/>
        <v>0.03189778286839064</v>
      </c>
      <c r="F36" s="19"/>
      <c r="G36" s="19">
        <f>-SQRT(C36^2+D40^2)</f>
        <v>-0.09319245484694487</v>
      </c>
      <c r="I36" t="s">
        <v>18</v>
      </c>
      <c r="J36" s="19">
        <f>J33+J34</f>
        <v>0.8486269117171424</v>
      </c>
      <c r="K36" s="19">
        <f>K33+K34</f>
        <v>0.5912131737947929</v>
      </c>
      <c r="N36" s="19">
        <f t="shared" si="5"/>
        <v>0.027044118530640815</v>
      </c>
      <c r="O36" s="19">
        <f t="shared" si="5"/>
        <v>0.008642296294164832</v>
      </c>
      <c r="P36" s="19">
        <f t="shared" si="5"/>
        <v>0.02019933263546507</v>
      </c>
      <c r="Q36" s="19">
        <f t="shared" si="5"/>
        <v>0.009121247447794363</v>
      </c>
      <c r="R36" s="19"/>
      <c r="S36" s="19">
        <f>-SQRT(O36^2+P40^2)</f>
        <v>-0.025219880198418015</v>
      </c>
      <c r="U36" t="s">
        <v>18</v>
      </c>
      <c r="V36" s="19">
        <f>V33+V34</f>
        <v>0.8799265997718698</v>
      </c>
      <c r="W36" s="19">
        <f>W33+W34</f>
        <v>0.5289863055090359</v>
      </c>
    </row>
    <row r="37" spans="2:23" ht="12.75">
      <c r="B37" s="19">
        <f t="shared" si="4"/>
        <v>0.10283120000524915</v>
      </c>
      <c r="C37" s="19">
        <f t="shared" si="4"/>
        <v>0.028608538636691452</v>
      </c>
      <c r="D37" s="19">
        <f t="shared" si="4"/>
        <v>0.05853407570955864</v>
      </c>
      <c r="E37" s="19">
        <f t="shared" si="4"/>
        <v>0.041889176209126834</v>
      </c>
      <c r="F37" s="19"/>
      <c r="G37" s="19">
        <f>-SQRT(C37^2+D41^2)</f>
        <v>-0.09402276160778249</v>
      </c>
      <c r="I37" t="s">
        <v>70</v>
      </c>
      <c r="J37" s="19">
        <f>-SQRT((J35-J31)^2+(K36-K31)^2)</f>
        <v>-0.22100259848600487</v>
      </c>
      <c r="K37" s="19">
        <f>SQRT((K35-K31)^2+(J36-J31)^2)</f>
        <v>0.18185949683750233</v>
      </c>
      <c r="N37" s="19">
        <f t="shared" si="5"/>
        <v>0.02102489736639057</v>
      </c>
      <c r="O37" s="19">
        <f t="shared" si="5"/>
        <v>0.005798707885159023</v>
      </c>
      <c r="P37" s="19">
        <f t="shared" si="5"/>
        <v>0.01687534313142748</v>
      </c>
      <c r="Q37" s="19">
        <f t="shared" si="5"/>
        <v>0.007276991891420406</v>
      </c>
      <c r="R37" s="19"/>
      <c r="S37" s="19">
        <f>-SQRT(O37^2+P41^2)</f>
        <v>-0.019776518489516233</v>
      </c>
      <c r="U37" t="s">
        <v>70</v>
      </c>
      <c r="V37" s="19">
        <f>-SQRT((V35-V31)^2+(W36-W31)^2)</f>
        <v>-0.09623016144811115</v>
      </c>
      <c r="W37" s="19">
        <f>SQRT((W35-W31)^2+(V36-V31)^2)</f>
        <v>0.0914611878736311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S38" s="19"/>
      <c r="V38" s="19"/>
      <c r="W38" s="19"/>
    </row>
    <row r="39" spans="1:23" ht="12.75">
      <c r="A39" t="s">
        <v>29</v>
      </c>
      <c r="B39" s="19">
        <f aca="true" t="shared" si="6" ref="B39:E41">B31-B15</f>
        <v>0.06091409258983016</v>
      </c>
      <c r="C39" s="19">
        <f t="shared" si="6"/>
        <v>0.03955232525477827</v>
      </c>
      <c r="D39" s="19">
        <f t="shared" si="6"/>
        <v>0.06177147700995106</v>
      </c>
      <c r="E39" s="19">
        <f t="shared" si="6"/>
        <v>0.04600170275008317</v>
      </c>
      <c r="F39" s="19"/>
      <c r="G39" s="19">
        <f>SQRT(D35^2+C39^2)</f>
        <v>0.06292012662575186</v>
      </c>
      <c r="I39" t="s">
        <v>71</v>
      </c>
      <c r="J39" s="19">
        <f>K31-J31</f>
        <v>-0.412987012987013</v>
      </c>
      <c r="K39" s="19"/>
      <c r="M39" t="s">
        <v>29</v>
      </c>
      <c r="N39" s="19">
        <f aca="true" t="shared" si="7" ref="N39:Q41">N31-N15</f>
        <v>0.015255346770150169</v>
      </c>
      <c r="O39" s="19">
        <f t="shared" si="7"/>
        <v>0.00680893034932013</v>
      </c>
      <c r="P39" s="19">
        <f t="shared" si="7"/>
        <v>0.014525591270217852</v>
      </c>
      <c r="Q39" s="19">
        <f t="shared" si="7"/>
        <v>0.007609478093582634</v>
      </c>
      <c r="R39" s="19"/>
      <c r="S39" s="19">
        <f>SQRT(P35^2+O39^2)</f>
        <v>0.014886643228303662</v>
      </c>
      <c r="U39" t="s">
        <v>71</v>
      </c>
      <c r="V39" s="19">
        <f>W31-V31</f>
        <v>-0.43210493887792545</v>
      </c>
      <c r="W39" s="19"/>
    </row>
    <row r="40" spans="2:23" ht="12.75">
      <c r="B40" s="19">
        <f t="shared" si="6"/>
        <v>0.08259631108242094</v>
      </c>
      <c r="C40" s="19">
        <f t="shared" si="6"/>
        <v>0.05783511470049966</v>
      </c>
      <c r="D40" s="19">
        <f t="shared" si="6"/>
        <v>0.09002320901069774</v>
      </c>
      <c r="E40" s="19">
        <f t="shared" si="6"/>
        <v>0.06418499302619353</v>
      </c>
      <c r="F40" s="19"/>
      <c r="G40" s="19">
        <f>SQRT(D36^2+C40^2)</f>
        <v>0.09029736068532891</v>
      </c>
      <c r="I40" t="s">
        <v>72</v>
      </c>
      <c r="J40" s="19">
        <f>J39-K37</f>
        <v>-0.5948465098245154</v>
      </c>
      <c r="K40" s="19"/>
      <c r="N40" s="19">
        <f t="shared" si="7"/>
        <v>0.024033186970730314</v>
      </c>
      <c r="O40" s="19">
        <f t="shared" si="7"/>
        <v>0.012991419658480101</v>
      </c>
      <c r="P40" s="19">
        <f t="shared" si="7"/>
        <v>0.023692890747783857</v>
      </c>
      <c r="Q40" s="19">
        <f t="shared" si="7"/>
        <v>0.01344843324154562</v>
      </c>
      <c r="R40" s="19"/>
      <c r="S40" s="19">
        <f>SQRT(P36^2+O40^2)</f>
        <v>0.02401645318653251</v>
      </c>
      <c r="U40" t="s">
        <v>72</v>
      </c>
      <c r="V40" s="19">
        <f>V39-W37</f>
        <v>-0.5235661267515566</v>
      </c>
      <c r="W40" s="19"/>
    </row>
    <row r="41" spans="2:23" ht="12.75">
      <c r="B41" s="19">
        <f t="shared" si="6"/>
        <v>0.08299196364533112</v>
      </c>
      <c r="C41" s="19">
        <f t="shared" si="6"/>
        <v>0.06777831298832467</v>
      </c>
      <c r="D41" s="19">
        <f t="shared" si="6"/>
        <v>0.0895646761699434</v>
      </c>
      <c r="E41" s="19">
        <f t="shared" si="6"/>
        <v>0.0780067603515419</v>
      </c>
      <c r="F41" s="19"/>
      <c r="G41" s="19">
        <f>SQRT(D37^2+C41^2)</f>
        <v>0.08955522168313605</v>
      </c>
      <c r="I41" t="s">
        <v>73</v>
      </c>
      <c r="J41" s="19">
        <f>J39-J37</f>
        <v>-0.19198441450100814</v>
      </c>
      <c r="K41" s="19"/>
      <c r="N41" s="19">
        <f t="shared" si="7"/>
        <v>0.01924094272971233</v>
      </c>
      <c r="O41" s="19">
        <f t="shared" si="7"/>
        <v>0.008466640043599129</v>
      </c>
      <c r="P41" s="19">
        <f t="shared" si="7"/>
        <v>0.018907291461993492</v>
      </c>
      <c r="Q41" s="19">
        <f t="shared" si="7"/>
        <v>0.009896925270398323</v>
      </c>
      <c r="R41" s="19"/>
      <c r="S41" s="19">
        <f>SQRT(P37^2+O41^2)</f>
        <v>0.01888018006882596</v>
      </c>
      <c r="U41" t="s">
        <v>73</v>
      </c>
      <c r="V41" s="19">
        <f>V39-V37</f>
        <v>-0.3358747774298143</v>
      </c>
      <c r="W41" s="19"/>
    </row>
    <row r="42" spans="14:18" ht="12.75">
      <c r="N42" s="19"/>
      <c r="O42" s="19"/>
      <c r="P42" s="19"/>
      <c r="Q42" s="19"/>
      <c r="R42" s="19"/>
    </row>
    <row r="43" spans="8:20" ht="12.75">
      <c r="H43" s="3" t="s">
        <v>86</v>
      </c>
      <c r="T43" s="3" t="s">
        <v>86</v>
      </c>
    </row>
    <row r="44" spans="2:20" ht="12.75">
      <c r="B44" t="s">
        <v>83</v>
      </c>
      <c r="H44" t="s">
        <v>78</v>
      </c>
      <c r="N44" t="s">
        <v>83</v>
      </c>
      <c r="T44" t="s">
        <v>78</v>
      </c>
    </row>
    <row r="45" spans="1:23" ht="12.75">
      <c r="A45" t="s">
        <v>49</v>
      </c>
      <c r="B45" s="19">
        <f>D15/C15</f>
        <v>4.25</v>
      </c>
      <c r="C45" s="19">
        <f>EXP(B49-D49)</f>
        <v>2.063080425279381</v>
      </c>
      <c r="D45" s="19">
        <f>EXP(B49-C49)</f>
        <v>8.844338126359805</v>
      </c>
      <c r="H45" s="19">
        <f>G31-PPu!G31</f>
        <v>0.03793309438470727</v>
      </c>
      <c r="I45" s="19">
        <f>-SQRT(G39^2+PPu!G35^2)</f>
        <v>-0.1062762401870517</v>
      </c>
      <c r="J45" s="19">
        <f>SQRT(PPu!G39^2+G35^2)</f>
        <v>0.10547402504207946</v>
      </c>
      <c r="K45" s="19" t="str">
        <f>IF(H45&gt;J45,"s+",IF(H45&lt;I45,"s-","ns"))</f>
        <v>ns</v>
      </c>
      <c r="M45" t="s">
        <v>49</v>
      </c>
      <c r="N45" s="19">
        <f>P15/O15</f>
        <v>6.152173913043478</v>
      </c>
      <c r="O45" s="19">
        <f>EXP(N49-P49)</f>
        <v>4.5375032192829465</v>
      </c>
      <c r="P45" s="19">
        <f>EXP(N49-O49)</f>
        <v>8.349764291581462</v>
      </c>
      <c r="T45" s="19">
        <f>S31-PPu!S31</f>
        <v>-0.0011192943428642438</v>
      </c>
      <c r="U45" s="19">
        <f>-SQRT(S39^2+PPu!S35^2)</f>
        <v>-0.021787467537422976</v>
      </c>
      <c r="V45" s="19">
        <f>SQRT(PPu!S39^2+S35^2)</f>
        <v>0.021724634284098487</v>
      </c>
      <c r="W45" s="19" t="str">
        <f>IF(T45&gt;V45,"s+",IF(T45&lt;U45,"s-","ns"))</f>
        <v>ns</v>
      </c>
    </row>
    <row r="46" spans="1:23" ht="12.75">
      <c r="A46" t="s">
        <v>85</v>
      </c>
      <c r="B46" s="19">
        <f>D16/C16</f>
        <v>5.5</v>
      </c>
      <c r="C46" s="19">
        <f>EXP(B50-D50)</f>
        <v>2.0673588269348055</v>
      </c>
      <c r="D46" s="19">
        <f>EXP(B50-C50)</f>
        <v>14.941611053244191</v>
      </c>
      <c r="H46" s="19">
        <f>G32-PPu!G32</f>
        <v>0.018217821782178206</v>
      </c>
      <c r="I46" s="19">
        <f>-SQRT(G40^2+PPu!G36^2)</f>
        <v>-0.16121078025096003</v>
      </c>
      <c r="J46" s="19">
        <f>SQRT(PPu!G40^2+G36^2)</f>
        <v>0.15906382985732576</v>
      </c>
      <c r="K46" s="19" t="str">
        <f>IF(H46&gt;J46,"s+",IF(H46&lt;I46,"s-","ns"))</f>
        <v>ns</v>
      </c>
      <c r="M46" t="s">
        <v>85</v>
      </c>
      <c r="N46" s="19">
        <f>P16/O16</f>
        <v>4.714285714285714</v>
      </c>
      <c r="O46" s="19">
        <f>EXP(N50-P50)</f>
        <v>2.986747432573968</v>
      </c>
      <c r="P46" s="19">
        <f>EXP(N50-O50)</f>
        <v>7.458540169371073</v>
      </c>
      <c r="T46" s="19">
        <f>S32-PPu!S32</f>
        <v>-0.0008763349794435049</v>
      </c>
      <c r="U46" s="19">
        <f>-SQRT(S40^2+PPu!S36^2)</f>
        <v>-0.035907255741794056</v>
      </c>
      <c r="V46" s="19">
        <f>SQRT(PPu!S40^2+S36^2)</f>
        <v>0.0357715880456166</v>
      </c>
      <c r="W46" s="19" t="str">
        <f>IF(T46&gt;V46,"s+",IF(T46&lt;U46,"s-","ns"))</f>
        <v>ns</v>
      </c>
    </row>
    <row r="47" spans="2:23" ht="12.75">
      <c r="B47" s="19">
        <f>D17/C17</f>
        <v>3</v>
      </c>
      <c r="C47" s="19">
        <f>EXP(B51-D51)</f>
        <v>1.0598447311886614</v>
      </c>
      <c r="D47" s="19">
        <f>EXP(B51-C51)</f>
        <v>8.636463028564034</v>
      </c>
      <c r="H47" s="19">
        <f>G33-PPu!G33</f>
        <v>0.04239350912778904</v>
      </c>
      <c r="I47" s="19">
        <f>-SQRT(G41^2+PPu!G37^2)</f>
        <v>-0.14647717201047702</v>
      </c>
      <c r="J47" s="19">
        <f>SQRT(PPu!G41^2+G37^2)</f>
        <v>0.14715451861577553</v>
      </c>
      <c r="K47" s="19" t="str">
        <f>IF(H47&gt;J47,"s+",IF(H47&lt;I47,"s-","ns"))</f>
        <v>ns</v>
      </c>
      <c r="N47" s="19">
        <f>P17/O17</f>
        <v>7.3599999999999985</v>
      </c>
      <c r="O47" s="19">
        <f>EXP(N51-P51)</f>
        <v>4.895955500092266</v>
      </c>
      <c r="P47" s="19">
        <f>EXP(N51-O51)</f>
        <v>11.083043363898149</v>
      </c>
      <c r="T47" s="19">
        <f>S33-PPu!S33</f>
        <v>-0.0009131529486861301</v>
      </c>
      <c r="U47" s="19">
        <f>-SQRT(S41^2+PPu!S37^2)</f>
        <v>-0.027608067138322086</v>
      </c>
      <c r="V47" s="19">
        <f>SQRT(PPu!S41^2+S37^2)</f>
        <v>0.027499386379904876</v>
      </c>
      <c r="W47" s="19" t="str">
        <f>IF(T47&gt;V47,"s+",IF(T47&lt;U47,"s-","ns"))</f>
        <v>ns</v>
      </c>
    </row>
    <row r="48" spans="9:10" ht="12.75">
      <c r="I48" s="19"/>
      <c r="J48" s="19"/>
    </row>
    <row r="49" spans="1:22" ht="12.75">
      <c r="A49" t="s">
        <v>84</v>
      </c>
      <c r="B49" s="19">
        <f>LN(B45)</f>
        <v>1.4469189829363254</v>
      </c>
      <c r="C49" s="19">
        <f>-SQRT((LN(D31)-LN(D15))^2+(LN(C27)-LN(C15))^2)</f>
        <v>-0.7328585116165743</v>
      </c>
      <c r="D49" s="19">
        <f>SQRT((LN(C31)-LN(C15))^2+(LN(D27)-LN(D15))^2)</f>
        <v>0.7227187649830579</v>
      </c>
      <c r="H49" t="s">
        <v>79</v>
      </c>
      <c r="I49" s="19"/>
      <c r="J49" s="19"/>
      <c r="M49" t="s">
        <v>84</v>
      </c>
      <c r="N49" s="19">
        <f>LN(N45)</f>
        <v>1.8168055011541424</v>
      </c>
      <c r="O49" s="19">
        <f>-SQRT((LN(P31)-LN(P15))^2+(LN(O27)-LN(O15))^2)</f>
        <v>-0.30542780875707026</v>
      </c>
      <c r="P49" s="19">
        <f>SQRT((LN(O31)-LN(O15))^2+(LN(P27)-LN(P15))^2)</f>
        <v>0.3044285920795799</v>
      </c>
      <c r="T49" t="s">
        <v>79</v>
      </c>
      <c r="U49" s="19"/>
      <c r="V49" s="19"/>
    </row>
    <row r="50" spans="2:23" ht="12.75">
      <c r="B50" s="19">
        <f>LN(B46)</f>
        <v>1.7047480922384253</v>
      </c>
      <c r="C50" s="19">
        <f>-SQRT((LN(D32)-LN(D16))^2+(LN(C28)-LN(C16))^2)</f>
        <v>-0.9994019165416517</v>
      </c>
      <c r="D50" s="19">
        <f>SQRT((LN(C32)-LN(C16))^2+(LN(D28)-LN(D16))^2)</f>
        <v>0.9784762286686431</v>
      </c>
      <c r="H50" s="19">
        <f>J26-PPu!J26</f>
        <v>0.028669055527175247</v>
      </c>
      <c r="I50" s="19">
        <f>-SQRT(K37^2+PPu!J37^2)</f>
        <v>-0.318466933638069</v>
      </c>
      <c r="J50" s="19">
        <f>SQRT(J37^2+PPu!K37^2)</f>
        <v>0.31489510577952246</v>
      </c>
      <c r="K50" s="19" t="str">
        <f>IF(H50&gt;J50,"s+",IF(H50&lt;I50,"s-","ns"))</f>
        <v>ns</v>
      </c>
      <c r="N50" s="19">
        <f>LN(N46)</f>
        <v>1.550597412411167</v>
      </c>
      <c r="O50" s="19">
        <f>-SQRT((LN(P32)-LN(P16))^2+(LN(O28)-LN(O16))^2)</f>
        <v>-0.4587622949032894</v>
      </c>
      <c r="P50" s="19">
        <f>SQRT((LN(O32)-LN(O16))^2+(LN(P28)-LN(P16))^2)</f>
        <v>0.45641243230160766</v>
      </c>
      <c r="T50" s="19">
        <f>V26-PPu!V26</f>
        <v>-0.014666325682576531</v>
      </c>
      <c r="U50" s="19">
        <f>-SQRT(W37^2+PPu!V37^2)</f>
        <v>-0.13938266397927068</v>
      </c>
      <c r="V50" s="19">
        <f>SQRT(V37^2+PPu!W37^2)</f>
        <v>0.138973752246062</v>
      </c>
      <c r="W50" s="19" t="str">
        <f>IF(T50&gt;V50,"s+",IF(T50&lt;U50,"s-","ns"))</f>
        <v>ns</v>
      </c>
    </row>
    <row r="51" spans="2:16" ht="12.75">
      <c r="B51" s="19">
        <f>LN(B47)</f>
        <v>1.0986122886681098</v>
      </c>
      <c r="C51" s="19">
        <f>-SQRT((LN(D33)-LN(D17))^2+(LN(C29)-LN(C17))^2)</f>
        <v>-1.0573808386384098</v>
      </c>
      <c r="D51" s="19">
        <f>SQRT((LN(C33)-LN(C17))^2+(LN(D29)-LN(D17))^2)</f>
        <v>1.0404898712840753</v>
      </c>
      <c r="I51" s="19"/>
      <c r="J51" s="19"/>
      <c r="N51" s="19">
        <f>LN(N47)</f>
        <v>1.9960599327407846</v>
      </c>
      <c r="O51" s="19">
        <f>-SQRT((LN(P33)-LN(P17))^2+(LN(O29)-LN(O17))^2)</f>
        <v>-0.40935638269491464</v>
      </c>
      <c r="P51" s="19">
        <f>SQRT((LN(O33)-LN(O17))^2+(LN(P29)-LN(P17))^2)</f>
        <v>0.4076504766055076</v>
      </c>
    </row>
    <row r="52" spans="8:22" ht="12.75">
      <c r="H52" t="s">
        <v>49</v>
      </c>
      <c r="I52" s="19"/>
      <c r="J52" s="19"/>
      <c r="T52" t="s">
        <v>49</v>
      </c>
      <c r="U52" s="19"/>
      <c r="V52" s="19"/>
    </row>
    <row r="53" spans="8:23" ht="12.75">
      <c r="H53" s="19">
        <f>B45-PPu!B45</f>
        <v>1.4166666666666665</v>
      </c>
      <c r="I53" s="19">
        <f>-SQRT((PPu!B45-PPu!C45)^2+(D45-B45)^2)</f>
        <v>-4.8767192682743365</v>
      </c>
      <c r="J53" s="19">
        <f>SQRT((B45-C45)^2+(PPu!D45-PPu!B45)^2)</f>
        <v>4.5200726254349775</v>
      </c>
      <c r="K53" s="19" t="str">
        <f>IF(H53&gt;J53,"s+",IF(H53&lt;I53,"s-","ns"))</f>
        <v>ns</v>
      </c>
      <c r="T53" s="19">
        <f>N45-PPu!N45</f>
        <v>-0.5401337792642149</v>
      </c>
      <c r="U53" s="19">
        <f>-SQRT((PPu!N45-PPu!O45)^2+(P45-N45)^2)</f>
        <v>-2.8895570945049007</v>
      </c>
      <c r="V53" s="19">
        <f>SQRT((N45-O45)^2+(PPu!P45-PPu!N45)^2)</f>
        <v>3.075418784391134</v>
      </c>
      <c r="W53" s="19" t="str">
        <f>IF(T53&gt;V53,"s+",IF(T53&lt;U53,"s-","ns"))</f>
        <v>ns</v>
      </c>
    </row>
    <row r="54" spans="8:23" ht="12.75">
      <c r="H54" s="19"/>
      <c r="I54" s="19"/>
      <c r="J54" s="19"/>
      <c r="K54" s="19"/>
      <c r="T54" s="19"/>
      <c r="U54" s="19"/>
      <c r="V54" s="19"/>
      <c r="W54" s="19"/>
    </row>
    <row r="55" spans="2:23" ht="12.75">
      <c r="B55" t="str">
        <f aca="true" t="shared" si="8" ref="B55:F56">B10</f>
        <v>none</v>
      </c>
      <c r="C55" t="str">
        <f t="shared" si="8"/>
        <v>initial</v>
      </c>
      <c r="D55" t="str">
        <f t="shared" si="8"/>
        <v>final</v>
      </c>
      <c r="E55" t="str">
        <f t="shared" si="8"/>
        <v>both</v>
      </c>
      <c r="F55" t="str">
        <f t="shared" si="8"/>
        <v>predicted</v>
      </c>
      <c r="H55" s="19"/>
      <c r="I55" s="19"/>
      <c r="J55" s="19"/>
      <c r="K55" s="19"/>
      <c r="N55" t="str">
        <f aca="true" t="shared" si="9" ref="N55:R56">N10</f>
        <v>none</v>
      </c>
      <c r="O55" t="str">
        <f t="shared" si="9"/>
        <v>initial</v>
      </c>
      <c r="P55" t="str">
        <f t="shared" si="9"/>
        <v>final</v>
      </c>
      <c r="Q55" t="str">
        <f t="shared" si="9"/>
        <v>both</v>
      </c>
      <c r="R55" t="str">
        <f t="shared" si="9"/>
        <v>predicted</v>
      </c>
      <c r="T55" s="19"/>
      <c r="U55" s="19"/>
      <c r="V55" s="19"/>
      <c r="W55" s="19"/>
    </row>
    <row r="56" spans="1:18" ht="12.75">
      <c r="A56" t="s">
        <v>51</v>
      </c>
      <c r="B56">
        <f t="shared" si="8"/>
        <v>131</v>
      </c>
      <c r="C56">
        <f t="shared" si="8"/>
        <v>8</v>
      </c>
      <c r="D56">
        <f t="shared" si="8"/>
        <v>34</v>
      </c>
      <c r="E56">
        <f t="shared" si="8"/>
        <v>13</v>
      </c>
      <c r="F56">
        <f t="shared" si="8"/>
        <v>186</v>
      </c>
      <c r="M56" t="s">
        <v>51</v>
      </c>
      <c r="N56">
        <f t="shared" si="9"/>
        <v>1830</v>
      </c>
      <c r="O56">
        <f t="shared" si="9"/>
        <v>46</v>
      </c>
      <c r="P56">
        <f t="shared" si="9"/>
        <v>283</v>
      </c>
      <c r="Q56">
        <f t="shared" si="9"/>
        <v>60</v>
      </c>
      <c r="R56">
        <f t="shared" si="9"/>
        <v>2219</v>
      </c>
    </row>
    <row r="57" spans="1:18" ht="12.75">
      <c r="A57" t="s">
        <v>59</v>
      </c>
      <c r="B57">
        <f>'CL'!B11</f>
        <v>157</v>
      </c>
      <c r="C57">
        <f>'CL'!C11</f>
        <v>4</v>
      </c>
      <c r="D57">
        <f>'CL'!D11</f>
        <v>21</v>
      </c>
      <c r="E57">
        <f>'CL'!E11</f>
        <v>4</v>
      </c>
      <c r="F57">
        <f>'CL'!F11</f>
        <v>186</v>
      </c>
      <c r="M57" t="s">
        <v>59</v>
      </c>
      <c r="N57">
        <f>'CL'!N11</f>
        <v>2031</v>
      </c>
      <c r="O57">
        <f>'CL'!O11</f>
        <v>9</v>
      </c>
      <c r="P57">
        <f>'CL'!P11</f>
        <v>152</v>
      </c>
      <c r="Q57">
        <f>'CL'!Q11</f>
        <v>27</v>
      </c>
      <c r="R57">
        <f>'CL'!R11</f>
        <v>2219</v>
      </c>
    </row>
    <row r="58" spans="1:18" ht="12.75">
      <c r="A58" t="s">
        <v>66</v>
      </c>
      <c r="B58">
        <f>AJP!B11</f>
        <v>119</v>
      </c>
      <c r="C58">
        <f>AJP!C11</f>
        <v>21</v>
      </c>
      <c r="D58">
        <f>AJP!D11</f>
        <v>33</v>
      </c>
      <c r="E58">
        <f>AJP!E11</f>
        <v>13</v>
      </c>
      <c r="F58">
        <f>AJP!F11</f>
        <v>186</v>
      </c>
      <c r="M58" t="s">
        <v>66</v>
      </c>
      <c r="N58">
        <f>AJP!N11</f>
        <v>1656</v>
      </c>
      <c r="O58">
        <f>AJP!O11</f>
        <v>264</v>
      </c>
      <c r="P58">
        <f>AJP!P11</f>
        <v>166</v>
      </c>
      <c r="Q58">
        <f>AJP!Q11</f>
        <v>133</v>
      </c>
      <c r="R58">
        <f>AJP!R11</f>
        <v>2219</v>
      </c>
    </row>
    <row r="60" spans="1:18" ht="12.75">
      <c r="A60" t="s">
        <v>51</v>
      </c>
      <c r="B60" s="19">
        <f>B15</f>
        <v>0.7043010752688172</v>
      </c>
      <c r="C60" s="19">
        <f>C15</f>
        <v>0.043010752688172046</v>
      </c>
      <c r="D60" s="19">
        <f>D15</f>
        <v>0.1827956989247312</v>
      </c>
      <c r="E60" s="19">
        <f>E15</f>
        <v>0.06989247311827956</v>
      </c>
      <c r="F60" s="19">
        <f>F15</f>
        <v>0.028529309746791538</v>
      </c>
      <c r="M60" t="s">
        <v>51</v>
      </c>
      <c r="N60" s="19">
        <f>N15</f>
        <v>0.8246958089229383</v>
      </c>
      <c r="O60" s="19">
        <f>O15</f>
        <v>0.020730058584948176</v>
      </c>
      <c r="P60" s="19">
        <f>P15</f>
        <v>0.12753492564218116</v>
      </c>
      <c r="Q60" s="19">
        <f>Q15</f>
        <v>0.027039206849932402</v>
      </c>
      <c r="R60" s="19">
        <f>R15</f>
        <v>0.007383892764382171</v>
      </c>
    </row>
    <row r="61" spans="1:18" ht="12.75">
      <c r="A61" t="s">
        <v>59</v>
      </c>
      <c r="B61" s="19">
        <f>'CL'!B15</f>
        <v>0.8440860215053764</v>
      </c>
      <c r="C61" s="19">
        <f>'CL'!C15</f>
        <v>0.021505376344086023</v>
      </c>
      <c r="D61" s="19">
        <f>'CL'!D15</f>
        <v>0.11290322580645161</v>
      </c>
      <c r="E61" s="19">
        <f>'CL'!E15</f>
        <v>0.021505376344086023</v>
      </c>
      <c r="F61" s="19">
        <f>'CL'!F15</f>
        <v>0.005781015146259683</v>
      </c>
      <c r="M61" t="s">
        <v>59</v>
      </c>
      <c r="N61" s="19">
        <f>'CL'!N15</f>
        <v>0.9152771518702119</v>
      </c>
      <c r="O61" s="19">
        <f>'CL'!O15</f>
        <v>0.00405588102748986</v>
      </c>
      <c r="P61" s="19">
        <f>'CL'!P15</f>
        <v>0.06849932401982875</v>
      </c>
      <c r="Q61" s="19">
        <f>'CL'!Q15</f>
        <v>0.01216764308246958</v>
      </c>
      <c r="R61" s="19">
        <f>'CL'!R15</f>
        <v>0.0013087024856614422</v>
      </c>
    </row>
    <row r="62" spans="1:18" ht="12.75">
      <c r="A62" t="s">
        <v>66</v>
      </c>
      <c r="B62" s="19">
        <f>AJP!B15</f>
        <v>0.6397849462365591</v>
      </c>
      <c r="C62" s="19">
        <f>AJP!C15</f>
        <v>0.11290322580645161</v>
      </c>
      <c r="D62" s="19">
        <f>AJP!D15</f>
        <v>0.1774193548387097</v>
      </c>
      <c r="E62" s="19">
        <f>AJP!E15</f>
        <v>0.06989247311827956</v>
      </c>
      <c r="F62" s="19">
        <f>AJP!F15</f>
        <v>0.04520753844375072</v>
      </c>
      <c r="M62" t="s">
        <v>66</v>
      </c>
      <c r="N62" s="19">
        <f>AJP!N15</f>
        <v>0.7462821090581343</v>
      </c>
      <c r="O62" s="19">
        <f>AJP!O15</f>
        <v>0.11897251013970257</v>
      </c>
      <c r="P62" s="19">
        <f>AJP!P15</f>
        <v>0.07480847228481298</v>
      </c>
      <c r="Q62" s="19">
        <f>AJP!Q15</f>
        <v>0.05993690851735016</v>
      </c>
      <c r="R62" s="19">
        <f>AJP!R15</f>
        <v>0.0241072177460382</v>
      </c>
    </row>
    <row r="64" spans="1:18" ht="12.75">
      <c r="A64" t="str">
        <f>A35</f>
        <v>u-</v>
      </c>
      <c r="B64" s="19">
        <f>B35</f>
        <v>0.0691821694930228</v>
      </c>
      <c r="C64" s="19">
        <f>C35</f>
        <v>0.0210579427081631</v>
      </c>
      <c r="D64" s="19">
        <f>D35</f>
        <v>0.048934199712888704</v>
      </c>
      <c r="E64" s="19">
        <f>E35</f>
        <v>0.02859522505915124</v>
      </c>
      <c r="F64" s="19"/>
      <c r="M64" t="str">
        <f>M35</f>
        <v>u-</v>
      </c>
      <c r="N64" s="19">
        <f>N35</f>
        <v>0.01637760574797098</v>
      </c>
      <c r="O64" s="19">
        <f>O35</f>
        <v>0.005152410678379914</v>
      </c>
      <c r="P64" s="19">
        <f>P35</f>
        <v>0.013238225489275612</v>
      </c>
      <c r="Q64" s="19">
        <f>Q35</f>
        <v>0.005974764981545259</v>
      </c>
      <c r="R64" s="19"/>
    </row>
    <row r="65" spans="2:18" ht="12.75">
      <c r="B65" s="19">
        <f>'CL'!B35</f>
        <v>0.05903470444414316</v>
      </c>
      <c r="C65" s="19">
        <f>'CL'!C35</f>
        <v>0.01311132101051432</v>
      </c>
      <c r="D65" s="19">
        <f>'CL'!D35</f>
        <v>0.0378618989877971</v>
      </c>
      <c r="E65" s="19">
        <f>'CL'!E35</f>
        <v>0.01311132101051432</v>
      </c>
      <c r="F65" s="19"/>
      <c r="N65" s="19">
        <f>'CL'!N35</f>
        <v>0.012316194377269718</v>
      </c>
      <c r="O65" s="19">
        <f>'CL'!O35</f>
        <v>0.001920585429894307</v>
      </c>
      <c r="P65" s="19">
        <f>'CL'!P35</f>
        <v>0.009781671968774441</v>
      </c>
      <c r="Q65" s="19">
        <f>'CL'!Q35</f>
        <v>0.0037918797903078744</v>
      </c>
      <c r="R65" s="19"/>
    </row>
    <row r="66" spans="2:18" ht="12.75">
      <c r="B66" s="19">
        <f>AJP!B35</f>
        <v>0.07117596817428029</v>
      </c>
      <c r="C66" s="19">
        <f>AJP!C35</f>
        <v>0.0378618989877971</v>
      </c>
      <c r="D66" s="19">
        <f>AJP!D35</f>
        <v>0.04820594833071051</v>
      </c>
      <c r="E66" s="19">
        <f>AJP!E35</f>
        <v>0.02859522505915124</v>
      </c>
      <c r="F66" s="19"/>
      <c r="N66" s="19">
        <f>AJP!N35</f>
        <v>0.01851986146080764</v>
      </c>
      <c r="O66" s="19">
        <f>AJP!O35</f>
        <v>0.012816570352765413</v>
      </c>
      <c r="P66" s="19">
        <f>AJP!P35</f>
        <v>0.010226506444502459</v>
      </c>
      <c r="Q66" s="19">
        <f>AJP!Q35</f>
        <v>0.009136525435293294</v>
      </c>
      <c r="R66" s="19"/>
    </row>
    <row r="68" spans="1:18" ht="12.75">
      <c r="A68" t="str">
        <f>A39</f>
        <v>u+</v>
      </c>
      <c r="B68" s="19">
        <f>B39</f>
        <v>0.06091409258983016</v>
      </c>
      <c r="C68" s="19">
        <f>C39</f>
        <v>0.03955232525477827</v>
      </c>
      <c r="D68" s="19">
        <f>D39</f>
        <v>0.06177147700995106</v>
      </c>
      <c r="E68" s="19">
        <f>E39</f>
        <v>0.04600170275008317</v>
      </c>
      <c r="F68" s="19"/>
      <c r="M68" t="str">
        <f>M39</f>
        <v>u+</v>
      </c>
      <c r="N68" s="19">
        <f>N39</f>
        <v>0.015255346770150169</v>
      </c>
      <c r="O68" s="19">
        <f>O39</f>
        <v>0.00680893034932013</v>
      </c>
      <c r="P68" s="19">
        <f>P39</f>
        <v>0.014525591270217852</v>
      </c>
      <c r="Q68" s="19">
        <f>Q39</f>
        <v>0.007609478093582634</v>
      </c>
      <c r="R68" s="19"/>
    </row>
    <row r="69" spans="2:18" ht="12.75">
      <c r="B69" s="19">
        <f>'CL'!B39</f>
        <v>0.04510952229139764</v>
      </c>
      <c r="C69" s="19">
        <f>'CL'!C39</f>
        <v>0.032476027441676075</v>
      </c>
      <c r="D69" s="19">
        <f>'CL'!D39</f>
        <v>0.05352772890963582</v>
      </c>
      <c r="E69" s="19">
        <f>'CL'!E39</f>
        <v>0.032476027441676075</v>
      </c>
      <c r="F69" s="19"/>
      <c r="N69" s="19">
        <f>'CL'!N39</f>
        <v>0.010880855518058064</v>
      </c>
      <c r="O69" s="19">
        <f>'CL'!O39</f>
        <v>0.0036347367207920124</v>
      </c>
      <c r="P69" s="19">
        <f>'CL'!P39</f>
        <v>0.0112730848365932</v>
      </c>
      <c r="Q69" s="19">
        <f>'CL'!Q39</f>
        <v>0.005477994076901934</v>
      </c>
      <c r="R69" s="19"/>
    </row>
    <row r="70" spans="2:18" ht="12.75">
      <c r="B70" s="19">
        <f>AJP!B39</f>
        <v>0.06551886292472742</v>
      </c>
      <c r="C70" s="19">
        <f>AJP!C39</f>
        <v>0.05352772890963582</v>
      </c>
      <c r="D70" s="19">
        <f>AJP!D39</f>
        <v>0.06126080659890948</v>
      </c>
      <c r="E70" s="19">
        <f>AJP!E39</f>
        <v>0.04600170275008317</v>
      </c>
      <c r="F70" s="19"/>
      <c r="N70" s="19">
        <f>AJP!N39</f>
        <v>0.01766862685792192</v>
      </c>
      <c r="O70" s="19">
        <f>AJP!O39</f>
        <v>0.014133530749361481</v>
      </c>
      <c r="P70" s="19">
        <f>AJP!P39</f>
        <v>0.011696112753418364</v>
      </c>
      <c r="Q70" s="19">
        <f>AJP!Q39</f>
        <v>0.010657532918765894</v>
      </c>
      <c r="R70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B4" sqref="B4"/>
    </sheetView>
  </sheetViews>
  <sheetFormatPr defaultColWidth="9.140625" defaultRowHeight="12.75"/>
  <cols>
    <col min="10" max="10" width="9.140625" style="0" customWidth="1"/>
    <col min="22" max="22" width="10.421875" style="0" customWidth="1"/>
  </cols>
  <sheetData>
    <row r="1" spans="1:13" ht="12.75">
      <c r="A1" s="3" t="s">
        <v>51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186</v>
      </c>
      <c r="C4">
        <v>8</v>
      </c>
      <c r="D4">
        <v>25</v>
      </c>
      <c r="E4">
        <v>4</v>
      </c>
      <c r="G4" s="45" t="s">
        <v>57</v>
      </c>
      <c r="H4" s="44">
        <f>J4-I4</f>
        <v>157</v>
      </c>
      <c r="I4" s="44">
        <f>I6-I5</f>
        <v>21</v>
      </c>
      <c r="J4" s="44">
        <f>J6-J5</f>
        <v>178</v>
      </c>
      <c r="M4" t="s">
        <v>34</v>
      </c>
      <c r="N4">
        <v>2219</v>
      </c>
      <c r="O4">
        <v>36</v>
      </c>
      <c r="P4">
        <v>179</v>
      </c>
      <c r="Q4">
        <v>27</v>
      </c>
      <c r="S4" s="45" t="s">
        <v>57</v>
      </c>
      <c r="T4" s="44">
        <f>V4-U4</f>
        <v>2031</v>
      </c>
      <c r="U4" s="44">
        <f>U6-U5</f>
        <v>152</v>
      </c>
      <c r="V4" s="44">
        <f>V6-V5</f>
        <v>2183</v>
      </c>
    </row>
    <row r="5" spans="1:23" ht="12.75">
      <c r="A5" t="s">
        <v>35</v>
      </c>
      <c r="B5">
        <v>101</v>
      </c>
      <c r="C5">
        <v>2</v>
      </c>
      <c r="D5">
        <v>9</v>
      </c>
      <c r="E5">
        <v>2</v>
      </c>
      <c r="G5" s="45" t="s">
        <v>58</v>
      </c>
      <c r="H5" s="44">
        <f>J5-I5</f>
        <v>4</v>
      </c>
      <c r="I5" s="44">
        <f>E4</f>
        <v>4</v>
      </c>
      <c r="J5" s="44">
        <f>C4</f>
        <v>8</v>
      </c>
      <c r="K5" s="19">
        <f>I5/J5</f>
        <v>0.5</v>
      </c>
      <c r="M5" t="s">
        <v>35</v>
      </c>
      <c r="N5">
        <v>835</v>
      </c>
      <c r="O5">
        <v>19</v>
      </c>
      <c r="P5">
        <v>92</v>
      </c>
      <c r="Q5">
        <v>14</v>
      </c>
      <c r="S5" s="45" t="s">
        <v>58</v>
      </c>
      <c r="T5" s="44">
        <f>V5-U5</f>
        <v>9</v>
      </c>
      <c r="U5" s="44">
        <f>Q4</f>
        <v>27</v>
      </c>
      <c r="V5" s="44">
        <f>O4</f>
        <v>36</v>
      </c>
      <c r="W5" s="19">
        <f>U5/V5</f>
        <v>0.75</v>
      </c>
    </row>
    <row r="6" spans="1:23" ht="12.75">
      <c r="A6" t="s">
        <v>36</v>
      </c>
      <c r="B6">
        <v>85</v>
      </c>
      <c r="C6">
        <v>6</v>
      </c>
      <c r="D6">
        <v>16</v>
      </c>
      <c r="E6">
        <v>2</v>
      </c>
      <c r="G6" t="s">
        <v>56</v>
      </c>
      <c r="H6" s="44">
        <f>J6-I6</f>
        <v>161</v>
      </c>
      <c r="I6" s="44">
        <f>D4</f>
        <v>25</v>
      </c>
      <c r="J6" s="44">
        <f>B4</f>
        <v>186</v>
      </c>
      <c r="K6" s="19">
        <f>I6/J6</f>
        <v>0.13440860215053763</v>
      </c>
      <c r="M6" t="s">
        <v>36</v>
      </c>
      <c r="N6">
        <v>1384</v>
      </c>
      <c r="O6">
        <v>17</v>
      </c>
      <c r="P6">
        <v>87</v>
      </c>
      <c r="Q6">
        <v>13</v>
      </c>
      <c r="S6" t="s">
        <v>56</v>
      </c>
      <c r="T6" s="44">
        <f>V6-U6</f>
        <v>2040</v>
      </c>
      <c r="U6" s="44">
        <f>P4</f>
        <v>179</v>
      </c>
      <c r="V6" s="44">
        <f>N4</f>
        <v>2219</v>
      </c>
      <c r="W6" s="19">
        <f>U6/V6</f>
        <v>0.08066696710229833</v>
      </c>
    </row>
    <row r="7" spans="9:22" ht="12.75">
      <c r="I7" s="19">
        <f>I5/I6</f>
        <v>0.16</v>
      </c>
      <c r="J7" s="19">
        <f>J5/J6</f>
        <v>0.043010752688172046</v>
      </c>
      <c r="U7" s="19">
        <f>U5/U6</f>
        <v>0.15083798882681565</v>
      </c>
      <c r="V7" s="19">
        <f>V5/V6</f>
        <v>0.01622352410995944</v>
      </c>
    </row>
    <row r="8" spans="2:21" ht="12.75">
      <c r="B8">
        <f>CLu!B4/B4</f>
        <v>0.5806451612903226</v>
      </c>
      <c r="C8">
        <f>CLu!C4/C4</f>
        <v>0.625</v>
      </c>
      <c r="D8">
        <f>CLu!D4/D4</f>
        <v>0.56</v>
      </c>
      <c r="E8">
        <f>CLu!E4/E4</f>
        <v>0.75</v>
      </c>
      <c r="I8" s="46">
        <f>I5/(I6*J5/J6)</f>
        <v>3.72</v>
      </c>
      <c r="N8">
        <f>CLu!N4/N4</f>
        <v>0.9269941415051826</v>
      </c>
      <c r="O8">
        <f>CLu!O4/O4</f>
        <v>0.8055555555555556</v>
      </c>
      <c r="P8">
        <f>CLu!P4/P4</f>
        <v>0.9050279329608939</v>
      </c>
      <c r="Q8">
        <f>CLu!Q4/Q4</f>
        <v>0.8518518518518519</v>
      </c>
      <c r="U8" s="46">
        <f>U5/(U6*V5/V6)</f>
        <v>9.297486033519553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157</v>
      </c>
      <c r="C11">
        <f>C4-E4</f>
        <v>4</v>
      </c>
      <c r="D11">
        <f>D4-E4</f>
        <v>21</v>
      </c>
      <c r="E11">
        <f>E4</f>
        <v>4</v>
      </c>
      <c r="F11">
        <f>B4</f>
        <v>186</v>
      </c>
      <c r="H11">
        <f>$H$1/F11</f>
        <v>0.020652943248449324</v>
      </c>
      <c r="I11" s="44"/>
      <c r="J11" s="7" t="s">
        <v>68</v>
      </c>
      <c r="K11" s="40">
        <f>(H4*I5-H5*I4)/SQRT(J4*J5*H6*I6)</f>
        <v>0.22722753787223618</v>
      </c>
      <c r="M11" t="s">
        <v>34</v>
      </c>
      <c r="N11">
        <f>R11-O11-P11-Q11</f>
        <v>2031</v>
      </c>
      <c r="O11">
        <f>O4-Q4</f>
        <v>9</v>
      </c>
      <c r="P11">
        <f>P4-Q4</f>
        <v>152</v>
      </c>
      <c r="Q11">
        <f>Q4</f>
        <v>27</v>
      </c>
      <c r="R11">
        <f>N4</f>
        <v>2219</v>
      </c>
      <c r="T11">
        <f>$H$1/R11</f>
        <v>0.001731161534119682</v>
      </c>
      <c r="U11" s="44"/>
      <c r="V11" s="7" t="s">
        <v>68</v>
      </c>
      <c r="W11" s="40">
        <f>(T4*U5-T5*U4)/SQRT(V4*V5*T6*U6)</f>
        <v>0.3156329572596657</v>
      </c>
    </row>
    <row r="12" spans="1:23" ht="12.75">
      <c r="A12" t="s">
        <v>35</v>
      </c>
      <c r="B12">
        <f>F12-C12-D12-E12</f>
        <v>92</v>
      </c>
      <c r="C12">
        <f>C5-E5</f>
        <v>0</v>
      </c>
      <c r="D12">
        <f>D5-E5</f>
        <v>7</v>
      </c>
      <c r="E12">
        <f>E5</f>
        <v>2</v>
      </c>
      <c r="F12">
        <f>B5</f>
        <v>101</v>
      </c>
      <c r="H12">
        <f>$H$1/F12</f>
        <v>0.03803413311100569</v>
      </c>
      <c r="I12" s="19"/>
      <c r="J12" s="10" t="s">
        <v>75</v>
      </c>
      <c r="K12" s="40">
        <f>IF(SIGN(J28)=SIGN(J41),-SIGN(J28)*SQRT(J28*J41),-(J28+J41)/2)</f>
        <v>0.0543848036727455</v>
      </c>
      <c r="M12" t="s">
        <v>35</v>
      </c>
      <c r="N12">
        <f>R12-O12-P12-Q12</f>
        <v>738</v>
      </c>
      <c r="O12">
        <f>O5-Q5</f>
        <v>5</v>
      </c>
      <c r="P12">
        <f>P5-Q5</f>
        <v>78</v>
      </c>
      <c r="Q12">
        <f>Q5</f>
        <v>14</v>
      </c>
      <c r="R12">
        <f>N5</f>
        <v>835</v>
      </c>
      <c r="T12">
        <f>$H$1/R12</f>
        <v>0.004600535861331227</v>
      </c>
      <c r="U12" s="19"/>
      <c r="V12" s="10" t="s">
        <v>75</v>
      </c>
      <c r="W12" s="40">
        <f>IF(SIGN(V28)=SIGN(V41),-SIGN(V28)*SQRT(V28*V41),-(V28+V41)/2)</f>
        <v>0.2292330749371082</v>
      </c>
    </row>
    <row r="13" spans="1:23" ht="12.75">
      <c r="A13" t="s">
        <v>36</v>
      </c>
      <c r="B13">
        <f>F13-C13-D13-E13</f>
        <v>65</v>
      </c>
      <c r="C13">
        <f>C6-E6</f>
        <v>4</v>
      </c>
      <c r="D13">
        <f>D6-E6</f>
        <v>14</v>
      </c>
      <c r="E13">
        <f>E6</f>
        <v>2</v>
      </c>
      <c r="F13">
        <f>B6</f>
        <v>85</v>
      </c>
      <c r="H13">
        <f>$H$1/F13</f>
        <v>0.04519349934366558</v>
      </c>
      <c r="I13" s="46"/>
      <c r="J13" s="10" t="s">
        <v>76</v>
      </c>
      <c r="K13" s="40">
        <f>IF(SIGN(J27)=SIGN(J40),-SIGN(J27)*SQRT(J40*J27),-(J27+J40)/2)</f>
        <v>0.4645359789734237</v>
      </c>
      <c r="M13" t="s">
        <v>36</v>
      </c>
      <c r="N13">
        <f>R13-O13-P13-Q13</f>
        <v>1293</v>
      </c>
      <c r="O13">
        <f>O6-Q6</f>
        <v>4</v>
      </c>
      <c r="P13">
        <f>P6-Q6</f>
        <v>74</v>
      </c>
      <c r="Q13">
        <f>Q6</f>
        <v>13</v>
      </c>
      <c r="R13">
        <f>N6</f>
        <v>1384</v>
      </c>
      <c r="T13">
        <f>$H$1/R13</f>
        <v>0.0027756123151817733</v>
      </c>
      <c r="U13" s="46"/>
      <c r="V13" s="10" t="s">
        <v>76</v>
      </c>
      <c r="W13" s="40">
        <f>IF(SIGN(V27)=SIGN(V40),-SIGN(V27)*SQRT(V40*V27),-(V27+V40)/2)</f>
        <v>0.40443960081495617</v>
      </c>
    </row>
    <row r="15" spans="1:22" ht="12.75">
      <c r="A15" t="str">
        <f>A11</f>
        <v>ICE-GB</v>
      </c>
      <c r="B15" s="19">
        <f>B11/F11</f>
        <v>0.8440860215053764</v>
      </c>
      <c r="C15" s="19">
        <f>C11/F11</f>
        <v>0.021505376344086023</v>
      </c>
      <c r="D15" s="19">
        <f>D11/F11</f>
        <v>0.11290322580645161</v>
      </c>
      <c r="E15" s="19">
        <f>E11/F11</f>
        <v>0.021505376344086023</v>
      </c>
      <c r="F15" s="19">
        <f>C4*D4/F11^2</f>
        <v>0.005781015146259683</v>
      </c>
      <c r="G15" s="19"/>
      <c r="J15" s="19"/>
      <c r="M15" t="str">
        <f>M11</f>
        <v>ICE-GB</v>
      </c>
      <c r="N15" s="19">
        <f>N11/R11</f>
        <v>0.9152771518702119</v>
      </c>
      <c r="O15" s="19">
        <f>O11/R11</f>
        <v>0.00405588102748986</v>
      </c>
      <c r="P15" s="19">
        <f>P11/R11</f>
        <v>0.06849932401982875</v>
      </c>
      <c r="Q15" s="19">
        <f>Q11/R11</f>
        <v>0.01216764308246958</v>
      </c>
      <c r="R15" s="19">
        <f>O4*P4/R11^2</f>
        <v>0.0013087024856614422</v>
      </c>
      <c r="V15" s="19"/>
    </row>
    <row r="16" spans="1:21" ht="12.75">
      <c r="A16" t="str">
        <f>A12</f>
        <v> spoken</v>
      </c>
      <c r="B16" s="19">
        <f>B12/F12</f>
        <v>0.9108910891089109</v>
      </c>
      <c r="C16" s="19">
        <f>C12/F12</f>
        <v>0</v>
      </c>
      <c r="D16" s="19">
        <f>D12/F12</f>
        <v>0.06930693069306931</v>
      </c>
      <c r="E16" s="19">
        <f>E12/F12</f>
        <v>0.019801980198019802</v>
      </c>
      <c r="F16" s="19">
        <f>C5*D5/F12^2</f>
        <v>0.0017645328889324577</v>
      </c>
      <c r="G16" s="19"/>
      <c r="I16" s="44"/>
      <c r="M16" t="str">
        <f>M12</f>
        <v> spoken</v>
      </c>
      <c r="N16" s="19">
        <f>N12/R12</f>
        <v>0.8838323353293414</v>
      </c>
      <c r="O16" s="19">
        <f>O12/R12</f>
        <v>0.005988023952095809</v>
      </c>
      <c r="P16" s="19">
        <f>P12/R12</f>
        <v>0.09341317365269461</v>
      </c>
      <c r="Q16" s="19">
        <f>Q12/R12</f>
        <v>0.016766467065868262</v>
      </c>
      <c r="R16" s="19">
        <f>O5*P5/R12^2</f>
        <v>0.0025070816450930475</v>
      </c>
      <c r="U16" s="44"/>
    </row>
    <row r="17" spans="1:23" ht="12.75">
      <c r="A17" t="str">
        <f>A13</f>
        <v> written</v>
      </c>
      <c r="B17" s="19">
        <f>B13/F13</f>
        <v>0.7647058823529411</v>
      </c>
      <c r="C17" s="19">
        <f>C13/F13</f>
        <v>0.047058823529411764</v>
      </c>
      <c r="D17" s="19">
        <f>D13/F13</f>
        <v>0.16470588235294117</v>
      </c>
      <c r="E17" s="19">
        <f>E13/F13</f>
        <v>0.023529411764705882</v>
      </c>
      <c r="F17" s="19">
        <f>C6*D6/F13^2</f>
        <v>0.01328719723183391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0.9342485549132948</v>
      </c>
      <c r="O17" s="19">
        <f>O13/R13</f>
        <v>0.002890173410404624</v>
      </c>
      <c r="P17" s="19">
        <f>P13/R13</f>
        <v>0.05346820809248555</v>
      </c>
      <c r="Q17" s="19">
        <f>Q13/R13</f>
        <v>0.00939306358381503</v>
      </c>
      <c r="R17" s="19">
        <f>O6*P6/R13^2</f>
        <v>0.0007721398977580273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0.9751552795031055</v>
      </c>
      <c r="K18" s="19">
        <f>I4/I6</f>
        <v>0.84</v>
      </c>
      <c r="N18" s="19"/>
      <c r="O18" s="19"/>
      <c r="P18" s="19"/>
      <c r="Q18" s="19"/>
      <c r="R18" s="19"/>
      <c r="U18" t="s">
        <v>74</v>
      </c>
      <c r="V18" s="19">
        <f>T4/T6</f>
        <v>0.9955882352941177</v>
      </c>
      <c r="W18" s="19">
        <f>U4/U6</f>
        <v>0.8491620111731844</v>
      </c>
    </row>
    <row r="19" spans="1:23" ht="12.75">
      <c r="A19" t="s">
        <v>60</v>
      </c>
      <c r="B19" s="19">
        <f>(B15+H11/2)/(1+H11)</f>
        <v>0.8371234304290036</v>
      </c>
      <c r="C19" s="19">
        <f>(C15+H11/2)/(1+H11)</f>
        <v>0.0311877295596669</v>
      </c>
      <c r="D19" s="19">
        <f>(D15+H11/2)/(1+H11)</f>
        <v>0.12073614076737098</v>
      </c>
      <c r="E19" s="19">
        <f>(E15+H11/2)/(1+H11)</f>
        <v>0.0311877295596669</v>
      </c>
      <c r="F19" s="19"/>
      <c r="G19" s="19"/>
      <c r="I19" t="s">
        <v>62</v>
      </c>
      <c r="J19" s="19">
        <f>$H$1/H6</f>
        <v>0.023859922013736486</v>
      </c>
      <c r="K19" s="19">
        <f>$H$1/I6</f>
        <v>0.15365789776846298</v>
      </c>
      <c r="M19" t="s">
        <v>60</v>
      </c>
      <c r="N19" s="19">
        <f>(N15+T11/2)/(1+T11)</f>
        <v>0.914559482440606</v>
      </c>
      <c r="O19" s="19">
        <f>(O15+T11/2)/(1+T11)</f>
        <v>0.004912956672938713</v>
      </c>
      <c r="P19" s="19">
        <f>(P15+T11/2)/(1+T11)</f>
        <v>0.06924503045373813</v>
      </c>
      <c r="Q19" s="19">
        <f>(Q15+T11/2)/(1+T11)</f>
        <v>0.01301070022576661</v>
      </c>
      <c r="R19" s="19"/>
      <c r="U19" t="s">
        <v>62</v>
      </c>
      <c r="V19" s="19">
        <f>$H$1/T6</f>
        <v>0.0018830624726527325</v>
      </c>
      <c r="W19" s="19">
        <f>$H$1/U6</f>
        <v>0.021460600246992034</v>
      </c>
    </row>
    <row r="20" spans="2:23" ht="12.75">
      <c r="B20" s="19">
        <f>(B16+H12/2)/(1+H12)</f>
        <v>0.895835816956677</v>
      </c>
      <c r="C20" s="19">
        <f>(C16+H12/2)/(1+H12)</f>
        <v>0.018320270932236475</v>
      </c>
      <c r="D20" s="19">
        <f>(D16+H12/2)/(1+H12)</f>
        <v>0.08508775812974825</v>
      </c>
      <c r="E20" s="19">
        <f>(E16+H12/2)/(1+H12)</f>
        <v>0.03739669584581126</v>
      </c>
      <c r="F20" s="19"/>
      <c r="G20" s="19"/>
      <c r="I20" t="s">
        <v>60</v>
      </c>
      <c r="J20" s="19">
        <f>(J18+J19/2)/(1+J19)</f>
        <v>0.9640823117371037</v>
      </c>
      <c r="K20" s="19">
        <f>(K18+K19/2)/(1+K19)</f>
        <v>0.7947147509306414</v>
      </c>
      <c r="N20" s="19">
        <f>(N16+T12/2)/(1+T12)</f>
        <v>0.8820745874878999</v>
      </c>
      <c r="O20" s="19">
        <f>(O16+T12/2)/(1+T12)</f>
        <v>0.00825033591650949</v>
      </c>
      <c r="P20" s="19">
        <f>(P16+T12/2)/(1+T12)</f>
        <v>0.09527512495431507</v>
      </c>
      <c r="Q20" s="19">
        <f>(Q16+T12/2)/(1+T12)</f>
        <v>0.01897941949651292</v>
      </c>
      <c r="R20" s="19"/>
      <c r="U20" t="s">
        <v>60</v>
      </c>
      <c r="V20" s="19">
        <f>(V18+V19/2)/(1+V19)</f>
        <v>0.9946567657017809</v>
      </c>
      <c r="W20" s="19">
        <f>(W18+W19/2)/(1+W19)</f>
        <v>0.8418262154103213</v>
      </c>
    </row>
    <row r="21" spans="2:23" ht="12.75">
      <c r="B21" s="19">
        <f>(B17+H13/2)/(1+H13)</f>
        <v>0.753260169068373</v>
      </c>
      <c r="C21" s="19">
        <f>(C17+H13/2)/(1+H13)</f>
        <v>0.06664371070522837</v>
      </c>
      <c r="D21" s="19">
        <f>(D17+H13/2)/(1+H13)</f>
        <v>0.1792037858467275</v>
      </c>
      <c r="E21" s="19">
        <f>(E17+H13/2)/(1+H13)</f>
        <v>0.04413169567692855</v>
      </c>
      <c r="F21" s="19"/>
      <c r="G21" s="19"/>
      <c r="I21" t="s">
        <v>61</v>
      </c>
      <c r="J21" s="19">
        <f>$G$1*SQRT((J18*(1-J18)+J19/4)/H6)/(1+J19)</f>
        <v>0.026214590550376313</v>
      </c>
      <c r="K21" s="19">
        <f>$G$1*SQRT((K18*(1-K18)+K19/4)/I6)/(1+K19)</f>
        <v>0.14125065081822885</v>
      </c>
      <c r="N21" s="19">
        <f>(N17+T13/2)/(1+T13)</f>
        <v>0.9330465854775958</v>
      </c>
      <c r="O21" s="19">
        <f>(O17+T13/2)/(1+T13)</f>
        <v>0.004266138421654098</v>
      </c>
      <c r="P21" s="19">
        <f>(P17+T13/2)/(1+T13)</f>
        <v>0.054704176663636965</v>
      </c>
      <c r="Q21" s="19">
        <f>(Q17+T13/2)/(1+T13)</f>
        <v>0.01075102905276618</v>
      </c>
      <c r="R21" s="19"/>
      <c r="U21" t="s">
        <v>61</v>
      </c>
      <c r="V21" s="19">
        <f>$G$1*SQRT((V18*(1-V18)+V19/4)/T6)/(1+V19)</f>
        <v>0.0030204415837878215</v>
      </c>
      <c r="W21" s="19">
        <f>$G$1*SQRT((W18*(1-W18)+W19/4)/U6)/(1+W19)</f>
        <v>0.05239143502107395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0.9378677211867273</v>
      </c>
      <c r="K22" s="19">
        <f>K20-K21</f>
        <v>0.6534641001124125</v>
      </c>
      <c r="N22" s="19"/>
      <c r="O22" s="19"/>
      <c r="P22" s="19"/>
      <c r="Q22" s="19"/>
      <c r="R22" s="19"/>
      <c r="U22" t="s">
        <v>17</v>
      </c>
      <c r="V22" s="19">
        <f>V20-V21</f>
        <v>0.9916363241179931</v>
      </c>
      <c r="W22" s="19">
        <f>W20-W21</f>
        <v>0.7894347803892474</v>
      </c>
    </row>
    <row r="23" spans="1:23" ht="12.75">
      <c r="A23" t="s">
        <v>61</v>
      </c>
      <c r="B23" s="19">
        <f>$G$1*SQRT((B15*(1-B15)+H11/4)/F11)/(1+H11)</f>
        <v>0.0520721133677704</v>
      </c>
      <c r="C23" s="19">
        <f>$G$1*SQRT((C15*(1-C15)+H11/4)/$F11)/(1+H11)</f>
        <v>0.022793674226095198</v>
      </c>
      <c r="D23" s="19">
        <f>$G$1*SQRT((D15*(1-D15)+H11/4)/$F11)/(1+H11)</f>
        <v>0.04569481394871647</v>
      </c>
      <c r="E23" s="19">
        <f>$G$1*SQRT((E15*(1-E15)+H11/4)/$F11)/(1+H11)</f>
        <v>0.022793674226095198</v>
      </c>
      <c r="F23" s="19"/>
      <c r="G23" s="19"/>
      <c r="I23" t="s">
        <v>18</v>
      </c>
      <c r="J23" s="19">
        <f>J20+J21</f>
        <v>0.99029690228748</v>
      </c>
      <c r="K23" s="19">
        <f>K20+K21</f>
        <v>0.9359654017488702</v>
      </c>
      <c r="M23" t="s">
        <v>61</v>
      </c>
      <c r="N23" s="19">
        <f>$G$1*SQRT((N15*(1-N15)+T11/4)/R11)/(1+T11)</f>
        <v>0.01159852494766385</v>
      </c>
      <c r="O23" s="19">
        <f>$G$1*SQRT((O15*(1-O15)+T11/4)/$R11)/(1+T11)</f>
        <v>0.00277766107534316</v>
      </c>
      <c r="P23" s="19">
        <f>$G$1*SQRT((P15*(1-P15)+T11/4)/$R11)/(1+T11)</f>
        <v>0.010527378402683817</v>
      </c>
      <c r="Q23" s="19">
        <f>$G$1*SQRT((Q15*(1-Q15)+T11/4)/$R11)/(1+T11)</f>
        <v>0.0046349369336049035</v>
      </c>
      <c r="R23" s="19"/>
      <c r="U23" t="s">
        <v>18</v>
      </c>
      <c r="V23" s="19">
        <f>V20+V21</f>
        <v>0.9976772072855686</v>
      </c>
      <c r="W23" s="19">
        <f>W20+W21</f>
        <v>0.8942176504313952</v>
      </c>
    </row>
    <row r="24" spans="2:23" ht="12.75">
      <c r="B24" s="19">
        <f>$G$1*SQRT((B16*(1-B16)+H12/4)/F12)/(1+H12)</f>
        <v>0.056574901804895855</v>
      </c>
      <c r="C24" s="19">
        <f>$G$1*SQRT((C16*(1-C16)+H12/4)/$F12)/(1+H12)</f>
        <v>0.018320270932236475</v>
      </c>
      <c r="D24" s="19">
        <f>$G$1*SQRT((D16*(1-D16)+H12/4)/$F12)/(1+H12)</f>
        <v>0.05111239552005167</v>
      </c>
      <c r="E24" s="19">
        <f>$G$1*SQRT((E16*(1-E16)+H12/4)/$F12)/(1+H12)</f>
        <v>0.03194936418454204</v>
      </c>
      <c r="F24" s="19"/>
      <c r="G24" s="19"/>
      <c r="I24" t="s">
        <v>70</v>
      </c>
      <c r="J24" s="19">
        <f>-SQRT((J22-J18)^2+(K23-K18)^2)</f>
        <v>-0.10295494324227164</v>
      </c>
      <c r="K24" s="19">
        <f>SQRT((K22-K18)^2+(J23-J18)^2)</f>
        <v>0.18714943410926024</v>
      </c>
      <c r="N24" s="19">
        <f>$G$1*SQRT((N16*(1-N16)+T12/4)/R12)/(1+T12)</f>
        <v>0.021754911684097263</v>
      </c>
      <c r="O24" s="19">
        <f>$G$1*SQRT((O16*(1-O16)+T12/4)/$R12)/(1+T12)</f>
        <v>0.005689974978579301</v>
      </c>
      <c r="P24" s="19">
        <f>$G$1*SQRT((P16*(1-P16)+T12/4)/$R12)/(1+T12)</f>
        <v>0.019781025148354975</v>
      </c>
      <c r="Q24" s="19">
        <f>$G$1*SQRT((Q16*(1-Q16)+T12/4)/$R12)/(1+T12)</f>
        <v>0.008966119617429434</v>
      </c>
      <c r="R24" s="19"/>
      <c r="U24" t="s">
        <v>70</v>
      </c>
      <c r="V24" s="19">
        <f>-SQRT((V22-V18)^2+(W23-W18)^2)</f>
        <v>-0.04522862181086233</v>
      </c>
      <c r="W24" s="19">
        <f>SQRT((W22-W18)^2+(V23-V18)^2)</f>
        <v>0.059763750728169085</v>
      </c>
    </row>
    <row r="25" spans="2:23" ht="12.75">
      <c r="B25" s="19">
        <f>$G$1*SQRT((B17*(1-B17)+H13/4)/F13)/(1+H13)</f>
        <v>0.08894434800905852</v>
      </c>
      <c r="C25" s="19">
        <f>$G$1*SQRT((C17*(1-C17)+H13/4)/$F13)/(1+H13)</f>
        <v>0.04819342581250806</v>
      </c>
      <c r="D25" s="19">
        <f>$G$1*SQRT((D17*(1-D17)+H13/4)/$F13)/(1+H13)</f>
        <v>0.07847909129410335</v>
      </c>
      <c r="E25" s="19">
        <f>$G$1*SQRT((E17*(1-E17)+H13/4)/$F13)/(1+H13)</f>
        <v>0.03765517350998293</v>
      </c>
      <c r="F25" s="19"/>
      <c r="G25" s="19"/>
      <c r="J25" s="19"/>
      <c r="K25" s="19"/>
      <c r="N25" s="19">
        <f>$G$1*SQRT((N17*(1-N17)+T13/4)/R13)/(1+T13)</f>
        <v>0.0130947945358205</v>
      </c>
      <c r="O25" s="19">
        <f>$G$1*SQRT((O17*(1-O17)+T13/4)/$R13)/(1+T13)</f>
        <v>0.003141648530606026</v>
      </c>
      <c r="P25" s="19">
        <f>$G$1*SQRT((P17*(1-P17)+T13/4)/$R13)/(1+T13)</f>
        <v>0.011900031991743318</v>
      </c>
      <c r="Q25" s="19">
        <f>$G$1*SQRT((Q17*(1-Q17)+T13/4)/$R13)/(1+T13)</f>
        <v>0.005253493661081527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-0.13515527950310557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-0.1464262241209333</v>
      </c>
      <c r="W26" s="19"/>
    </row>
    <row r="27" spans="1:23" ht="12.75">
      <c r="A27" t="s">
        <v>17</v>
      </c>
      <c r="B27" s="19">
        <f aca="true" t="shared" si="0" ref="B27:E29">B19-B23</f>
        <v>0.7850513170612332</v>
      </c>
      <c r="C27" s="19">
        <f t="shared" si="0"/>
        <v>0.008394055333571702</v>
      </c>
      <c r="D27" s="19">
        <f t="shared" si="0"/>
        <v>0.07504132681865451</v>
      </c>
      <c r="E27" s="19">
        <f t="shared" si="0"/>
        <v>0.008394055333571702</v>
      </c>
      <c r="F27" s="19"/>
      <c r="G27" s="19"/>
      <c r="I27" t="s">
        <v>72</v>
      </c>
      <c r="J27" s="19">
        <f>J26-K24</f>
        <v>-0.3223047136123658</v>
      </c>
      <c r="K27" s="19"/>
      <c r="M27" t="s">
        <v>17</v>
      </c>
      <c r="N27" s="19">
        <f aca="true" t="shared" si="1" ref="N27:Q29">N19-N23</f>
        <v>0.9029609574929421</v>
      </c>
      <c r="O27" s="19">
        <f t="shared" si="1"/>
        <v>0.002135295597595553</v>
      </c>
      <c r="P27" s="19">
        <f t="shared" si="1"/>
        <v>0.05871765205105431</v>
      </c>
      <c r="Q27" s="19">
        <f t="shared" si="1"/>
        <v>0.008375763292161706</v>
      </c>
      <c r="R27" s="19"/>
      <c r="U27" t="s">
        <v>72</v>
      </c>
      <c r="V27" s="19">
        <f>V26-W24</f>
        <v>-0.2061899748491024</v>
      </c>
      <c r="W27" s="19"/>
    </row>
    <row r="28" spans="2:22" ht="12.75">
      <c r="B28" s="19">
        <f t="shared" si="0"/>
        <v>0.8392609151517811</v>
      </c>
      <c r="C28" s="19">
        <f t="shared" si="0"/>
        <v>0</v>
      </c>
      <c r="D28" s="19">
        <f t="shared" si="0"/>
        <v>0.03397536260969658</v>
      </c>
      <c r="E28" s="19">
        <f t="shared" si="0"/>
        <v>0.00544733166126922</v>
      </c>
      <c r="F28" s="19"/>
      <c r="G28" s="19"/>
      <c r="I28" t="s">
        <v>73</v>
      </c>
      <c r="J28" s="19">
        <f>J26-J24</f>
        <v>-0.032200336260833934</v>
      </c>
      <c r="N28" s="19">
        <f t="shared" si="1"/>
        <v>0.8603196758038026</v>
      </c>
      <c r="O28" s="19">
        <f t="shared" si="1"/>
        <v>0.0025603609379301895</v>
      </c>
      <c r="P28" s="19">
        <f t="shared" si="1"/>
        <v>0.0754940998059601</v>
      </c>
      <c r="Q28" s="19">
        <f t="shared" si="1"/>
        <v>0.010013299879083485</v>
      </c>
      <c r="R28" s="19"/>
      <c r="U28" t="s">
        <v>73</v>
      </c>
      <c r="V28" s="19">
        <f>V26-V24</f>
        <v>-0.10119760231007098</v>
      </c>
    </row>
    <row r="29" spans="2:18" ht="12.75">
      <c r="B29" s="19">
        <f t="shared" si="0"/>
        <v>0.6643158210593145</v>
      </c>
      <c r="C29" s="19">
        <f t="shared" si="0"/>
        <v>0.01845028489272031</v>
      </c>
      <c r="D29" s="19">
        <f t="shared" si="0"/>
        <v>0.10072469455262414</v>
      </c>
      <c r="E29" s="19">
        <f t="shared" si="0"/>
        <v>0.0064765221669456224</v>
      </c>
      <c r="F29" s="19"/>
      <c r="G29" s="19"/>
      <c r="N29" s="19">
        <f t="shared" si="1"/>
        <v>0.9199517909417753</v>
      </c>
      <c r="O29" s="19">
        <f t="shared" si="1"/>
        <v>0.001124489891048072</v>
      </c>
      <c r="P29" s="19">
        <f t="shared" si="1"/>
        <v>0.04280414467189365</v>
      </c>
      <c r="Q29" s="19">
        <f t="shared" si="1"/>
        <v>0.005497535391684654</v>
      </c>
      <c r="R29" s="19"/>
    </row>
    <row r="30" spans="2:23" ht="12.75">
      <c r="B30" s="19"/>
      <c r="C30" s="19"/>
      <c r="D30" s="19"/>
      <c r="E30" s="19"/>
      <c r="F30" s="19"/>
      <c r="G30" s="19"/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0.889195543796774</v>
      </c>
      <c r="C31" s="19">
        <f t="shared" si="2"/>
        <v>0.0539814037857621</v>
      </c>
      <c r="D31" s="19">
        <f t="shared" si="2"/>
        <v>0.16643095471608743</v>
      </c>
      <c r="E31" s="19">
        <f t="shared" si="2"/>
        <v>0.0539814037857621</v>
      </c>
      <c r="F31" s="19"/>
      <c r="G31" s="19">
        <f>D15-C15</f>
        <v>0.0913978494623656</v>
      </c>
      <c r="H31" t="str">
        <f>IF(G31&gt;G39,"s+",IF(G31&lt;G35,"s-","ns"))</f>
        <v>s+</v>
      </c>
      <c r="I31" t="s">
        <v>69</v>
      </c>
      <c r="J31" s="19">
        <f>H4/J4</f>
        <v>0.8820224719101124</v>
      </c>
      <c r="K31" s="19">
        <f>H5/J5</f>
        <v>0.5</v>
      </c>
      <c r="M31" t="s">
        <v>18</v>
      </c>
      <c r="N31" s="19">
        <f aca="true" t="shared" si="3" ref="N31:Q33">N19+N23</f>
        <v>0.9261580073882699</v>
      </c>
      <c r="O31" s="19">
        <f t="shared" si="3"/>
        <v>0.0076906177482818725</v>
      </c>
      <c r="P31" s="19">
        <f t="shared" si="3"/>
        <v>0.07977240885642195</v>
      </c>
      <c r="Q31" s="19">
        <f t="shared" si="3"/>
        <v>0.017645637159371515</v>
      </c>
      <c r="R31" s="19"/>
      <c r="S31" s="19">
        <f>P15-O15</f>
        <v>0.0644434429923389</v>
      </c>
      <c r="T31" t="str">
        <f>IF(S31&gt;S39,"s+",IF(S31&lt;S35,"s-","ns"))</f>
        <v>s+</v>
      </c>
      <c r="U31" t="s">
        <v>69</v>
      </c>
      <c r="V31" s="19">
        <f>T4/V4</f>
        <v>0.9303710490151168</v>
      </c>
      <c r="W31" s="19">
        <f>T5/V5</f>
        <v>0.25</v>
      </c>
    </row>
    <row r="32" spans="2:23" ht="12.75">
      <c r="B32" s="19">
        <f t="shared" si="2"/>
        <v>0.9524107187615729</v>
      </c>
      <c r="C32" s="19">
        <f t="shared" si="2"/>
        <v>0.03664054186447295</v>
      </c>
      <c r="D32" s="19">
        <f t="shared" si="2"/>
        <v>0.13620015364979993</v>
      </c>
      <c r="E32" s="19">
        <f t="shared" si="2"/>
        <v>0.0693460600303533</v>
      </c>
      <c r="F32" s="19"/>
      <c r="G32" s="19">
        <f>D16-C16</f>
        <v>0.06930693069306931</v>
      </c>
      <c r="H32" t="str">
        <f>IF(G32&gt;G40,"s+",IF(G32&lt;G36,"s-","ns"))</f>
        <v>s+</v>
      </c>
      <c r="I32" t="s">
        <v>62</v>
      </c>
      <c r="J32" s="19">
        <f>$H$1/J4</f>
        <v>0.021581165416918957</v>
      </c>
      <c r="K32" s="19">
        <f>$H$1/J5</f>
        <v>0.4801809305264468</v>
      </c>
      <c r="N32" s="19">
        <f t="shared" si="3"/>
        <v>0.9038294991719972</v>
      </c>
      <c r="O32" s="19">
        <f t="shared" si="3"/>
        <v>0.013940310895088792</v>
      </c>
      <c r="P32" s="19">
        <f t="shared" si="3"/>
        <v>0.11505615010267005</v>
      </c>
      <c r="Q32" s="19">
        <f t="shared" si="3"/>
        <v>0.027945539113942354</v>
      </c>
      <c r="R32" s="19"/>
      <c r="S32" s="19">
        <f>P16-O16</f>
        <v>0.0874251497005988</v>
      </c>
      <c r="T32" t="str">
        <f>IF(S32&gt;S40,"s+",IF(S32&lt;S36,"s-","ns"))</f>
        <v>s+</v>
      </c>
      <c r="U32" t="s">
        <v>62</v>
      </c>
      <c r="V32" s="19">
        <f>$H$1/V4</f>
        <v>0.0017597102355527139</v>
      </c>
      <c r="W32" s="19">
        <f>$H$1/V5</f>
        <v>0.10670687345032151</v>
      </c>
    </row>
    <row r="33" spans="2:23" ht="12.75">
      <c r="B33" s="19">
        <f t="shared" si="2"/>
        <v>0.8422045170774315</v>
      </c>
      <c r="C33" s="19">
        <f t="shared" si="2"/>
        <v>0.11483713651773643</v>
      </c>
      <c r="D33" s="19">
        <f t="shared" si="2"/>
        <v>0.2576828771408308</v>
      </c>
      <c r="E33" s="19">
        <f t="shared" si="2"/>
        <v>0.08178686918691148</v>
      </c>
      <c r="F33" s="19"/>
      <c r="G33" s="19">
        <f>D17-C17</f>
        <v>0.11764705882352941</v>
      </c>
      <c r="H33" t="str">
        <f>IF(G33&gt;G41,"s+",IF(G33&lt;G37,"s-","ns"))</f>
        <v>s+</v>
      </c>
      <c r="I33" t="s">
        <v>60</v>
      </c>
      <c r="J33" s="19">
        <f>(J31+J32/2)/(1+J32)</f>
        <v>0.8739521487303504</v>
      </c>
      <c r="K33" s="19">
        <f>(K31+K32/2)/(1+K32)</f>
        <v>0.5</v>
      </c>
      <c r="N33" s="19">
        <f t="shared" si="3"/>
        <v>0.9461413800134163</v>
      </c>
      <c r="O33" s="19">
        <f t="shared" si="3"/>
        <v>0.0074077869522601245</v>
      </c>
      <c r="P33" s="19">
        <f t="shared" si="3"/>
        <v>0.06660420865538028</v>
      </c>
      <c r="Q33" s="19">
        <f t="shared" si="3"/>
        <v>0.016004522713847707</v>
      </c>
      <c r="R33" s="19"/>
      <c r="S33" s="19">
        <f>P17-O17</f>
        <v>0.05057803468208093</v>
      </c>
      <c r="T33" t="str">
        <f>IF(S33&gt;S41,"s+",IF(S33&lt;S37,"s-","ns"))</f>
        <v>s+</v>
      </c>
      <c r="U33" t="s">
        <v>60</v>
      </c>
      <c r="V33" s="19">
        <f>(V31+V32/2)/(1+V32)</f>
        <v>0.9296150510125026</v>
      </c>
      <c r="W33" s="19">
        <f>(W31+W32/2)/(1+W32)</f>
        <v>0.2741045926455772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0.047575200890742186</v>
      </c>
      <c r="K34" s="19">
        <f>$G$1*SQRT((K31*(1-K31)+K32/4)/J5)/(1+K32)</f>
        <v>0.28478365289249785</v>
      </c>
      <c r="N34" s="19"/>
      <c r="O34" s="19"/>
      <c r="P34" s="19"/>
      <c r="Q34" s="19"/>
      <c r="R34" s="19"/>
      <c r="S34" s="19"/>
      <c r="U34" t="s">
        <v>61</v>
      </c>
      <c r="V34" s="19">
        <f>$G$1*SQRT((V31*(1-V31)+V32/4)/V4)/(1+V32)</f>
        <v>0.01069423458127741</v>
      </c>
      <c r="W34" s="19">
        <f>$G$1*SQRT((W31*(1-W31)+W32/4)/V5)/(1+W32)</f>
        <v>0.13659969205965336</v>
      </c>
    </row>
    <row r="35" spans="1:23" ht="12.75">
      <c r="A35" t="s">
        <v>30</v>
      </c>
      <c r="B35" s="19">
        <f aca="true" t="shared" si="4" ref="B35:E37">B15-B27</f>
        <v>0.05903470444414316</v>
      </c>
      <c r="C35" s="19">
        <f t="shared" si="4"/>
        <v>0.01311132101051432</v>
      </c>
      <c r="D35" s="19">
        <f t="shared" si="4"/>
        <v>0.0378618989877971</v>
      </c>
      <c r="E35" s="19">
        <f t="shared" si="4"/>
        <v>0.01311132101051432</v>
      </c>
      <c r="F35" s="19"/>
      <c r="G35" s="19">
        <f>-SQRT(C35^2+D39^2)</f>
        <v>-0.05511011250999418</v>
      </c>
      <c r="I35" t="s">
        <v>17</v>
      </c>
      <c r="J35" s="19">
        <f>J33-J34</f>
        <v>0.8263769478396082</v>
      </c>
      <c r="K35" s="19">
        <f>K33-K34</f>
        <v>0.21521634710750215</v>
      </c>
      <c r="M35" t="s">
        <v>30</v>
      </c>
      <c r="N35" s="19">
        <f aca="true" t="shared" si="5" ref="N35:Q37">N15-N27</f>
        <v>0.012316194377269718</v>
      </c>
      <c r="O35" s="19">
        <f t="shared" si="5"/>
        <v>0.001920585429894307</v>
      </c>
      <c r="P35" s="19">
        <f t="shared" si="5"/>
        <v>0.009781671968774441</v>
      </c>
      <c r="Q35" s="19">
        <f t="shared" si="5"/>
        <v>0.0037918797903078744</v>
      </c>
      <c r="R35" s="19"/>
      <c r="S35" s="19">
        <f>-SQRT(O35^2+P39^2)</f>
        <v>-0.011435518795688713</v>
      </c>
      <c r="U35" t="s">
        <v>17</v>
      </c>
      <c r="V35" s="19">
        <f>V33-V34</f>
        <v>0.9189208164312253</v>
      </c>
      <c r="W35" s="19">
        <f>W33-W34</f>
        <v>0.13750490058592382</v>
      </c>
    </row>
    <row r="36" spans="2:23" ht="12.75">
      <c r="B36" s="19">
        <f t="shared" si="4"/>
        <v>0.07163017395712978</v>
      </c>
      <c r="C36" s="19">
        <f t="shared" si="4"/>
        <v>0</v>
      </c>
      <c r="D36" s="19">
        <f t="shared" si="4"/>
        <v>0.03533156808337273</v>
      </c>
      <c r="E36" s="19">
        <f t="shared" si="4"/>
        <v>0.014354648536750583</v>
      </c>
      <c r="F36" s="19"/>
      <c r="G36" s="19">
        <f>-SQRT(C36^2+D40^2)</f>
        <v>-0.06689322295673061</v>
      </c>
      <c r="I36" t="s">
        <v>18</v>
      </c>
      <c r="J36" s="19">
        <f>J33+J34</f>
        <v>0.9215273496210926</v>
      </c>
      <c r="K36" s="19">
        <f>K33+K34</f>
        <v>0.7847836528924979</v>
      </c>
      <c r="N36" s="19">
        <f t="shared" si="5"/>
        <v>0.023512659525538715</v>
      </c>
      <c r="O36" s="19">
        <f t="shared" si="5"/>
        <v>0.0034276630141656193</v>
      </c>
      <c r="P36" s="19">
        <f t="shared" si="5"/>
        <v>0.01791907384673451</v>
      </c>
      <c r="Q36" s="19">
        <f t="shared" si="5"/>
        <v>0.006753167186784778</v>
      </c>
      <c r="R36" s="19"/>
      <c r="S36" s="19">
        <f>-SQRT(O36^2+P40^2)</f>
        <v>-0.02191272012674078</v>
      </c>
      <c r="U36" t="s">
        <v>18</v>
      </c>
      <c r="V36" s="19">
        <f>V33+V34</f>
        <v>0.94030928559378</v>
      </c>
      <c r="W36" s="19">
        <f>W33+W34</f>
        <v>0.41070428470523057</v>
      </c>
    </row>
    <row r="37" spans="2:23" ht="12.75">
      <c r="B37" s="19">
        <f t="shared" si="4"/>
        <v>0.1003900612936266</v>
      </c>
      <c r="C37" s="19">
        <f t="shared" si="4"/>
        <v>0.028608538636691452</v>
      </c>
      <c r="D37" s="19">
        <f t="shared" si="4"/>
        <v>0.06398118780031703</v>
      </c>
      <c r="E37" s="19">
        <f t="shared" si="4"/>
        <v>0.01705288959776026</v>
      </c>
      <c r="F37" s="19"/>
      <c r="G37" s="19">
        <f>-SQRT(C37^2+D41^2)</f>
        <v>-0.09727882628154148</v>
      </c>
      <c r="I37" t="s">
        <v>70</v>
      </c>
      <c r="J37" s="19">
        <f>-SQRT((J35-J31)^2+(K36-K31)^2)</f>
        <v>-0.2901691804859292</v>
      </c>
      <c r="K37" s="19">
        <f>SQRT((K35-K31)^2+(J36-J31)^2)</f>
        <v>0.2875106333994522</v>
      </c>
      <c r="N37" s="19">
        <f t="shared" si="5"/>
        <v>0.014296763971519577</v>
      </c>
      <c r="O37" s="19">
        <f t="shared" si="5"/>
        <v>0.0017656835193565522</v>
      </c>
      <c r="P37" s="19">
        <f t="shared" si="5"/>
        <v>0.010664063420591903</v>
      </c>
      <c r="Q37" s="19">
        <f t="shared" si="5"/>
        <v>0.0038955281921303755</v>
      </c>
      <c r="R37" s="19"/>
      <c r="S37" s="19">
        <f>-SQRT(O37^2+P41^2)</f>
        <v>-0.0132541370552329</v>
      </c>
      <c r="U37" t="s">
        <v>70</v>
      </c>
      <c r="V37" s="19">
        <f>-SQRT((V35-V31)^2+(W36-W31)^2)</f>
        <v>-0.16111168470612247</v>
      </c>
      <c r="W37" s="19">
        <f>SQRT((W35-W31)^2+(V36-V31)^2)</f>
        <v>0.11293323664216998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S38" s="19"/>
      <c r="V38" s="19"/>
      <c r="W38" s="19"/>
    </row>
    <row r="39" spans="1:23" ht="12.75">
      <c r="A39" t="s">
        <v>29</v>
      </c>
      <c r="B39" s="19">
        <f aca="true" t="shared" si="6" ref="B39:E41">B31-B15</f>
        <v>0.04510952229139764</v>
      </c>
      <c r="C39" s="19">
        <f t="shared" si="6"/>
        <v>0.032476027441676075</v>
      </c>
      <c r="D39" s="19">
        <f t="shared" si="6"/>
        <v>0.05352772890963582</v>
      </c>
      <c r="E39" s="19">
        <f t="shared" si="6"/>
        <v>0.032476027441676075</v>
      </c>
      <c r="F39" s="19"/>
      <c r="G39" s="19">
        <f>SQRT(D35^2+C39^2)</f>
        <v>0.04988201833681801</v>
      </c>
      <c r="I39" t="s">
        <v>71</v>
      </c>
      <c r="J39" s="19">
        <f>K31-J31</f>
        <v>-0.3820224719101124</v>
      </c>
      <c r="K39" s="19"/>
      <c r="M39" t="s">
        <v>29</v>
      </c>
      <c r="N39" s="19">
        <f aca="true" t="shared" si="7" ref="N39:Q41">N31-N15</f>
        <v>0.010880855518058064</v>
      </c>
      <c r="O39" s="19">
        <f t="shared" si="7"/>
        <v>0.0036347367207920124</v>
      </c>
      <c r="P39" s="19">
        <f t="shared" si="7"/>
        <v>0.0112730848365932</v>
      </c>
      <c r="Q39" s="19">
        <f t="shared" si="7"/>
        <v>0.005477994076901934</v>
      </c>
      <c r="R39" s="19"/>
      <c r="S39" s="19">
        <f>SQRT(P35^2+O39^2)</f>
        <v>0.010435152971288036</v>
      </c>
      <c r="U39" t="s">
        <v>71</v>
      </c>
      <c r="V39" s="19">
        <f>W31-V31</f>
        <v>-0.6803710490151168</v>
      </c>
      <c r="W39" s="19"/>
    </row>
    <row r="40" spans="2:23" ht="12.75">
      <c r="B40" s="19">
        <f t="shared" si="6"/>
        <v>0.04151962965266198</v>
      </c>
      <c r="C40" s="19">
        <f t="shared" si="6"/>
        <v>0.03664054186447295</v>
      </c>
      <c r="D40" s="19">
        <f t="shared" si="6"/>
        <v>0.06689322295673061</v>
      </c>
      <c r="E40" s="19">
        <f t="shared" si="6"/>
        <v>0.0495440798323335</v>
      </c>
      <c r="F40" s="19"/>
      <c r="G40" s="19">
        <f>SQRT(D36^2+C40^2)</f>
        <v>0.05090038321419789</v>
      </c>
      <c r="I40" t="s">
        <v>72</v>
      </c>
      <c r="J40" s="19">
        <f>J39-K37</f>
        <v>-0.6695331053095646</v>
      </c>
      <c r="K40" s="19"/>
      <c r="N40" s="19">
        <f t="shared" si="7"/>
        <v>0.01999716384265582</v>
      </c>
      <c r="O40" s="19">
        <f t="shared" si="7"/>
        <v>0.007952286942992983</v>
      </c>
      <c r="P40" s="19">
        <f t="shared" si="7"/>
        <v>0.02164297644997544</v>
      </c>
      <c r="Q40" s="19">
        <f t="shared" si="7"/>
        <v>0.011179072048074092</v>
      </c>
      <c r="R40" s="19"/>
      <c r="S40" s="19">
        <f>SQRT(P36^2+O40^2)</f>
        <v>0.01960438918070189</v>
      </c>
      <c r="U40" t="s">
        <v>72</v>
      </c>
      <c r="V40" s="19">
        <f>V39-W37</f>
        <v>-0.7933042856572867</v>
      </c>
      <c r="W40" s="19"/>
    </row>
    <row r="41" spans="2:23" ht="12.75">
      <c r="B41" s="19">
        <f t="shared" si="6"/>
        <v>0.07749863472449037</v>
      </c>
      <c r="C41" s="19">
        <f t="shared" si="6"/>
        <v>0.06777831298832467</v>
      </c>
      <c r="D41" s="19">
        <f t="shared" si="6"/>
        <v>0.09297699478788965</v>
      </c>
      <c r="E41" s="19">
        <f t="shared" si="6"/>
        <v>0.0582574574222056</v>
      </c>
      <c r="F41" s="19"/>
      <c r="G41" s="19">
        <f>SQRT(D37^2+C41^2)</f>
        <v>0.09320671705345455</v>
      </c>
      <c r="I41" t="s">
        <v>73</v>
      </c>
      <c r="J41" s="19">
        <f>J39-J37</f>
        <v>-0.09185329142418319</v>
      </c>
      <c r="K41" s="19"/>
      <c r="N41" s="19">
        <f t="shared" si="7"/>
        <v>0.011892825100121462</v>
      </c>
      <c r="O41" s="19">
        <f t="shared" si="7"/>
        <v>0.0045176135418555</v>
      </c>
      <c r="P41" s="19">
        <f t="shared" si="7"/>
        <v>0.013136000562894726</v>
      </c>
      <c r="Q41" s="19">
        <f t="shared" si="7"/>
        <v>0.006611459130032677</v>
      </c>
      <c r="R41" s="19"/>
      <c r="S41" s="19">
        <f>SQRT(P37^2+O41^2)</f>
        <v>0.01158149734498793</v>
      </c>
      <c r="U41" t="s">
        <v>73</v>
      </c>
      <c r="V41" s="19">
        <f>V39-V37</f>
        <v>-0.5192593643089943</v>
      </c>
      <c r="W41" s="19"/>
    </row>
    <row r="42" spans="14:18" ht="12.75">
      <c r="N42" s="19"/>
      <c r="O42" s="19"/>
      <c r="P42" s="19"/>
      <c r="Q42" s="19"/>
      <c r="R42" s="19"/>
    </row>
    <row r="43" spans="8:20" ht="12.75">
      <c r="H43" s="3" t="s">
        <v>86</v>
      </c>
      <c r="T43" s="3" t="s">
        <v>86</v>
      </c>
    </row>
    <row r="44" spans="2:20" ht="12.75">
      <c r="B44" t="s">
        <v>83</v>
      </c>
      <c r="H44" t="s">
        <v>78</v>
      </c>
      <c r="N44" t="s">
        <v>83</v>
      </c>
      <c r="T44" t="s">
        <v>78</v>
      </c>
    </row>
    <row r="45" spans="1:23" ht="12.75">
      <c r="A45" t="s">
        <v>49</v>
      </c>
      <c r="B45" s="19">
        <f>D15/C15</f>
        <v>5.249999999999999</v>
      </c>
      <c r="C45" s="19">
        <f>EXP(B49-D49)</f>
        <v>1.9180506026772959</v>
      </c>
      <c r="D45" s="19">
        <f>EXP(B49-C49)</f>
        <v>14.525358221621767</v>
      </c>
      <c r="H45" s="19">
        <f>G31-CLu!G31</f>
        <v>0.008064516129032265</v>
      </c>
      <c r="I45" s="19">
        <f>-SQRT(G39^2+CLu!G35^2)</f>
        <v>-0.08810545428872765</v>
      </c>
      <c r="J45" s="19">
        <f>SQRT(CLu!G39^2+G35^2)</f>
        <v>0.08448309559013908</v>
      </c>
      <c r="K45" s="19" t="str">
        <f>IF(H45&gt;J45,"s+",IF(H45&lt;I45,"s-","ns"))</f>
        <v>ns</v>
      </c>
      <c r="M45" t="s">
        <v>49</v>
      </c>
      <c r="N45" s="19">
        <f>P15/O15</f>
        <v>16.88888888888889</v>
      </c>
      <c r="O45" s="19">
        <f>EXP(N49-P49)</f>
        <v>8.7454290735946</v>
      </c>
      <c r="P45" s="19">
        <f>EXP(N49-O49)</f>
        <v>32.65704642738606</v>
      </c>
      <c r="T45" s="19">
        <f>S31-CLu!S31</f>
        <v>-0.00021382487348511892</v>
      </c>
      <c r="U45" s="19">
        <f>-SQRT(S39^2+CLu!S35^2)</f>
        <v>-0.015737003332788064</v>
      </c>
      <c r="V45" s="19">
        <f>SQRT(CLu!S39^2+S35^2)</f>
        <v>0.015613502504752151</v>
      </c>
      <c r="W45" s="19" t="str">
        <f>IF(T45&gt;V45,"s+",IF(T45&lt;U45,"s-","ns"))</f>
        <v>ns</v>
      </c>
    </row>
    <row r="46" spans="1:23" ht="12.75">
      <c r="A46" t="s">
        <v>85</v>
      </c>
      <c r="B46" s="19" t="e">
        <f>D16/C16</f>
        <v>#DIV/0!</v>
      </c>
      <c r="C46" s="19" t="e">
        <f>EXP(B50-D50)</f>
        <v>#DIV/0!</v>
      </c>
      <c r="D46" s="19" t="e">
        <f>EXP(B50-C50)</f>
        <v>#DIV/0!</v>
      </c>
      <c r="H46" s="19">
        <f>G32-CLu!G32</f>
        <v>0.009306930693069315</v>
      </c>
      <c r="I46" s="19">
        <f>-SQRT(G40^2+CLu!G36^2)</f>
        <v>-0.11414772808260336</v>
      </c>
      <c r="J46" s="19">
        <f>SQRT(CLu!G40^2+G36^2)</f>
        <v>0.10543402376208201</v>
      </c>
      <c r="K46" s="19" t="str">
        <f>IF(H46&gt;J46,"s+",IF(H46&lt;I46,"s-","ns"))</f>
        <v>ns</v>
      </c>
      <c r="M46" t="s">
        <v>85</v>
      </c>
      <c r="N46" s="19">
        <f>P16/O16</f>
        <v>15.599999999999998</v>
      </c>
      <c r="O46" s="19">
        <f>EXP(N50-P50)</f>
        <v>6.526179029180889</v>
      </c>
      <c r="P46" s="19">
        <f>EXP(N50-O50)</f>
        <v>37.41482345085548</v>
      </c>
      <c r="T46" s="19">
        <f>S32-CLu!S32</f>
        <v>-0.0015522739381794298</v>
      </c>
      <c r="U46" s="19">
        <f>-SQRT(S40^2+CLu!S36^2)</f>
        <v>-0.030226755576376604</v>
      </c>
      <c r="V46" s="19">
        <f>SQRT(CLu!S40^2+S36^2)</f>
        <v>0.029824514545351326</v>
      </c>
      <c r="W46" s="19" t="str">
        <f>IF(T46&gt;V46,"s+",IF(T46&lt;U46,"s-","ns"))</f>
        <v>ns</v>
      </c>
    </row>
    <row r="47" spans="2:23" ht="12.75">
      <c r="B47" s="19">
        <f>D17/C17</f>
        <v>3.5</v>
      </c>
      <c r="C47" s="19">
        <f>EXP(B51-D51)</f>
        <v>1.2637486858143443</v>
      </c>
      <c r="D47" s="19">
        <f>EXP(B51-C51)</f>
        <v>9.88040821130192</v>
      </c>
      <c r="H47" s="19">
        <f>G33-CLu!G33</f>
        <v>0.014198782961460446</v>
      </c>
      <c r="I47" s="19">
        <f>-SQRT(G41^2+CLu!G37^2)</f>
        <v>-0.14732660051832844</v>
      </c>
      <c r="J47" s="19">
        <f>SQRT(CLu!G41^2+G37^2)</f>
        <v>0.14395216322805965</v>
      </c>
      <c r="K47" s="19" t="str">
        <f>IF(H47&gt;J47,"s+",IF(H47&lt;I47,"s-","ns"))</f>
        <v>ns</v>
      </c>
      <c r="N47" s="19">
        <f>P17/O17</f>
        <v>18.5</v>
      </c>
      <c r="O47" s="19">
        <f>EXP(N51-P51)</f>
        <v>7.033080883026043</v>
      </c>
      <c r="P47" s="19">
        <f>EXP(N51-O51)</f>
        <v>48.76350890045469</v>
      </c>
      <c r="T47" s="19">
        <f>S33-CLu!S33</f>
        <v>-3.5462250434409315E-05</v>
      </c>
      <c r="U47" s="19">
        <f>-SQRT(S41^2+CLu!S37^2)</f>
        <v>-0.017864281510724393</v>
      </c>
      <c r="V47" s="19">
        <f>SQRT(CLu!S41^2+S37^2)</f>
        <v>0.01771992706764365</v>
      </c>
      <c r="W47" s="19" t="str">
        <f>IF(T47&gt;V47,"s+",IF(T47&lt;U47,"s-","ns"))</f>
        <v>ns</v>
      </c>
    </row>
    <row r="48" spans="8:23" ht="12.75">
      <c r="H48" s="19"/>
      <c r="I48" s="19"/>
      <c r="J48" s="19"/>
      <c r="K48" s="19"/>
      <c r="T48" s="19"/>
      <c r="U48" s="19"/>
      <c r="V48" s="19"/>
      <c r="W48" s="19"/>
    </row>
    <row r="49" spans="1:23" ht="12.75">
      <c r="A49" t="s">
        <v>84</v>
      </c>
      <c r="B49" s="19">
        <f>LN(B45)</f>
        <v>1.6582280766035322</v>
      </c>
      <c r="C49" s="19">
        <f>-SQRT((LN(D31)-LN(D15))^2+(LN(C27)-LN(C15))^2)</f>
        <v>-1.0176678882483523</v>
      </c>
      <c r="D49" s="19">
        <f>SQRT((LN(C31)-LN(C15))^2+(LN(D27)-LN(D15))^2)</f>
        <v>1.0069187174468837</v>
      </c>
      <c r="H49" s="19" t="s">
        <v>79</v>
      </c>
      <c r="I49" s="19"/>
      <c r="J49" s="19"/>
      <c r="K49" s="19"/>
      <c r="M49" t="s">
        <v>84</v>
      </c>
      <c r="N49" s="19">
        <f>LN(N45)</f>
        <v>2.826655943510057</v>
      </c>
      <c r="O49" s="19">
        <f>-SQRT((LN(P31)-LN(P15))^2+(LN(O27)-LN(O15))^2)</f>
        <v>-0.6594047059987778</v>
      </c>
      <c r="P49" s="19">
        <f>SQRT((LN(O31)-LN(O15))^2+(LN(P27)-LN(P15))^2)</f>
        <v>0.658124771223746</v>
      </c>
      <c r="T49" s="19" t="s">
        <v>79</v>
      </c>
      <c r="U49" s="19"/>
      <c r="V49" s="19"/>
      <c r="W49" s="19"/>
    </row>
    <row r="50" spans="2:23" ht="12.75">
      <c r="B50" s="19" t="e">
        <f>LN(B46)</f>
        <v>#DIV/0!</v>
      </c>
      <c r="C50" s="19" t="e">
        <f>-SQRT((LN(D32)-LN(D16))^2+(LN(C28)-LN(C16))^2)</f>
        <v>#NUM!</v>
      </c>
      <c r="D50" s="19" t="e">
        <f>SQRT((LN(C32)-LN(C16))^2+(LN(D28)-LN(D16))^2)</f>
        <v>#NUM!</v>
      </c>
      <c r="H50" s="19">
        <f>J26-CLu!J26</f>
        <v>0.057853839037927846</v>
      </c>
      <c r="I50" s="19">
        <f>-SQRT(K37^2+CLu!J37^2)</f>
        <v>-0.47387720339280454</v>
      </c>
      <c r="J50" s="19">
        <f>SQRT(J37^2+CLu!K37^2)</f>
        <v>0.4075071526702344</v>
      </c>
      <c r="K50" s="19" t="str">
        <f>IF(H50&gt;J50,"s+",IF(H50&lt;I50,"s-","ns"))</f>
        <v>ns</v>
      </c>
      <c r="N50" s="19">
        <f>LN(N46)</f>
        <v>2.747270914255491</v>
      </c>
      <c r="O50" s="19">
        <f>-SQRT((LN(P32)-LN(P16))^2+(LN(O28)-LN(O16))^2)</f>
        <v>-0.874796060592852</v>
      </c>
      <c r="P50" s="19">
        <f>SQRT((LN(O32)-LN(O16))^2+(LN(P28)-LN(P16))^2)</f>
        <v>0.8714492832426124</v>
      </c>
      <c r="T50" s="19">
        <f>V26-CLu!V26</f>
        <v>-0.007617142391886822</v>
      </c>
      <c r="U50" s="19">
        <f>-SQRT(W37^2+CLu!V37^2)</f>
        <v>-0.21029589049432676</v>
      </c>
      <c r="V50" s="19">
        <f>SQRT(V37^2+CLu!W37^2)</f>
        <v>0.19447196472584144</v>
      </c>
      <c r="W50" s="19" t="str">
        <f>IF(T50&gt;V50,"s+",IF(T50&lt;U50,"s-","ns"))</f>
        <v>ns</v>
      </c>
    </row>
    <row r="51" spans="2:23" ht="12.75">
      <c r="B51" s="19">
        <f>LN(B47)</f>
        <v>1.252762968495368</v>
      </c>
      <c r="C51" s="19">
        <f>-SQRT((LN(D33)-LN(D17))^2+(LN(C29)-LN(C17))^2)</f>
        <v>-1.03779085934428</v>
      </c>
      <c r="D51" s="19">
        <f>SQRT((LN(C33)-LN(C17))^2+(LN(D29)-LN(D17))^2)</f>
        <v>1.0186805170528845</v>
      </c>
      <c r="H51" s="19"/>
      <c r="I51" s="19"/>
      <c r="J51" s="19"/>
      <c r="K51" s="19"/>
      <c r="N51" s="19">
        <f>LN(N47)</f>
        <v>2.917770732084279</v>
      </c>
      <c r="O51" s="19">
        <f>-SQRT((LN(P33)-LN(P17))^2+(LN(O29)-LN(O17))^2)</f>
        <v>-0.9692115326232505</v>
      </c>
      <c r="P51" s="19">
        <f>SQRT((LN(O33)-LN(O17))^2+(LN(P29)-LN(P17))^2)</f>
        <v>0.967145874323171</v>
      </c>
      <c r="T51" s="19"/>
      <c r="U51" s="19"/>
      <c r="V51" s="19"/>
      <c r="W51" s="19"/>
    </row>
    <row r="52" spans="8:23" ht="12.75">
      <c r="H52" s="19" t="s">
        <v>49</v>
      </c>
      <c r="I52" s="19"/>
      <c r="J52" s="19"/>
      <c r="K52" s="19"/>
      <c r="T52" s="19" t="s">
        <v>49</v>
      </c>
      <c r="U52" s="19"/>
      <c r="V52" s="19"/>
      <c r="W52" s="19"/>
    </row>
    <row r="53" spans="8:23" ht="12.75">
      <c r="H53" s="19">
        <f>B45-CLu!B45</f>
        <v>-0.2500000000000009</v>
      </c>
      <c r="I53" s="19">
        <f>-SQRT((CLu!B45-CLu!C45)^2+(D45-B45)^2)</f>
        <v>-10.146358092252406</v>
      </c>
      <c r="J53" s="19">
        <f>SQRT((B45-C45)^2+(CLu!D45-CLu!B45)^2)</f>
        <v>17.03981474909684</v>
      </c>
      <c r="K53" s="19" t="str">
        <f>IF(H53&gt;J53,"s+",IF(H53&lt;I53,"s-","ns"))</f>
        <v>ns</v>
      </c>
      <c r="T53" s="19">
        <f>N45-CLu!N45</f>
        <v>-6.277777777777779</v>
      </c>
      <c r="U53" s="19">
        <f>-SQRT((CLu!N45-CLu!O45)^2+(P45-N45)^2)</f>
        <v>-20.24568049946347</v>
      </c>
      <c r="V53" s="19">
        <f>SQRT((N45-O45)^2+(CLu!P45-CLu!N45)^2)</f>
        <v>29.330329484462283</v>
      </c>
      <c r="W53" s="19" t="str">
        <f>IF(T53&gt;V53,"s+",IF(T53&lt;U53,"s-","ns"))</f>
        <v>ns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B4" sqref="B4"/>
    </sheetView>
  </sheetViews>
  <sheetFormatPr defaultColWidth="9.140625" defaultRowHeight="12.75"/>
  <cols>
    <col min="10" max="10" width="10.140625" style="0" customWidth="1"/>
    <col min="22" max="22" width="10.421875" style="0" customWidth="1"/>
  </cols>
  <sheetData>
    <row r="1" spans="1:13" ht="12.75">
      <c r="A1" s="3" t="s">
        <v>51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186</v>
      </c>
      <c r="C4">
        <f>SUM(C5:C6)</f>
        <v>34</v>
      </c>
      <c r="D4">
        <f>SUM(D5:D6)</f>
        <v>46</v>
      </c>
      <c r="E4">
        <f>SUM(E5:E6)</f>
        <v>13</v>
      </c>
      <c r="G4" s="45" t="s">
        <v>57</v>
      </c>
      <c r="H4" s="44">
        <f>J4-I4</f>
        <v>119</v>
      </c>
      <c r="I4" s="44">
        <f>I6-I5</f>
        <v>33</v>
      </c>
      <c r="J4" s="44">
        <f>J6-J5</f>
        <v>152</v>
      </c>
      <c r="M4" t="s">
        <v>34</v>
      </c>
      <c r="N4">
        <f>SUM(N5:N6)</f>
        <v>2219</v>
      </c>
      <c r="O4">
        <v>397</v>
      </c>
      <c r="P4">
        <v>299</v>
      </c>
      <c r="Q4">
        <v>133</v>
      </c>
      <c r="S4" s="45" t="s">
        <v>57</v>
      </c>
      <c r="T4" s="44">
        <f>V4-U4</f>
        <v>1656</v>
      </c>
      <c r="U4" s="44">
        <f>U6-U5</f>
        <v>166</v>
      </c>
      <c r="V4" s="44">
        <f>V6-V5</f>
        <v>1822</v>
      </c>
    </row>
    <row r="5" spans="1:23" ht="12.75">
      <c r="A5" t="s">
        <v>35</v>
      </c>
      <c r="B5">
        <v>101</v>
      </c>
      <c r="C5">
        <v>16</v>
      </c>
      <c r="D5">
        <v>25</v>
      </c>
      <c r="E5">
        <v>4</v>
      </c>
      <c r="G5" s="45" t="s">
        <v>58</v>
      </c>
      <c r="H5" s="44">
        <f>J5-I5</f>
        <v>21</v>
      </c>
      <c r="I5" s="44">
        <f>E4</f>
        <v>13</v>
      </c>
      <c r="J5" s="44">
        <f>C4</f>
        <v>34</v>
      </c>
      <c r="K5" s="19">
        <f>I5/J5</f>
        <v>0.38235294117647056</v>
      </c>
      <c r="M5" t="s">
        <v>35</v>
      </c>
      <c r="N5">
        <v>835</v>
      </c>
      <c r="O5">
        <v>130</v>
      </c>
      <c r="P5">
        <v>98</v>
      </c>
      <c r="Q5">
        <v>43</v>
      </c>
      <c r="S5" s="45" t="s">
        <v>58</v>
      </c>
      <c r="T5" s="44">
        <f>V5-U5</f>
        <v>264</v>
      </c>
      <c r="U5" s="44">
        <f>Q4</f>
        <v>133</v>
      </c>
      <c r="V5" s="44">
        <f>O4</f>
        <v>397</v>
      </c>
      <c r="W5" s="19">
        <f>U5/V5</f>
        <v>0.3350125944584383</v>
      </c>
    </row>
    <row r="6" spans="1:23" ht="12.75">
      <c r="A6" t="s">
        <v>36</v>
      </c>
      <c r="B6">
        <v>85</v>
      </c>
      <c r="C6">
        <v>18</v>
      </c>
      <c r="D6">
        <v>21</v>
      </c>
      <c r="E6">
        <v>9</v>
      </c>
      <c r="G6" t="s">
        <v>56</v>
      </c>
      <c r="H6" s="44">
        <f>J6-I6</f>
        <v>140</v>
      </c>
      <c r="I6" s="44">
        <f>D4</f>
        <v>46</v>
      </c>
      <c r="J6" s="44">
        <f>B4</f>
        <v>186</v>
      </c>
      <c r="K6" s="19">
        <f>I6/J6</f>
        <v>0.24731182795698925</v>
      </c>
      <c r="M6" t="s">
        <v>36</v>
      </c>
      <c r="N6">
        <v>1384</v>
      </c>
      <c r="O6">
        <v>267</v>
      </c>
      <c r="P6">
        <v>201</v>
      </c>
      <c r="Q6">
        <v>90</v>
      </c>
      <c r="S6" t="s">
        <v>56</v>
      </c>
      <c r="T6" s="44">
        <f>V6-U6</f>
        <v>1920</v>
      </c>
      <c r="U6" s="44">
        <f>P4</f>
        <v>299</v>
      </c>
      <c r="V6" s="44">
        <f>N4</f>
        <v>2219</v>
      </c>
      <c r="W6" s="19">
        <f>U6/V6</f>
        <v>0.13474538080216314</v>
      </c>
    </row>
    <row r="7" spans="9:22" ht="12.75">
      <c r="I7" s="19">
        <f>I5/I6</f>
        <v>0.2826086956521739</v>
      </c>
      <c r="J7" s="19">
        <f>J5/J6</f>
        <v>0.1827956989247312</v>
      </c>
      <c r="U7" s="19">
        <f>U5/U6</f>
        <v>0.44481605351170567</v>
      </c>
      <c r="V7" s="19">
        <f>V5/V6</f>
        <v>0.17890941865705273</v>
      </c>
    </row>
    <row r="8" spans="2:21" ht="12.75">
      <c r="B8">
        <f>AJPu!B4/B4</f>
        <v>0.5806451612903226</v>
      </c>
      <c r="C8">
        <f>AJPu!C4/C4</f>
        <v>0.5588235294117647</v>
      </c>
      <c r="D8">
        <f>AJPu!D4/D4</f>
        <v>0.43478260869565216</v>
      </c>
      <c r="E8">
        <f>AJPu!E4/E4</f>
        <v>0.5384615384615384</v>
      </c>
      <c r="I8" s="46">
        <f>I5/(I6*J5/J6)</f>
        <v>1.5460358056265986</v>
      </c>
      <c r="N8">
        <f>AJPu!N4/N4</f>
        <v>0.9269941415051826</v>
      </c>
      <c r="O8">
        <f>AJPu!O4/O4</f>
        <v>0.9319899244332494</v>
      </c>
      <c r="P8">
        <f>AJPu!P4/P4</f>
        <v>0.8929765886287625</v>
      </c>
      <c r="Q8">
        <f>AJPu!Q4/Q4</f>
        <v>0.8796992481203008</v>
      </c>
      <c r="U8" s="46">
        <f>U5/(U6*V5/V6)</f>
        <v>2.4862640371346973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119</v>
      </c>
      <c r="C11">
        <f>C4-E4</f>
        <v>21</v>
      </c>
      <c r="D11">
        <f>D4-E4</f>
        <v>33</v>
      </c>
      <c r="E11">
        <f>E4</f>
        <v>13</v>
      </c>
      <c r="F11">
        <f>B4</f>
        <v>186</v>
      </c>
      <c r="H11">
        <f>$H$1/F11</f>
        <v>0.020652943248449324</v>
      </c>
      <c r="I11" s="44"/>
      <c r="J11" s="7" t="s">
        <v>68</v>
      </c>
      <c r="K11" s="40">
        <f>(H4*I5-H5*I4)/SQRT(J4*J5*H6*I6)</f>
        <v>0.14803134479424873</v>
      </c>
      <c r="M11" t="s">
        <v>34</v>
      </c>
      <c r="N11">
        <f>R11-O11-P11-Q11</f>
        <v>1656</v>
      </c>
      <c r="O11">
        <f>O4-Q4</f>
        <v>264</v>
      </c>
      <c r="P11">
        <f>P4-Q4</f>
        <v>166</v>
      </c>
      <c r="Q11">
        <f>Q4</f>
        <v>133</v>
      </c>
      <c r="R11">
        <f>N4</f>
        <v>2219</v>
      </c>
      <c r="T11">
        <f>$H$1/R11</f>
        <v>0.001731161534119682</v>
      </c>
      <c r="U11" s="44"/>
      <c r="V11" s="7" t="s">
        <v>68</v>
      </c>
      <c r="W11" s="40">
        <f>(T4*U5-T5*U4)/SQRT(V4*V5*T6*U6)</f>
        <v>0.2737801872866652</v>
      </c>
    </row>
    <row r="12" spans="1:23" ht="12.75">
      <c r="A12" t="s">
        <v>35</v>
      </c>
      <c r="B12">
        <f>F12-C12-D12-E12</f>
        <v>64</v>
      </c>
      <c r="C12">
        <f>C5-E5</f>
        <v>12</v>
      </c>
      <c r="D12">
        <f>D5-E5</f>
        <v>21</v>
      </c>
      <c r="E12">
        <f>E5</f>
        <v>4</v>
      </c>
      <c r="F12">
        <f>B5</f>
        <v>101</v>
      </c>
      <c r="H12">
        <f>$H$1/F12</f>
        <v>0.03803413311100569</v>
      </c>
      <c r="I12" s="19"/>
      <c r="J12" s="10" t="s">
        <v>75</v>
      </c>
      <c r="K12" s="40">
        <f>IF(SIGN(J28)=SIGN(J41),-SIGN(J28)*SQRT(J28*J41),-(J28+J41)/2)</f>
        <v>0.004150391797420231</v>
      </c>
      <c r="M12" t="s">
        <v>35</v>
      </c>
      <c r="N12">
        <f>R12-O12-P12-Q12</f>
        <v>650</v>
      </c>
      <c r="O12">
        <f>O5-Q5</f>
        <v>87</v>
      </c>
      <c r="P12">
        <f>P5-Q5</f>
        <v>55</v>
      </c>
      <c r="Q12">
        <f>Q5</f>
        <v>43</v>
      </c>
      <c r="R12">
        <f>N5</f>
        <v>835</v>
      </c>
      <c r="T12">
        <f>$H$1/R12</f>
        <v>0.004600535861331227</v>
      </c>
      <c r="U12" s="19"/>
      <c r="V12" s="10" t="s">
        <v>75</v>
      </c>
      <c r="W12" s="40">
        <f>IF(SIGN(V28)=SIGN(V41),-SIGN(V28)*SQRT(V28*V41),-(V28+V41)/2)</f>
        <v>0.221853176172444</v>
      </c>
    </row>
    <row r="13" spans="1:23" ht="12.75">
      <c r="A13" t="s">
        <v>36</v>
      </c>
      <c r="B13">
        <f>F13-C13-D13-E13</f>
        <v>55</v>
      </c>
      <c r="C13">
        <f>C6-E6</f>
        <v>9</v>
      </c>
      <c r="D13">
        <f>D6-E6</f>
        <v>12</v>
      </c>
      <c r="E13">
        <f>E6</f>
        <v>9</v>
      </c>
      <c r="F13">
        <f>B6</f>
        <v>85</v>
      </c>
      <c r="H13">
        <f>$H$1/F13</f>
        <v>0.04519349934366558</v>
      </c>
      <c r="I13" s="46"/>
      <c r="J13" s="10" t="s">
        <v>76</v>
      </c>
      <c r="K13" s="40">
        <f>IF(SIGN(J27)=SIGN(J40),-SIGN(J27)*SQRT(J40*J27),-(J27+J40)/2)</f>
        <v>0.3117343361515803</v>
      </c>
      <c r="M13" t="s">
        <v>36</v>
      </c>
      <c r="N13">
        <f>R13-O13-P13-Q13</f>
        <v>1006</v>
      </c>
      <c r="O13">
        <f>O6-Q6</f>
        <v>177</v>
      </c>
      <c r="P13">
        <f>P6-Q6</f>
        <v>111</v>
      </c>
      <c r="Q13">
        <f>Q6</f>
        <v>90</v>
      </c>
      <c r="R13">
        <f>N6</f>
        <v>1384</v>
      </c>
      <c r="T13">
        <f>$H$1/R13</f>
        <v>0.0027756123151817733</v>
      </c>
      <c r="U13" s="46"/>
      <c r="V13" s="10" t="s">
        <v>76</v>
      </c>
      <c r="W13" s="40">
        <f>IF(SIGN(V27)=SIGN(V40),-SIGN(V27)*SQRT(V40*V27),-(V27+V40)/2)</f>
        <v>0.32757252690703403</v>
      </c>
    </row>
    <row r="15" spans="1:22" ht="12.75">
      <c r="A15" t="str">
        <f>A11</f>
        <v>ICE-GB</v>
      </c>
      <c r="B15" s="19">
        <f>B11/F11</f>
        <v>0.6397849462365591</v>
      </c>
      <c r="C15" s="19">
        <f>C11/F11</f>
        <v>0.11290322580645161</v>
      </c>
      <c r="D15" s="19">
        <f>D11/F11</f>
        <v>0.1774193548387097</v>
      </c>
      <c r="E15" s="19">
        <f>E11/F11</f>
        <v>0.06989247311827956</v>
      </c>
      <c r="F15" s="19">
        <f>C4*D4/F11^2</f>
        <v>0.04520753844375072</v>
      </c>
      <c r="G15" s="19"/>
      <c r="J15" s="19"/>
      <c r="M15" t="str">
        <f>M11</f>
        <v>ICE-GB</v>
      </c>
      <c r="N15" s="19">
        <f>N11/R11</f>
        <v>0.7462821090581343</v>
      </c>
      <c r="O15" s="19">
        <f>O11/R11</f>
        <v>0.11897251013970257</v>
      </c>
      <c r="P15" s="19">
        <f>P11/R11</f>
        <v>0.07480847228481298</v>
      </c>
      <c r="Q15" s="19">
        <f>Q11/R11</f>
        <v>0.05993690851735016</v>
      </c>
      <c r="R15" s="19">
        <f>O4*P4/R11^2</f>
        <v>0.0241072177460382</v>
      </c>
      <c r="V15" s="19"/>
    </row>
    <row r="16" spans="1:21" ht="12.75">
      <c r="A16" t="str">
        <f>A12</f>
        <v> spoken</v>
      </c>
      <c r="B16" s="19">
        <f>B12/F12</f>
        <v>0.6336633663366337</v>
      </c>
      <c r="C16" s="19">
        <f>C12/F12</f>
        <v>0.1188118811881188</v>
      </c>
      <c r="D16" s="19">
        <f>D12/F12</f>
        <v>0.2079207920792079</v>
      </c>
      <c r="E16" s="19">
        <f>E12/F12</f>
        <v>0.039603960396039604</v>
      </c>
      <c r="F16" s="19">
        <f>C5*D5/F12^2</f>
        <v>0.039211841976276834</v>
      </c>
      <c r="G16" s="19"/>
      <c r="I16" s="44"/>
      <c r="M16" t="str">
        <f>M12</f>
        <v> spoken</v>
      </c>
      <c r="N16" s="19">
        <f>N12/R12</f>
        <v>0.7784431137724551</v>
      </c>
      <c r="O16" s="19">
        <f>O12/R12</f>
        <v>0.10419161676646707</v>
      </c>
      <c r="P16" s="19">
        <f>P12/R12</f>
        <v>0.0658682634730539</v>
      </c>
      <c r="Q16" s="19">
        <f>Q12/R12</f>
        <v>0.05149700598802395</v>
      </c>
      <c r="R16" s="19">
        <f>O5*P5/R12^2</f>
        <v>0.018272437161604933</v>
      </c>
      <c r="U16" s="44"/>
    </row>
    <row r="17" spans="1:23" ht="12.75">
      <c r="A17" t="str">
        <f>A13</f>
        <v> written</v>
      </c>
      <c r="B17" s="19">
        <f>B13/F13</f>
        <v>0.6470588235294118</v>
      </c>
      <c r="C17" s="19">
        <f>C13/F13</f>
        <v>0.10588235294117647</v>
      </c>
      <c r="D17" s="19">
        <f>D13/F13</f>
        <v>0.1411764705882353</v>
      </c>
      <c r="E17" s="19">
        <f>E13/F13</f>
        <v>0.10588235294117647</v>
      </c>
      <c r="F17" s="19">
        <f>C6*D6/F13^2</f>
        <v>0.05231833910034602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0.726878612716763</v>
      </c>
      <c r="O17" s="19">
        <f>O13/R13</f>
        <v>0.12789017341040462</v>
      </c>
      <c r="P17" s="19">
        <f>P13/R13</f>
        <v>0.08020231213872832</v>
      </c>
      <c r="Q17" s="19">
        <f>Q13/R13</f>
        <v>0.06502890173410404</v>
      </c>
      <c r="R17" s="19">
        <f>O6*P6/R13^2</f>
        <v>0.02801787146246116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0.85</v>
      </c>
      <c r="K18" s="19">
        <f>I4/I6</f>
        <v>0.717391304347826</v>
      </c>
      <c r="N18" s="19"/>
      <c r="O18" s="19"/>
      <c r="P18" s="19"/>
      <c r="Q18" s="19"/>
      <c r="R18" s="19"/>
      <c r="U18" t="s">
        <v>74</v>
      </c>
      <c r="V18" s="19">
        <f>T4/T6</f>
        <v>0.8625</v>
      </c>
      <c r="W18" s="19">
        <f>U4/U6</f>
        <v>0.5551839464882943</v>
      </c>
    </row>
    <row r="19" spans="1:23" ht="12.75">
      <c r="A19" t="s">
        <v>60</v>
      </c>
      <c r="B19" s="19">
        <f>(B15+H11/2)/(1+H11)</f>
        <v>0.6369563936117827</v>
      </c>
      <c r="C19" s="19">
        <f>(C15+H11/2)/(1+H11)</f>
        <v>0.12073614076737098</v>
      </c>
      <c r="D19" s="19">
        <f>(D15+H11/2)/(1+H11)</f>
        <v>0.18394678397280917</v>
      </c>
      <c r="E19" s="19">
        <f>(E15+H11/2)/(1+H11)</f>
        <v>0.07859571196374553</v>
      </c>
      <c r="F19" s="19"/>
      <c r="G19" s="19"/>
      <c r="I19" t="s">
        <v>62</v>
      </c>
      <c r="J19" s="19">
        <f>$H$1/H6</f>
        <v>0.02743891031579696</v>
      </c>
      <c r="K19" s="19">
        <f>$H$1/I6</f>
        <v>0.0835097270480777</v>
      </c>
      <c r="M19" t="s">
        <v>60</v>
      </c>
      <c r="N19" s="19">
        <f>(N15+T11/2)/(1+T11)</f>
        <v>0.7458564917566914</v>
      </c>
      <c r="O19" s="19">
        <f>(O15+T11/2)/(1+T11)</f>
        <v>0.1196309903380006</v>
      </c>
      <c r="P19" s="19">
        <f>(P15+T11/2)/(1+T11)</f>
        <v>0.07554327543927093</v>
      </c>
      <c r="Q19" s="19">
        <f>(Q15+T11/2)/(1+T11)</f>
        <v>0.06069741225908646</v>
      </c>
      <c r="R19" s="19"/>
      <c r="U19" t="s">
        <v>62</v>
      </c>
      <c r="V19" s="19">
        <f>$H$1/T6</f>
        <v>0.0020007538771935284</v>
      </c>
      <c r="W19" s="19">
        <f>$H$1/U6</f>
        <v>0.012847650315088877</v>
      </c>
    </row>
    <row r="20" spans="2:23" ht="12.75">
      <c r="B20" s="19">
        <f>(B16+H12/2)/(1+H12)</f>
        <v>0.6287658681666298</v>
      </c>
      <c r="C20" s="19">
        <f>(C16+H12/2)/(1+H12)</f>
        <v>0.13277882041368522</v>
      </c>
      <c r="D20" s="19">
        <f>(D16+H12/2)/(1+H12)</f>
        <v>0.2186227325247718</v>
      </c>
      <c r="E20" s="19">
        <f>(E16+H12/2)/(1+H12)</f>
        <v>0.05647312075938606</v>
      </c>
      <c r="F20" s="19"/>
      <c r="G20" s="19"/>
      <c r="I20" t="s">
        <v>60</v>
      </c>
      <c r="J20" s="19">
        <f>(J18+J19/2)/(1+J19)</f>
        <v>0.8406528568130857</v>
      </c>
      <c r="K20" s="19">
        <f>(K18+K19/2)/(1+K19)</f>
        <v>0.7006362277338188</v>
      </c>
      <c r="N20" s="19">
        <f>(N16+T12/2)/(1+T12)</f>
        <v>0.7771679924834219</v>
      </c>
      <c r="O20" s="19">
        <f>(O16+T12/2)/(1+T12)</f>
        <v>0.10600420853431851</v>
      </c>
      <c r="P20" s="19">
        <f>(P16+T12/2)/(1+T12)</f>
        <v>0.06785635580541743</v>
      </c>
      <c r="Q20" s="19">
        <f>(Q16+T12/2)/(1+T12)</f>
        <v>0.053550911032079526</v>
      </c>
      <c r="R20" s="19"/>
      <c r="U20" t="s">
        <v>60</v>
      </c>
      <c r="V20" s="19">
        <f>(V18+V19/2)/(1+V19)</f>
        <v>0.8617761749153618</v>
      </c>
      <c r="W20" s="19">
        <f>(W18+W19/2)/(1+W19)</f>
        <v>0.554483955677961</v>
      </c>
    </row>
    <row r="21" spans="2:23" ht="12.75">
      <c r="B21" s="19">
        <f>(B17+H13/2)/(1+H13)</f>
        <v>0.6407000939268739</v>
      </c>
      <c r="C21" s="19">
        <f>(C17+H13/2)/(1+H13)</f>
        <v>0.12292374827597795</v>
      </c>
      <c r="D21" s="19">
        <f>(D17+H13/2)/(1+H13)</f>
        <v>0.15669177081842767</v>
      </c>
      <c r="E21" s="19">
        <f>(E17+H13/2)/(1+H13)</f>
        <v>0.12292374827597795</v>
      </c>
      <c r="F21" s="19"/>
      <c r="G21" s="19"/>
      <c r="I21" t="s">
        <v>61</v>
      </c>
      <c r="J21" s="19">
        <f>$G$1*SQRT((J18*(1-J18)+J19/4)/H6)/(1+J19)</f>
        <v>0.05909652966234646</v>
      </c>
      <c r="K21" s="19">
        <f>$G$1*SQRT((K18*(1-K18)+K19/4)/I6)/(1+K19)</f>
        <v>0.12612161884023976</v>
      </c>
      <c r="N21" s="19">
        <f>(N17+T13/2)/(1+T13)</f>
        <v>0.726250628685466</v>
      </c>
      <c r="O21" s="19">
        <f>(O17+T13/2)/(1+T13)</f>
        <v>0.12892014721969744</v>
      </c>
      <c r="P21" s="19">
        <f>(P17+T13/2)/(1+T13)</f>
        <v>0.08136428259154219</v>
      </c>
      <c r="Q21" s="19">
        <f>(Q17+T13/2)/(1+T13)</f>
        <v>0.06623287111894732</v>
      </c>
      <c r="R21" s="19"/>
      <c r="U21" t="s">
        <v>61</v>
      </c>
      <c r="V21" s="19">
        <f>$G$1*SQRT((V18*(1-V18)+V19/4)/T6)/(1+V19)</f>
        <v>0.01540542252310449</v>
      </c>
      <c r="W21" s="19">
        <f>$G$1*SQRT((W18*(1-W18)+W19/4)/U6)/(1+W19)</f>
        <v>0.05597349570065993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0.7815563271507392</v>
      </c>
      <c r="K22" s="19">
        <f>K20-K21</f>
        <v>0.5745146088935791</v>
      </c>
      <c r="N22" s="19"/>
      <c r="O22" s="19"/>
      <c r="P22" s="19"/>
      <c r="Q22" s="19"/>
      <c r="R22" s="19"/>
      <c r="U22" t="s">
        <v>17</v>
      </c>
      <c r="V22" s="19">
        <f>V20-V21</f>
        <v>0.8463707523922573</v>
      </c>
      <c r="W22" s="19">
        <f>W20-W21</f>
        <v>0.49851045997730115</v>
      </c>
    </row>
    <row r="23" spans="1:23" ht="12.75">
      <c r="A23" t="s">
        <v>61</v>
      </c>
      <c r="B23" s="19">
        <f>$G$1*SQRT((B15*(1-B15)+H11/4)/F11)/(1+H11)</f>
        <v>0.06834741554950388</v>
      </c>
      <c r="C23" s="19">
        <f>$G$1*SQRT((C15*(1-C15)+H11/4)/$F11)/(1+H11)</f>
        <v>0.04569481394871647</v>
      </c>
      <c r="D23" s="19">
        <f>$G$1*SQRT((D15*(1-D15)+H11/4)/$F11)/(1+H11)</f>
        <v>0.05473337746480998</v>
      </c>
      <c r="E23" s="19">
        <f>$G$1*SQRT((E15*(1-E15)+H11/4)/$F11)/(1+H11)</f>
        <v>0.037298463904617205</v>
      </c>
      <c r="F23" s="19"/>
      <c r="G23" s="19"/>
      <c r="I23" t="s">
        <v>18</v>
      </c>
      <c r="J23" s="19">
        <f>J20+J21</f>
        <v>0.8997493864754321</v>
      </c>
      <c r="K23" s="19">
        <f>K20+K21</f>
        <v>0.8267578465740586</v>
      </c>
      <c r="M23" t="s">
        <v>61</v>
      </c>
      <c r="N23" s="19">
        <f>$G$1*SQRT((N15*(1-N15)+T11/4)/R11)/(1+T11)</f>
        <v>0.01809424415936475</v>
      </c>
      <c r="O23" s="19">
        <f>$G$1*SQRT((O15*(1-O15)+T11/4)/$R11)/(1+T11)</f>
        <v>0.01347505055106344</v>
      </c>
      <c r="P23" s="19">
        <f>$G$1*SQRT((P15*(1-P15)+T11/4)/$R11)/(1+T11)</f>
        <v>0.010961309598960408</v>
      </c>
      <c r="Q23" s="19">
        <f>$G$1*SQRT((Q15*(1-Q15)+T11/4)/$R11)/(1+T11)</f>
        <v>0.009897029177029594</v>
      </c>
      <c r="R23" s="19"/>
      <c r="U23" t="s">
        <v>18</v>
      </c>
      <c r="V23" s="19">
        <f>V20+V21</f>
        <v>0.8771815974384664</v>
      </c>
      <c r="W23" s="19">
        <f>W20+W21</f>
        <v>0.610457451378621</v>
      </c>
    </row>
    <row r="24" spans="2:23" ht="12.75">
      <c r="B24" s="19">
        <f>$G$1*SQRT((B16*(1-B16)+H12/4)/F12)/(1+H12)</f>
        <v>0.09235531853885415</v>
      </c>
      <c r="C24" s="19">
        <f>$G$1*SQRT((C16*(1-C16)+H12/4)/$F12)/(1+H12)</f>
        <v>0.06349157084602149</v>
      </c>
      <c r="D24" s="19">
        <f>$G$1*SQRT((D16*(1-D16)+H12/4)/$F12)/(1+H12)</f>
        <v>0.07841462049173512</v>
      </c>
      <c r="E24" s="19">
        <f>$G$1*SQRT((E16*(1-E16)+H12/4)/$F12)/(1+H12)</f>
        <v>0.04096595433715321</v>
      </c>
      <c r="F24" s="19"/>
      <c r="G24" s="19"/>
      <c r="I24" t="s">
        <v>70</v>
      </c>
      <c r="J24" s="19">
        <f>-SQRT((J22-J18)^2+(K23-K18)^2)</f>
        <v>-0.12901773874789058</v>
      </c>
      <c r="K24" s="19">
        <f>SQRT((K22-K18)^2+(J23-J18)^2)</f>
        <v>0.15129028904264658</v>
      </c>
      <c r="N24" s="19">
        <f>$G$1*SQRT((N16*(1-N16)+T12/4)/R12)/(1+T12)</f>
        <v>0.028132617296567915</v>
      </c>
      <c r="O24" s="19">
        <f>$G$1*SQRT((O16*(1-O16)+T12/4)/$R12)/(1+T12)</f>
        <v>0.02075363668445939</v>
      </c>
      <c r="P24" s="19">
        <f>$G$1*SQRT((P16*(1-P16)+T12/4)/$R12)/(1+T12)</f>
        <v>0.01690341676426578</v>
      </c>
      <c r="Q24" s="19">
        <f>$G$1*SQRT((Q16*(1-Q16)+T12/4)/$R12)/(1+T12)</f>
        <v>0.015096454155334655</v>
      </c>
      <c r="R24" s="19"/>
      <c r="U24" t="s">
        <v>70</v>
      </c>
      <c r="V24" s="19">
        <f>-SQRT((V22-V18)^2+(W23-W18)^2)</f>
        <v>-0.0575787545128656</v>
      </c>
      <c r="W24" s="19">
        <f>SQRT((W22-W18)^2+(V23-V18)^2)</f>
        <v>0.058544285602071366</v>
      </c>
    </row>
    <row r="25" spans="2:23" ht="12.75">
      <c r="B25" s="19">
        <f>$G$1*SQRT((B17*(1-B17)+H13/4)/F13)/(1+H13)</f>
        <v>0.09957492893284783</v>
      </c>
      <c r="C25" s="19">
        <f>$G$1*SQRT((C17*(1-C17)+H13/4)/$F13)/(1+H13)</f>
        <v>0.06621128942499299</v>
      </c>
      <c r="D25" s="19">
        <f>$G$1*SQRT((D17*(1-D17)+H13/4)/$F13)/(1+H13)</f>
        <v>0.07404937593975101</v>
      </c>
      <c r="E25" s="19">
        <f>$G$1*SQRT((E17*(1-E17)+H13/4)/$F13)/(1+H13)</f>
        <v>0.06621128942499299</v>
      </c>
      <c r="F25" s="19"/>
      <c r="G25" s="19"/>
      <c r="J25" s="19"/>
      <c r="K25" s="19"/>
      <c r="N25" s="19">
        <f>$G$1*SQRT((N17*(1-N17)+T13/4)/R13)/(1+T13)</f>
        <v>0.023449959957916204</v>
      </c>
      <c r="O25" s="19">
        <f>$G$1*SQRT((O17*(1-O17)+T13/4)/$R13)/(1+T13)</f>
        <v>0.017600564604389697</v>
      </c>
      <c r="P25" s="19">
        <f>$G$1*SQRT((P17*(1-P17)+T13/4)/$R13)/(1+T13)</f>
        <v>0.014336668713201358</v>
      </c>
      <c r="Q25" s="19">
        <f>$G$1*SQRT((Q17*(1-Q17)+T13/4)/$R13)/(1+T13)</f>
        <v>0.013028432775629303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-0.13260869565217392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-0.30731605351170577</v>
      </c>
      <c r="W26" s="19"/>
    </row>
    <row r="27" spans="1:23" ht="12.75">
      <c r="A27" t="s">
        <v>17</v>
      </c>
      <c r="B27" s="19">
        <f aca="true" t="shared" si="0" ref="B27:E29">B19-B23</f>
        <v>0.5686089780622788</v>
      </c>
      <c r="C27" s="19">
        <f t="shared" si="0"/>
        <v>0.07504132681865451</v>
      </c>
      <c r="D27" s="19">
        <f t="shared" si="0"/>
        <v>0.12921340650799917</v>
      </c>
      <c r="E27" s="19">
        <f t="shared" si="0"/>
        <v>0.04129724805912832</v>
      </c>
      <c r="F27" s="19"/>
      <c r="G27" s="19"/>
      <c r="I27" t="s">
        <v>72</v>
      </c>
      <c r="J27" s="19">
        <f>J26-K24</f>
        <v>-0.2838989846948205</v>
      </c>
      <c r="K27" s="19"/>
      <c r="M27" t="s">
        <v>17</v>
      </c>
      <c r="N27" s="19">
        <f aca="true" t="shared" si="1" ref="N27:Q29">N19-N23</f>
        <v>0.7277622475973267</v>
      </c>
      <c r="O27" s="19">
        <f t="shared" si="1"/>
        <v>0.10615593978693716</v>
      </c>
      <c r="P27" s="19">
        <f t="shared" si="1"/>
        <v>0.06458196584031052</v>
      </c>
      <c r="Q27" s="19">
        <f t="shared" si="1"/>
        <v>0.050800383082056866</v>
      </c>
      <c r="R27" s="19"/>
      <c r="U27" t="s">
        <v>72</v>
      </c>
      <c r="V27" s="19">
        <f>V26-W24</f>
        <v>-0.36586033911377713</v>
      </c>
      <c r="W27" s="19"/>
    </row>
    <row r="28" spans="2:22" ht="12.75">
      <c r="B28" s="19">
        <f t="shared" si="0"/>
        <v>0.5364105496277757</v>
      </c>
      <c r="C28" s="19">
        <f t="shared" si="0"/>
        <v>0.06928724956766373</v>
      </c>
      <c r="D28" s="19">
        <f t="shared" si="0"/>
        <v>0.14020811203303668</v>
      </c>
      <c r="E28" s="19">
        <f t="shared" si="0"/>
        <v>0.015507166422232856</v>
      </c>
      <c r="F28" s="19"/>
      <c r="G28" s="19"/>
      <c r="I28" t="s">
        <v>73</v>
      </c>
      <c r="J28" s="19">
        <f>J26-J24</f>
        <v>-0.003590956904283349</v>
      </c>
      <c r="N28" s="19">
        <f t="shared" si="1"/>
        <v>0.749035375186854</v>
      </c>
      <c r="O28" s="19">
        <f t="shared" si="1"/>
        <v>0.08525057184985912</v>
      </c>
      <c r="P28" s="19">
        <f t="shared" si="1"/>
        <v>0.050952939041151654</v>
      </c>
      <c r="Q28" s="19">
        <f t="shared" si="1"/>
        <v>0.03845445687674487</v>
      </c>
      <c r="R28" s="19"/>
      <c r="U28" t="s">
        <v>73</v>
      </c>
      <c r="V28" s="19">
        <f>V26-V24</f>
        <v>-0.24973729899884017</v>
      </c>
    </row>
    <row r="29" spans="2:18" ht="12.75">
      <c r="B29" s="19">
        <f t="shared" si="0"/>
        <v>0.5411251649940261</v>
      </c>
      <c r="C29" s="19">
        <f t="shared" si="0"/>
        <v>0.056712458850984956</v>
      </c>
      <c r="D29" s="19">
        <f t="shared" si="0"/>
        <v>0.08264239487867665</v>
      </c>
      <c r="E29" s="19">
        <f t="shared" si="0"/>
        <v>0.056712458850984956</v>
      </c>
      <c r="F29" s="19"/>
      <c r="G29" s="19"/>
      <c r="N29" s="19">
        <f t="shared" si="1"/>
        <v>0.7028006687275498</v>
      </c>
      <c r="O29" s="19">
        <f t="shared" si="1"/>
        <v>0.11131958261530775</v>
      </c>
      <c r="P29" s="19">
        <f t="shared" si="1"/>
        <v>0.06702761387834083</v>
      </c>
      <c r="Q29" s="19">
        <f t="shared" si="1"/>
        <v>0.05320443834331802</v>
      </c>
      <c r="R29" s="19"/>
    </row>
    <row r="30" spans="2:23" ht="12.75">
      <c r="B30" s="19"/>
      <c r="C30" s="19"/>
      <c r="D30" s="19"/>
      <c r="E30" s="19"/>
      <c r="F30" s="19"/>
      <c r="G30" s="19"/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0.7053038091612865</v>
      </c>
      <c r="C31" s="19">
        <f t="shared" si="2"/>
        <v>0.16643095471608743</v>
      </c>
      <c r="D31" s="19">
        <f t="shared" si="2"/>
        <v>0.23868016143761916</v>
      </c>
      <c r="E31" s="19">
        <f t="shared" si="2"/>
        <v>0.11589417586836273</v>
      </c>
      <c r="F31" s="19"/>
      <c r="G31" s="19"/>
      <c r="I31" t="s">
        <v>69</v>
      </c>
      <c r="J31" s="19">
        <f>H4/J4</f>
        <v>0.7828947368421053</v>
      </c>
      <c r="K31" s="19">
        <f>H5/J5</f>
        <v>0.6176470588235294</v>
      </c>
      <c r="M31" t="s">
        <v>18</v>
      </c>
      <c r="N31" s="19">
        <f aca="true" t="shared" si="3" ref="N31:Q33">N19+N23</f>
        <v>0.7639507359160562</v>
      </c>
      <c r="O31" s="19">
        <f t="shared" si="3"/>
        <v>0.13310604088906405</v>
      </c>
      <c r="P31" s="19">
        <f t="shared" si="3"/>
        <v>0.08650458503823134</v>
      </c>
      <c r="Q31" s="19">
        <f t="shared" si="3"/>
        <v>0.07059444143611605</v>
      </c>
      <c r="R31" s="19"/>
      <c r="U31" t="s">
        <v>69</v>
      </c>
      <c r="V31" s="19">
        <f>T4/V4</f>
        <v>0.9088913282107574</v>
      </c>
      <c r="W31" s="19">
        <f>T5/V5</f>
        <v>0.6649874055415617</v>
      </c>
    </row>
    <row r="32" spans="2:23" ht="12.75">
      <c r="B32" s="19">
        <f t="shared" si="2"/>
        <v>0.721121186705484</v>
      </c>
      <c r="C32" s="19">
        <f t="shared" si="2"/>
        <v>0.1962703912597067</v>
      </c>
      <c r="D32" s="19">
        <f t="shared" si="2"/>
        <v>0.2970373530165069</v>
      </c>
      <c r="E32" s="19">
        <f t="shared" si="2"/>
        <v>0.09743907509653926</v>
      </c>
      <c r="F32" s="19"/>
      <c r="G32" s="19"/>
      <c r="I32" t="s">
        <v>62</v>
      </c>
      <c r="J32" s="19">
        <f>$H$1/J4</f>
        <v>0.025272680554023513</v>
      </c>
      <c r="K32" s="19">
        <f>$H$1/J5</f>
        <v>0.11298374835916394</v>
      </c>
      <c r="N32" s="19">
        <f t="shared" si="3"/>
        <v>0.8053006097799899</v>
      </c>
      <c r="O32" s="19">
        <f t="shared" si="3"/>
        <v>0.1267578452187779</v>
      </c>
      <c r="P32" s="19">
        <f t="shared" si="3"/>
        <v>0.08475977256968321</v>
      </c>
      <c r="Q32" s="19">
        <f t="shared" si="3"/>
        <v>0.06864736518741418</v>
      </c>
      <c r="R32" s="19"/>
      <c r="U32" t="s">
        <v>62</v>
      </c>
      <c r="V32" s="19">
        <f>$H$1/V4</f>
        <v>0.0021083685204234767</v>
      </c>
      <c r="W32" s="19">
        <f>$H$1/V5</f>
        <v>0.009676190035797417</v>
      </c>
    </row>
    <row r="33" spans="2:23" ht="12.75">
      <c r="B33" s="19">
        <f t="shared" si="2"/>
        <v>0.7402750228597217</v>
      </c>
      <c r="C33" s="19">
        <f t="shared" si="2"/>
        <v>0.18913503770097095</v>
      </c>
      <c r="D33" s="19">
        <f t="shared" si="2"/>
        <v>0.2307411467581787</v>
      </c>
      <c r="E33" s="19">
        <f t="shared" si="2"/>
        <v>0.18913503770097095</v>
      </c>
      <c r="F33" s="19"/>
      <c r="G33" s="19"/>
      <c r="I33" t="s">
        <v>60</v>
      </c>
      <c r="J33" s="19">
        <f>(J31+J32/2)/(1+J32)</f>
        <v>0.7759214618780619</v>
      </c>
      <c r="K33" s="19">
        <f>(K31+K32/2)/(1+K32)</f>
        <v>0.6057042018780352</v>
      </c>
      <c r="N33" s="19">
        <f t="shared" si="3"/>
        <v>0.7497005886433822</v>
      </c>
      <c r="O33" s="19">
        <f t="shared" si="3"/>
        <v>0.14652071182408713</v>
      </c>
      <c r="P33" s="19">
        <f t="shared" si="3"/>
        <v>0.09570095130474354</v>
      </c>
      <c r="Q33" s="19">
        <f t="shared" si="3"/>
        <v>0.07926130389457663</v>
      </c>
      <c r="R33" s="19"/>
      <c r="U33" t="s">
        <v>60</v>
      </c>
      <c r="V33" s="19">
        <f>(V31+V32/2)/(1+V32)</f>
        <v>0.9080310483929702</v>
      </c>
      <c r="W33" s="19">
        <f>(W31+W32/2)/(1+W32)</f>
        <v>0.6634062555597277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0.0651026329408828</v>
      </c>
      <c r="K34" s="19">
        <f>$G$1*SQRT((K31*(1-K31)+K32/4)/J5)/(1+K32)</f>
        <v>0.15529378882494993</v>
      </c>
      <c r="N34" s="19"/>
      <c r="O34" s="19"/>
      <c r="P34" s="19"/>
      <c r="Q34" s="19"/>
      <c r="R34" s="19"/>
      <c r="U34" t="s">
        <v>61</v>
      </c>
      <c r="V34" s="19">
        <f>$G$1*SQRT((V31*(1-V31)+V32/4)/V4)/(1+V32)</f>
        <v>0.01322733109127188</v>
      </c>
      <c r="W34" s="19">
        <f>$G$1*SQRT((W31*(1-W31)+W32/4)/V5)/(1+W32)</f>
        <v>0.046233049532994515</v>
      </c>
    </row>
    <row r="35" spans="1:23" ht="12.75">
      <c r="A35" t="s">
        <v>30</v>
      </c>
      <c r="B35" s="19">
        <f aca="true" t="shared" si="4" ref="B35:E37">B15-B27</f>
        <v>0.07117596817428029</v>
      </c>
      <c r="C35" s="19">
        <f t="shared" si="4"/>
        <v>0.0378618989877971</v>
      </c>
      <c r="D35" s="19">
        <f t="shared" si="4"/>
        <v>0.04820594833071051</v>
      </c>
      <c r="E35" s="19">
        <f t="shared" si="4"/>
        <v>0.02859522505915124</v>
      </c>
      <c r="F35" s="19"/>
      <c r="G35" s="19"/>
      <c r="I35" t="s">
        <v>17</v>
      </c>
      <c r="J35" s="19">
        <f>J33-J34</f>
        <v>0.7108188289371791</v>
      </c>
      <c r="K35" s="19">
        <f>K33-K34</f>
        <v>0.45041041305308527</v>
      </c>
      <c r="M35" t="s">
        <v>30</v>
      </c>
      <c r="N35" s="19">
        <f aca="true" t="shared" si="5" ref="N35:Q37">N15-N27</f>
        <v>0.01851986146080764</v>
      </c>
      <c r="O35" s="19">
        <f t="shared" si="5"/>
        <v>0.012816570352765413</v>
      </c>
      <c r="P35" s="19">
        <f t="shared" si="5"/>
        <v>0.010226506444502459</v>
      </c>
      <c r="Q35" s="19">
        <f t="shared" si="5"/>
        <v>0.009136525435293294</v>
      </c>
      <c r="R35" s="19"/>
      <c r="U35" t="s">
        <v>17</v>
      </c>
      <c r="V35" s="19">
        <f>V33-V34</f>
        <v>0.8948037173016984</v>
      </c>
      <c r="W35" s="19">
        <f>W33-W34</f>
        <v>0.6171732060267331</v>
      </c>
    </row>
    <row r="36" spans="2:23" ht="12.75">
      <c r="B36" s="19">
        <f t="shared" si="4"/>
        <v>0.09725281670885799</v>
      </c>
      <c r="C36" s="19">
        <f t="shared" si="4"/>
        <v>0.049524631620455076</v>
      </c>
      <c r="D36" s="19">
        <f t="shared" si="4"/>
        <v>0.06771268004617123</v>
      </c>
      <c r="E36" s="19">
        <f t="shared" si="4"/>
        <v>0.02409679397380675</v>
      </c>
      <c r="F36" s="19"/>
      <c r="G36" s="19"/>
      <c r="I36" t="s">
        <v>18</v>
      </c>
      <c r="J36" s="19">
        <f>J33+J34</f>
        <v>0.8410240948189447</v>
      </c>
      <c r="K36" s="19">
        <f>K33+K34</f>
        <v>0.7609979907029851</v>
      </c>
      <c r="N36" s="19">
        <f t="shared" si="5"/>
        <v>0.029407738585601084</v>
      </c>
      <c r="O36" s="19">
        <f t="shared" si="5"/>
        <v>0.018941044916607946</v>
      </c>
      <c r="P36" s="19">
        <f t="shared" si="5"/>
        <v>0.014915324431902244</v>
      </c>
      <c r="Q36" s="19">
        <f t="shared" si="5"/>
        <v>0.013042549111279084</v>
      </c>
      <c r="R36" s="19"/>
      <c r="U36" t="s">
        <v>18</v>
      </c>
      <c r="V36" s="19">
        <f>V33+V34</f>
        <v>0.921258379484242</v>
      </c>
      <c r="W36" s="19">
        <f>W33+W34</f>
        <v>0.7096393050927222</v>
      </c>
    </row>
    <row r="37" spans="2:23" ht="12.75">
      <c r="B37" s="19">
        <f t="shared" si="4"/>
        <v>0.10593365853538572</v>
      </c>
      <c r="C37" s="19">
        <f t="shared" si="4"/>
        <v>0.04916989409019151</v>
      </c>
      <c r="D37" s="19">
        <f t="shared" si="4"/>
        <v>0.05853407570955864</v>
      </c>
      <c r="E37" s="19">
        <f t="shared" si="4"/>
        <v>0.04916989409019151</v>
      </c>
      <c r="F37" s="19"/>
      <c r="G37" s="19"/>
      <c r="I37" t="s">
        <v>70</v>
      </c>
      <c r="J37" s="19">
        <f>-SQRT((J35-J31)^2+(K36-K31)^2)</f>
        <v>-0.16045069701010262</v>
      </c>
      <c r="K37" s="19">
        <f>SQRT((K35-K31)^2+(J36-J31)^2)</f>
        <v>0.17705117324476718</v>
      </c>
      <c r="N37" s="19">
        <f t="shared" si="5"/>
        <v>0.024077943989213257</v>
      </c>
      <c r="O37" s="19">
        <f t="shared" si="5"/>
        <v>0.016570590795096873</v>
      </c>
      <c r="P37" s="19">
        <f t="shared" si="5"/>
        <v>0.013174698260387488</v>
      </c>
      <c r="Q37" s="19">
        <f t="shared" si="5"/>
        <v>0.011824463390786022</v>
      </c>
      <c r="R37" s="19"/>
      <c r="U37" t="s">
        <v>70</v>
      </c>
      <c r="V37" s="19">
        <f>-SQRT((V35-V31)^2+(W36-W31)^2)</f>
        <v>-0.04682150055959302</v>
      </c>
      <c r="W37" s="19">
        <f>SQRT((W35-W31)^2+(V36-V31)^2)</f>
        <v>0.049387666805031726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V38" s="19"/>
      <c r="W38" s="19"/>
    </row>
    <row r="39" spans="1:23" ht="12.75">
      <c r="A39" t="s">
        <v>29</v>
      </c>
      <c r="B39" s="19">
        <f aca="true" t="shared" si="6" ref="B39:E41">B31-B15</f>
        <v>0.06551886292472742</v>
      </c>
      <c r="C39" s="19">
        <f t="shared" si="6"/>
        <v>0.05352772890963582</v>
      </c>
      <c r="D39" s="19">
        <f t="shared" si="6"/>
        <v>0.06126080659890948</v>
      </c>
      <c r="E39" s="19">
        <f t="shared" si="6"/>
        <v>0.04600170275008317</v>
      </c>
      <c r="F39" s="19"/>
      <c r="G39" s="19"/>
      <c r="I39" t="s">
        <v>71</v>
      </c>
      <c r="J39" s="19">
        <f>K31-J31</f>
        <v>-0.16524767801857587</v>
      </c>
      <c r="K39" s="19"/>
      <c r="M39" t="s">
        <v>29</v>
      </c>
      <c r="N39" s="19">
        <f aca="true" t="shared" si="7" ref="N39:Q41">N31-N15</f>
        <v>0.01766862685792192</v>
      </c>
      <c r="O39" s="19">
        <f t="shared" si="7"/>
        <v>0.014133530749361481</v>
      </c>
      <c r="P39" s="19">
        <f t="shared" si="7"/>
        <v>0.011696112753418364</v>
      </c>
      <c r="Q39" s="19">
        <f t="shared" si="7"/>
        <v>0.010657532918765894</v>
      </c>
      <c r="R39" s="19"/>
      <c r="U39" t="s">
        <v>71</v>
      </c>
      <c r="V39" s="19">
        <f>W31-V31</f>
        <v>-0.2439039226691957</v>
      </c>
      <c r="W39" s="19"/>
    </row>
    <row r="40" spans="2:23" ht="12.75">
      <c r="B40" s="19">
        <f t="shared" si="6"/>
        <v>0.0874578203688503</v>
      </c>
      <c r="C40" s="19">
        <f t="shared" si="6"/>
        <v>0.07745851007158788</v>
      </c>
      <c r="D40" s="19">
        <f t="shared" si="6"/>
        <v>0.089116560937299</v>
      </c>
      <c r="E40" s="19">
        <f t="shared" si="6"/>
        <v>0.05783511470049966</v>
      </c>
      <c r="F40" s="19"/>
      <c r="G40" s="19"/>
      <c r="I40" t="s">
        <v>72</v>
      </c>
      <c r="J40" s="19">
        <f>J39-K37</f>
        <v>-0.34229885126334303</v>
      </c>
      <c r="K40" s="19"/>
      <c r="N40" s="19">
        <f t="shared" si="7"/>
        <v>0.02685749600753473</v>
      </c>
      <c r="O40" s="19">
        <f t="shared" si="7"/>
        <v>0.02256622845231082</v>
      </c>
      <c r="P40" s="19">
        <f t="shared" si="7"/>
        <v>0.018891509096629316</v>
      </c>
      <c r="Q40" s="19">
        <f t="shared" si="7"/>
        <v>0.01715035919939023</v>
      </c>
      <c r="R40" s="19"/>
      <c r="U40" t="s">
        <v>72</v>
      </c>
      <c r="V40" s="19">
        <f>V39-W37</f>
        <v>-0.2932915894742274</v>
      </c>
      <c r="W40" s="19"/>
    </row>
    <row r="41" spans="2:23" ht="12.75">
      <c r="B41" s="19">
        <f t="shared" si="6"/>
        <v>0.09321619933030989</v>
      </c>
      <c r="C41" s="19">
        <f t="shared" si="6"/>
        <v>0.08325268475979448</v>
      </c>
      <c r="D41" s="19">
        <f t="shared" si="6"/>
        <v>0.0895646761699434</v>
      </c>
      <c r="E41" s="19">
        <f t="shared" si="6"/>
        <v>0.08325268475979448</v>
      </c>
      <c r="F41" s="19"/>
      <c r="G41" s="19"/>
      <c r="I41" t="s">
        <v>73</v>
      </c>
      <c r="J41" s="19">
        <f>J39-J37</f>
        <v>-0.004796981008473256</v>
      </c>
      <c r="K41" s="19"/>
      <c r="N41" s="19">
        <f t="shared" si="7"/>
        <v>0.022821975926619165</v>
      </c>
      <c r="O41" s="19">
        <f t="shared" si="7"/>
        <v>0.018630538413682507</v>
      </c>
      <c r="P41" s="19">
        <f t="shared" si="7"/>
        <v>0.015498639166015224</v>
      </c>
      <c r="Q41" s="19">
        <f t="shared" si="7"/>
        <v>0.014232402160472585</v>
      </c>
      <c r="R41" s="19"/>
      <c r="U41" t="s">
        <v>73</v>
      </c>
      <c r="V41" s="19">
        <f>V39-V37</f>
        <v>-0.19708242210960267</v>
      </c>
      <c r="W41" s="19"/>
    </row>
    <row r="42" spans="14:18" ht="12.75">
      <c r="N42" s="19"/>
      <c r="O42" s="19"/>
      <c r="P42" s="19"/>
      <c r="Q42" s="19"/>
      <c r="R42" s="19"/>
    </row>
    <row r="44" spans="2:14" ht="12.75">
      <c r="B44" t="s">
        <v>83</v>
      </c>
      <c r="N44" t="s">
        <v>83</v>
      </c>
    </row>
    <row r="45" spans="1:16" ht="12.75">
      <c r="A45" t="s">
        <v>49</v>
      </c>
      <c r="B45" s="19">
        <f>D15/C15</f>
        <v>1.5714285714285716</v>
      </c>
      <c r="C45" s="19">
        <f>EXP(B49-D49)</f>
        <v>0.9520694547364864</v>
      </c>
      <c r="D45" s="19">
        <f>EXP(B49-C49)</f>
        <v>2.6033631203156027</v>
      </c>
      <c r="M45" t="s">
        <v>49</v>
      </c>
      <c r="N45" s="19">
        <f>P15/O15</f>
        <v>0.6287878787878788</v>
      </c>
      <c r="O45" s="19">
        <f>EXP(N49-P49)</f>
        <v>0.5226113415363445</v>
      </c>
      <c r="P45" s="19">
        <f>EXP(N49-O49)</f>
        <v>0.7563020919608566</v>
      </c>
    </row>
    <row r="46" spans="1:16" ht="12.75">
      <c r="A46" t="s">
        <v>85</v>
      </c>
      <c r="B46" s="19">
        <f>D16/C16</f>
        <v>1.75</v>
      </c>
      <c r="C46" s="19">
        <f>EXP(B50-D50)</f>
        <v>0.9244853727573817</v>
      </c>
      <c r="D46" s="19">
        <f>EXP(B50-C50)</f>
        <v>3.340733856274844</v>
      </c>
      <c r="M46" t="s">
        <v>85</v>
      </c>
      <c r="N46" s="19">
        <f>P16/O16</f>
        <v>0.632183908045977</v>
      </c>
      <c r="O46" s="19">
        <f>EXP(N50-P50)</f>
        <v>0.4576646845351677</v>
      </c>
      <c r="P46" s="19">
        <f>EXP(N50-O50)</f>
        <v>0.8725548959208352</v>
      </c>
    </row>
    <row r="47" spans="2:16" ht="12.75">
      <c r="B47" s="19">
        <f>D17/C17</f>
        <v>1.3333333333333333</v>
      </c>
      <c r="C47" s="19">
        <f>EXP(B51-D51)</f>
        <v>0.6054325243759581</v>
      </c>
      <c r="D47" s="19">
        <f>EXP(B51-C51)</f>
        <v>2.950973360194001</v>
      </c>
      <c r="N47" s="19">
        <f>P17/O17</f>
        <v>0.6271186440677966</v>
      </c>
      <c r="O47" s="19">
        <f>EXP(N51-P51)</f>
        <v>0.5006853416945709</v>
      </c>
      <c r="P47" s="19">
        <f>EXP(N51-O51)</f>
        <v>0.7850852400126329</v>
      </c>
    </row>
    <row r="49" spans="1:16" ht="12.75">
      <c r="A49" t="s">
        <v>84</v>
      </c>
      <c r="B49" s="19">
        <f>LN(B45)</f>
        <v>0.4519851237430574</v>
      </c>
      <c r="C49" s="19">
        <f>-SQRT((LN(D31)-LN(D15))^2+(LN(C27)-LN(C15))^2)</f>
        <v>-0.5048189932375574</v>
      </c>
      <c r="D49" s="19">
        <f>SQRT((LN(C31)-LN(C15))^2+(LN(D27)-LN(D15))^2)</f>
        <v>0.5011024139390634</v>
      </c>
      <c r="M49" t="s">
        <v>84</v>
      </c>
      <c r="N49" s="19">
        <f>LN(N45)</f>
        <v>-0.4639613147897729</v>
      </c>
      <c r="O49" s="19">
        <f>-SQRT((LN(P31)-LN(P15))^2+(LN(O27)-LN(O15))^2)</f>
        <v>-0.18464692471214705</v>
      </c>
      <c r="P49" s="19">
        <f>SQRT((LN(O31)-LN(O15))^2+(LN(P27)-LN(P15))^2)</f>
        <v>0.18495590920520436</v>
      </c>
    </row>
    <row r="50" spans="2:16" ht="12.75">
      <c r="B50" s="19">
        <f>LN(B46)</f>
        <v>0.5596157879354227</v>
      </c>
      <c r="C50" s="19">
        <f>-SQRT((LN(D32)-LN(D16))^2+(LN(C28)-LN(C16))^2)</f>
        <v>-0.6465747123664013</v>
      </c>
      <c r="D50" s="19">
        <f>SQRT((LN(C32)-LN(C16))^2+(LN(D28)-LN(D16))^2)</f>
        <v>0.6381338380031266</v>
      </c>
      <c r="N50" s="19">
        <f>LN(N46)</f>
        <v>-0.4585749334221128</v>
      </c>
      <c r="O50" s="19">
        <f>-SQRT((LN(P32)-LN(P16))^2+(LN(O28)-LN(O16))^2)</f>
        <v>-0.32224522449814874</v>
      </c>
      <c r="P50" s="19">
        <f>SQRT((LN(O32)-LN(O16))^2+(LN(P28)-LN(P16))^2)</f>
        <v>0.3230435594196486</v>
      </c>
    </row>
    <row r="51" spans="2:16" ht="12.75">
      <c r="B51" s="19">
        <f>LN(B47)</f>
        <v>0.28768207245178085</v>
      </c>
      <c r="C51" s="19">
        <f>-SQRT((LN(D33)-LN(D17))^2+(LN(C29)-LN(C17))^2)</f>
        <v>-0.7944529960856928</v>
      </c>
      <c r="D51" s="19">
        <f>SQRT((LN(C33)-LN(C17))^2+(LN(D29)-LN(D17))^2)</f>
        <v>0.78949423251012</v>
      </c>
      <c r="N51" s="19">
        <f>LN(N47)</f>
        <v>-0.466619531261495</v>
      </c>
      <c r="O51" s="19">
        <f>-SQRT((LN(P33)-LN(P17))^2+(LN(O29)-LN(O17))^2)</f>
        <v>-0.22465655017008712</v>
      </c>
      <c r="P51" s="19">
        <f>SQRT((LN(O33)-LN(O17))^2+(LN(P29)-LN(P17))^2)</f>
        <v>0.2251579044382656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A1">
      <selection activeCell="B4" sqref="B4"/>
    </sheetView>
  </sheetViews>
  <sheetFormatPr defaultColWidth="9.140625" defaultRowHeight="12.75"/>
  <cols>
    <col min="10" max="10" width="10.140625" style="0" customWidth="1"/>
    <col min="22" max="22" width="10.421875" style="0" customWidth="1"/>
  </cols>
  <sheetData>
    <row r="1" spans="1:13" ht="12.75">
      <c r="A1" s="3" t="s">
        <v>51</v>
      </c>
      <c r="B1" s="49" t="s">
        <v>77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108</v>
      </c>
      <c r="C4">
        <f>SUM(C5:C6)</f>
        <v>14</v>
      </c>
      <c r="D4">
        <f>SUM(D5:D6)</f>
        <v>25</v>
      </c>
      <c r="E4">
        <f>SUM(E5:E6)</f>
        <v>8</v>
      </c>
      <c r="G4" s="45" t="s">
        <v>57</v>
      </c>
      <c r="H4" s="44">
        <f>J4-I4</f>
        <v>77</v>
      </c>
      <c r="I4" s="44">
        <f>I6-I5</f>
        <v>17</v>
      </c>
      <c r="J4" s="44">
        <f>J6-J5</f>
        <v>94</v>
      </c>
      <c r="M4" t="s">
        <v>34</v>
      </c>
      <c r="N4">
        <f>SUM(N5:N6)</f>
        <v>2057</v>
      </c>
      <c r="O4">
        <f>SUM(O5:O6)</f>
        <v>88</v>
      </c>
      <c r="P4">
        <f>SUM(P5:P6)</f>
        <v>310</v>
      </c>
      <c r="Q4">
        <f>SUM(Q5:Q6)</f>
        <v>49</v>
      </c>
      <c r="S4" s="45" t="s">
        <v>57</v>
      </c>
      <c r="T4" s="44">
        <f>V4-U4</f>
        <v>1708</v>
      </c>
      <c r="U4" s="44">
        <f>U6-U5</f>
        <v>261</v>
      </c>
      <c r="V4" s="44">
        <f>V6-V5</f>
        <v>1969</v>
      </c>
    </row>
    <row r="5" spans="1:23" ht="12.75">
      <c r="A5" t="s">
        <v>35</v>
      </c>
      <c r="B5">
        <v>50</v>
      </c>
      <c r="C5">
        <v>4</v>
      </c>
      <c r="D5">
        <v>12</v>
      </c>
      <c r="E5">
        <v>2</v>
      </c>
      <c r="G5" s="45" t="s">
        <v>58</v>
      </c>
      <c r="H5" s="44">
        <f>J5-I5</f>
        <v>6</v>
      </c>
      <c r="I5" s="44">
        <f>E4</f>
        <v>8</v>
      </c>
      <c r="J5" s="44">
        <f>C4</f>
        <v>14</v>
      </c>
      <c r="K5" s="19">
        <f>I5/J5</f>
        <v>0.5714285714285714</v>
      </c>
      <c r="M5" t="s">
        <v>35</v>
      </c>
      <c r="N5">
        <v>753</v>
      </c>
      <c r="O5">
        <v>34</v>
      </c>
      <c r="P5">
        <v>105</v>
      </c>
      <c r="Q5">
        <v>15</v>
      </c>
      <c r="S5" s="45" t="s">
        <v>58</v>
      </c>
      <c r="T5" s="44">
        <f>V5-U5</f>
        <v>39</v>
      </c>
      <c r="U5" s="44">
        <f>Q4</f>
        <v>49</v>
      </c>
      <c r="V5" s="44">
        <f>O4</f>
        <v>88</v>
      </c>
      <c r="W5" s="19">
        <f>U5/V5</f>
        <v>0.5568181818181818</v>
      </c>
    </row>
    <row r="6" spans="1:23" ht="12.75">
      <c r="A6" t="s">
        <v>36</v>
      </c>
      <c r="B6">
        <v>58</v>
      </c>
      <c r="C6">
        <v>10</v>
      </c>
      <c r="D6">
        <v>13</v>
      </c>
      <c r="E6">
        <v>6</v>
      </c>
      <c r="G6" t="s">
        <v>56</v>
      </c>
      <c r="H6" s="44">
        <f>J6-I6</f>
        <v>83</v>
      </c>
      <c r="I6" s="44">
        <f>D4</f>
        <v>25</v>
      </c>
      <c r="J6" s="44">
        <f>B4</f>
        <v>108</v>
      </c>
      <c r="K6" s="19">
        <f>I6/J6</f>
        <v>0.23148148148148148</v>
      </c>
      <c r="M6" t="s">
        <v>36</v>
      </c>
      <c r="N6">
        <v>1304</v>
      </c>
      <c r="O6">
        <v>54</v>
      </c>
      <c r="P6">
        <v>205</v>
      </c>
      <c r="Q6">
        <v>34</v>
      </c>
      <c r="S6" t="s">
        <v>56</v>
      </c>
      <c r="T6" s="44">
        <f>V6-U6</f>
        <v>1747</v>
      </c>
      <c r="U6" s="44">
        <f>P4</f>
        <v>310</v>
      </c>
      <c r="V6" s="44">
        <f>N4</f>
        <v>2057</v>
      </c>
      <c r="W6" s="19">
        <f>U6/V6</f>
        <v>0.15070491006319883</v>
      </c>
    </row>
    <row r="7" spans="9:22" ht="12.75">
      <c r="I7" s="19">
        <f>I5/I6</f>
        <v>0.32</v>
      </c>
      <c r="J7" s="19">
        <f>J5/J6</f>
        <v>0.12962962962962962</v>
      </c>
      <c r="U7" s="19">
        <f>U5/U6</f>
        <v>0.15806451612903225</v>
      </c>
      <c r="V7" s="19">
        <f>V5/V6</f>
        <v>0.0427807486631016</v>
      </c>
    </row>
    <row r="8" spans="9:21" ht="12.75">
      <c r="I8" s="46">
        <f>I5/(I6*J5/J6)</f>
        <v>2.4685714285714284</v>
      </c>
      <c r="U8" s="46">
        <f>U5/(U6*V5/V6)</f>
        <v>3.694758064516129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77</v>
      </c>
      <c r="C11">
        <f>C4-E4</f>
        <v>6</v>
      </c>
      <c r="D11">
        <f>D4-E4</f>
        <v>17</v>
      </c>
      <c r="E11">
        <f>E4</f>
        <v>8</v>
      </c>
      <c r="F11">
        <f>B4</f>
        <v>108</v>
      </c>
      <c r="H11">
        <f>$H$1/F11</f>
        <v>0.035568957816773834</v>
      </c>
      <c r="I11" s="44"/>
      <c r="J11" s="7" t="s">
        <v>68</v>
      </c>
      <c r="K11" s="40">
        <f>(H4*I5-H5*I4)/SQRT(J4*J5*H6*I6)</f>
        <v>0.31104707651738517</v>
      </c>
      <c r="M11" t="s">
        <v>34</v>
      </c>
      <c r="N11">
        <f>R11-O11-P11-Q11</f>
        <v>1708</v>
      </c>
      <c r="O11">
        <f>O4-Q4</f>
        <v>39</v>
      </c>
      <c r="P11">
        <f>P4-Q4</f>
        <v>261</v>
      </c>
      <c r="Q11">
        <f>Q4</f>
        <v>49</v>
      </c>
      <c r="R11">
        <f>N4</f>
        <v>2057</v>
      </c>
      <c r="T11">
        <f>$H$1/R11</f>
        <v>0.001867499972878743</v>
      </c>
      <c r="U11" s="44"/>
      <c r="V11" s="7" t="s">
        <v>68</v>
      </c>
      <c r="W11" s="40">
        <f>(T4*U5-T5*U4)/SQRT(V4*V5*T6*U6)</f>
        <v>0.2399786758876159</v>
      </c>
    </row>
    <row r="12" spans="1:23" ht="12.75">
      <c r="A12" t="s">
        <v>35</v>
      </c>
      <c r="B12">
        <f>F12-C12-D12-E12</f>
        <v>36</v>
      </c>
      <c r="C12">
        <f>C5-E5</f>
        <v>2</v>
      </c>
      <c r="D12">
        <f>D5-E5</f>
        <v>10</v>
      </c>
      <c r="E12">
        <f>E5</f>
        <v>2</v>
      </c>
      <c r="F12">
        <f>B5</f>
        <v>50</v>
      </c>
      <c r="H12">
        <f>$H$1/F12</f>
        <v>0.07682894888423149</v>
      </c>
      <c r="I12" s="19"/>
      <c r="J12" s="10" t="s">
        <v>75</v>
      </c>
      <c r="K12" s="40">
        <f>IF(SIGN(J28)=SIGN(J41),-SIGN(J28)*SQRT(J28*J41),-(J28+J41)/2)</f>
        <v>0.1023518121380537</v>
      </c>
      <c r="M12" t="s">
        <v>35</v>
      </c>
      <c r="N12">
        <f>R12-O12-P12-Q12</f>
        <v>629</v>
      </c>
      <c r="O12">
        <f>O5-Q5</f>
        <v>19</v>
      </c>
      <c r="P12">
        <f>P5-Q5</f>
        <v>90</v>
      </c>
      <c r="Q12">
        <f>Q5</f>
        <v>15</v>
      </c>
      <c r="R12">
        <f>N5</f>
        <v>753</v>
      </c>
      <c r="T12">
        <f>$H$1/R12</f>
        <v>0.005101523830294255</v>
      </c>
      <c r="U12" s="19"/>
      <c r="V12" s="10" t="s">
        <v>75</v>
      </c>
      <c r="W12" s="40">
        <f>IF(SIGN(V28)=SIGN(V41),-SIGN(V28)*SQRT(V28*V41),-(V28+V41)/2)</f>
        <v>0.17725842562011973</v>
      </c>
    </row>
    <row r="13" spans="1:23" ht="12.75">
      <c r="A13" t="s">
        <v>36</v>
      </c>
      <c r="B13">
        <f>F13-C13-D13-E13</f>
        <v>41</v>
      </c>
      <c r="C13">
        <f>C6-E6</f>
        <v>4</v>
      </c>
      <c r="D13">
        <f>D6-E6</f>
        <v>7</v>
      </c>
      <c r="E13">
        <f>E6</f>
        <v>6</v>
      </c>
      <c r="F13">
        <f>B6</f>
        <v>58</v>
      </c>
      <c r="H13">
        <f>$H$1/F13</f>
        <v>0.06623185248640645</v>
      </c>
      <c r="I13" s="46"/>
      <c r="J13" s="10" t="s">
        <v>76</v>
      </c>
      <c r="K13" s="40">
        <f>IF(SIGN(J27)=SIGN(J40),-SIGN(J27)*SQRT(J40*J27),-(J27+J40)/2)</f>
        <v>0.524502966557925</v>
      </c>
      <c r="M13" t="s">
        <v>36</v>
      </c>
      <c r="N13">
        <f>R13-O13-P13-Q13</f>
        <v>1079</v>
      </c>
      <c r="O13">
        <f>O6-Q6</f>
        <v>20</v>
      </c>
      <c r="P13">
        <f>P6-Q6</f>
        <v>171</v>
      </c>
      <c r="Q13">
        <f>Q6</f>
        <v>34</v>
      </c>
      <c r="R13">
        <f>N6</f>
        <v>1304</v>
      </c>
      <c r="T13">
        <f>$H$1/R13</f>
        <v>0.0029458952793033543</v>
      </c>
      <c r="U13" s="46"/>
      <c r="V13" s="10" t="s">
        <v>76</v>
      </c>
      <c r="W13" s="40">
        <f>IF(SIGN(V27)=SIGN(V40),-SIGN(V27)*SQRT(V40*V27),-(V27+V40)/2)</f>
        <v>0.30803478611776847</v>
      </c>
    </row>
    <row r="15" spans="1:22" ht="12.75">
      <c r="A15" t="str">
        <f>A11</f>
        <v>ICE-GB</v>
      </c>
      <c r="B15" s="19">
        <f>B11/F11</f>
        <v>0.7129629629629629</v>
      </c>
      <c r="C15" s="19">
        <f>C11/F11</f>
        <v>0.05555555555555555</v>
      </c>
      <c r="D15" s="19">
        <f>D11/F11</f>
        <v>0.1574074074074074</v>
      </c>
      <c r="E15" s="19">
        <f>E11/F11</f>
        <v>0.07407407407407407</v>
      </c>
      <c r="F15" s="19">
        <f>C4*D4/F11^2</f>
        <v>0.030006858710562415</v>
      </c>
      <c r="G15" s="19"/>
      <c r="J15" s="19"/>
      <c r="M15" t="str">
        <f>M11</f>
        <v>ICE-GB</v>
      </c>
      <c r="N15" s="19">
        <f>N11/R11</f>
        <v>0.8303354399611084</v>
      </c>
      <c r="O15" s="19">
        <f>O11/R11</f>
        <v>0.018959649975692758</v>
      </c>
      <c r="P15" s="19">
        <f>P11/R11</f>
        <v>0.12688381137579</v>
      </c>
      <c r="Q15" s="19">
        <f>Q11/R11</f>
        <v>0.023821098687408847</v>
      </c>
      <c r="R15" s="19">
        <f>O4*P4/R11^2</f>
        <v>0.006447268879709041</v>
      </c>
      <c r="V15" s="19"/>
    </row>
    <row r="16" spans="1:21" ht="12.75">
      <c r="A16" t="str">
        <f>A12</f>
        <v> spoken</v>
      </c>
      <c r="B16" s="19">
        <f>B12/F12</f>
        <v>0.72</v>
      </c>
      <c r="C16" s="19">
        <f>C12/F12</f>
        <v>0.04</v>
      </c>
      <c r="D16" s="19">
        <f>D12/F12</f>
        <v>0.2</v>
      </c>
      <c r="E16" s="19">
        <f>E12/F12</f>
        <v>0.04</v>
      </c>
      <c r="F16" s="19">
        <f>C5*D5/F12^2</f>
        <v>0.0192</v>
      </c>
      <c r="G16" s="19"/>
      <c r="I16" s="44"/>
      <c r="M16" t="str">
        <f>M12</f>
        <v> spoken</v>
      </c>
      <c r="N16" s="19">
        <f>N12/R12</f>
        <v>0.8353253652058433</v>
      </c>
      <c r="O16" s="19">
        <f>O12/R12</f>
        <v>0.025232403718459494</v>
      </c>
      <c r="P16" s="19">
        <f>P12/R12</f>
        <v>0.11952191235059761</v>
      </c>
      <c r="Q16" s="19">
        <f>Q12/R12</f>
        <v>0.0199203187250996</v>
      </c>
      <c r="R16" s="19">
        <f>O5*P5/R12^2</f>
        <v>0.006296196356671587</v>
      </c>
      <c r="U16" s="44"/>
    </row>
    <row r="17" spans="1:23" ht="12.75">
      <c r="A17" t="str">
        <f>A13</f>
        <v> written</v>
      </c>
      <c r="B17" s="19">
        <f>B13/F13</f>
        <v>0.7068965517241379</v>
      </c>
      <c r="C17" s="19">
        <f>C13/F13</f>
        <v>0.06896551724137931</v>
      </c>
      <c r="D17" s="19">
        <f>D13/F13</f>
        <v>0.1206896551724138</v>
      </c>
      <c r="E17" s="19">
        <f>E13/F13</f>
        <v>0.10344827586206896</v>
      </c>
      <c r="F17" s="19">
        <f>C6*D6/F13^2</f>
        <v>0.03864447086801427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0.8274539877300614</v>
      </c>
      <c r="O17" s="19">
        <f>O13/R13</f>
        <v>0.015337423312883436</v>
      </c>
      <c r="P17" s="19">
        <f>P13/R13</f>
        <v>0.13113496932515337</v>
      </c>
      <c r="Q17" s="19">
        <f>Q13/R13</f>
        <v>0.02607361963190184</v>
      </c>
      <c r="R17" s="19">
        <f>O6*P6/R13^2</f>
        <v>0.00651017162858971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0.927710843373494</v>
      </c>
      <c r="K18" s="19">
        <f>I4/I6</f>
        <v>0.68</v>
      </c>
      <c r="N18" s="19"/>
      <c r="O18" s="19"/>
      <c r="P18" s="19"/>
      <c r="Q18" s="19"/>
      <c r="R18" s="19"/>
      <c r="U18" t="s">
        <v>74</v>
      </c>
      <c r="V18" s="19">
        <f>T4/T6</f>
        <v>0.9776760160274757</v>
      </c>
      <c r="W18" s="19">
        <f>U4/U6</f>
        <v>0.8419354838709677</v>
      </c>
    </row>
    <row r="19" spans="1:23" ht="12.75">
      <c r="A19" t="s">
        <v>60</v>
      </c>
      <c r="B19" s="19">
        <f>(B15+H11/2)/(1+H11)</f>
        <v>0.7056482683798668</v>
      </c>
      <c r="C19" s="19">
        <f>(C15+H11/2)/(1+H11)</f>
        <v>0.07082100512027778</v>
      </c>
      <c r="D19" s="19">
        <f>(D15+H11/2)/(1+H11)</f>
        <v>0.1691745247802141</v>
      </c>
      <c r="E19" s="19">
        <f>(E15+H11/2)/(1+H11)</f>
        <v>0.08870346324026619</v>
      </c>
      <c r="F19" s="19"/>
      <c r="G19" s="19"/>
      <c r="I19" t="s">
        <v>62</v>
      </c>
      <c r="J19" s="19">
        <f>$H$1/H6</f>
        <v>0.04628249932785029</v>
      </c>
      <c r="K19" s="19">
        <f>$H$1/I6</f>
        <v>0.15365789776846298</v>
      </c>
      <c r="M19" t="s">
        <v>60</v>
      </c>
      <c r="N19" s="19">
        <f>(N15+T11/2)/(1+T11)</f>
        <v>0.8297196884518669</v>
      </c>
      <c r="O19" s="19">
        <f>(O15+T11/2)/(1+T11)</f>
        <v>0.01985631828826732</v>
      </c>
      <c r="P19" s="19">
        <f>(P15+T11/2)/(1+T11)</f>
        <v>0.12757930700984857</v>
      </c>
      <c r="Q19" s="19">
        <f>(Q15+T11/2)/(1+T11)</f>
        <v>0.024708705167617827</v>
      </c>
      <c r="R19" s="19"/>
      <c r="U19" t="s">
        <v>62</v>
      </c>
      <c r="V19" s="19">
        <f>$H$1/T6</f>
        <v>0.002198882337842916</v>
      </c>
      <c r="W19" s="19">
        <f>$H$1/U6</f>
        <v>0.012391765949069595</v>
      </c>
    </row>
    <row r="20" spans="2:23" ht="12.75">
      <c r="B20" s="19">
        <f>(B16+H12/2)/(1+H12)</f>
        <v>0.7043035713591796</v>
      </c>
      <c r="C20" s="19">
        <f>(C16+H12/2)/(1+H12)</f>
        <v>0.0728198053398971</v>
      </c>
      <c r="D20" s="19">
        <f>(D16+H12/2)/(1+H12)</f>
        <v>0.22140422087384592</v>
      </c>
      <c r="E20" s="19">
        <f>(E16+H12/2)/(1+H12)</f>
        <v>0.0728198053398971</v>
      </c>
      <c r="F20" s="19"/>
      <c r="G20" s="19"/>
      <c r="I20" t="s">
        <v>60</v>
      </c>
      <c r="J20" s="19">
        <f>(J18+J19/2)/(1+J19)</f>
        <v>0.908790975332439</v>
      </c>
      <c r="K20" s="19">
        <f>(K18+K19/2)/(1+K19)</f>
        <v>0.6560254563750455</v>
      </c>
      <c r="N20" s="19">
        <f>(N16+T12/2)/(1+T12)</f>
        <v>0.8336233775947007</v>
      </c>
      <c r="O20" s="19">
        <f>(O16+T12/2)/(1+T12)</f>
        <v>0.02764214855403766</v>
      </c>
      <c r="P20" s="19">
        <f>(P16+T12/2)/(1+T12)</f>
        <v>0.12145307849155745</v>
      </c>
      <c r="Q20" s="19">
        <f>(Q16+T12/2)/(1+T12)</f>
        <v>0.022357025740656268</v>
      </c>
      <c r="R20" s="19"/>
      <c r="U20" t="s">
        <v>60</v>
      </c>
      <c r="V20" s="19">
        <f>(V18+V19/2)/(1+V19)</f>
        <v>0.9766279672086585</v>
      </c>
      <c r="W20" s="19">
        <f>(W18+W19/2)/(1+W19)</f>
        <v>0.8377501629030135</v>
      </c>
    </row>
    <row r="21" spans="2:23" ht="12.75">
      <c r="B21" s="19">
        <f>(B17+H13/2)/(1+H13)</f>
        <v>0.6940446172581171</v>
      </c>
      <c r="C21" s="19">
        <f>(C17+H13/2)/(1+H13)</f>
        <v>0.09574038071225599</v>
      </c>
      <c r="D21" s="19">
        <f>(D17+H13/2)/(1+H13)</f>
        <v>0.14425153502678525</v>
      </c>
      <c r="E21" s="19">
        <f>(E17+H13/2)/(1+H13)</f>
        <v>0.12808115025527553</v>
      </c>
      <c r="F21" s="19"/>
      <c r="G21" s="19"/>
      <c r="I21" t="s">
        <v>61</v>
      </c>
      <c r="J21" s="19">
        <f>$G$1*SQRT((J18*(1-J18)+J19/4)/H6)/(1+J19)</f>
        <v>0.057658692309486524</v>
      </c>
      <c r="K21" s="19">
        <f>$G$1*SQRT((K18*(1-K18)+K19/4)/I6)/(1+K19)</f>
        <v>0.1719224771413392</v>
      </c>
      <c r="N21" s="19">
        <f>(N17+T13/2)/(1+T13)</f>
        <v>0.8264921759701415</v>
      </c>
      <c r="O21" s="19">
        <f>(O17+T13/2)/(1+T13)</f>
        <v>0.016760994817027204</v>
      </c>
      <c r="P21" s="19">
        <f>(P17+T13/2)/(1+T13)</f>
        <v>0.1322184153591615</v>
      </c>
      <c r="Q21" s="19">
        <f>(Q17+T13/2)/(1+T13)</f>
        <v>0.027465656324244955</v>
      </c>
      <c r="R21" s="19"/>
      <c r="U21" t="s">
        <v>61</v>
      </c>
      <c r="V21" s="19">
        <f>$G$1*SQRT((V18*(1-V18)+V19/4)/T6)/(1+V19)</f>
        <v>0.00699893475050636</v>
      </c>
      <c r="W21" s="19">
        <f>$G$1*SQRT((W18*(1-W18)+W19/4)/U6)/(1+W19)</f>
        <v>0.04057621923106772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0.8511322830229525</v>
      </c>
      <c r="K22" s="19">
        <f>K20-K21</f>
        <v>0.48410297923370627</v>
      </c>
      <c r="N22" s="19"/>
      <c r="O22" s="19"/>
      <c r="P22" s="19"/>
      <c r="Q22" s="19"/>
      <c r="R22" s="19"/>
      <c r="U22" t="s">
        <v>17</v>
      </c>
      <c r="V22" s="19">
        <f>V20-V21</f>
        <v>0.9696290324581521</v>
      </c>
      <c r="W22" s="19">
        <f>W20-W21</f>
        <v>0.7971739436719458</v>
      </c>
    </row>
    <row r="23" spans="1:23" ht="12.75">
      <c r="A23" t="s">
        <v>61</v>
      </c>
      <c r="B23" s="19">
        <f>$G$1*SQRT((B15*(1-B15)+H11/4)/F11)/(1+H11)</f>
        <v>0.0841579533105158</v>
      </c>
      <c r="C23" s="19">
        <f>$G$1*SQRT((C15*(1-C15)+H11/4)/$F11)/(1+H11)</f>
        <v>0.04511324727374072</v>
      </c>
      <c r="D23" s="19">
        <f>$G$1*SQRT((D15*(1-D15)+H11/4)/$F11)/(1+H11)</f>
        <v>0.06851243086718259</v>
      </c>
      <c r="E23" s="19">
        <f>$G$1*SQRT((E15*(1-E15)+H11/4)/$F11)/(1+H11)</f>
        <v>0.050693177856503124</v>
      </c>
      <c r="F23" s="19"/>
      <c r="G23" s="19"/>
      <c r="I23" t="s">
        <v>18</v>
      </c>
      <c r="J23" s="19">
        <f>J20+J21</f>
        <v>0.9664496676419255</v>
      </c>
      <c r="K23" s="19">
        <f>K20+K21</f>
        <v>0.8279479335163847</v>
      </c>
      <c r="M23" t="s">
        <v>61</v>
      </c>
      <c r="N23" s="19">
        <f>$G$1*SQRT((N15*(1-N15)+T11/4)/R11)/(1+T11)</f>
        <v>0.016216637555588154</v>
      </c>
      <c r="O23" s="19">
        <f>$G$1*SQRT((O15*(1-O15)+T11/4)/$R11)/(1+T11)</f>
        <v>0.00595609809576482</v>
      </c>
      <c r="P23" s="19">
        <f>$G$1*SQRT((P15*(1-P15)+T11/4)/$R11)/(1+T11)</f>
        <v>0.014387069312144311</v>
      </c>
      <c r="Q23" s="19">
        <f>$G$1*SQRT((Q15*(1-Q15)+T11/4)/$R11)/(1+T11)</f>
        <v>0.006643274502836082</v>
      </c>
      <c r="R23" s="19"/>
      <c r="U23" t="s">
        <v>18</v>
      </c>
      <c r="V23" s="19">
        <f>V20+V21</f>
        <v>0.9836269019591649</v>
      </c>
      <c r="W23" s="19">
        <f>W20+W21</f>
        <v>0.8783263821340812</v>
      </c>
    </row>
    <row r="24" spans="2:23" ht="12.75">
      <c r="B24" s="19">
        <f>$G$1*SQRT((B16*(1-B16)+H12/4)/F12)/(1+H12)</f>
        <v>0.12095459602388342</v>
      </c>
      <c r="C24" s="19">
        <f>$G$1*SQRT((C16*(1-C16)+H12/4)/$F12)/(1+H12)</f>
        <v>0.0617809023436937</v>
      </c>
      <c r="D24" s="19">
        <f>$G$1*SQRT((D16*(1-D16)+H12/4)/$F12)/(1+H12)</f>
        <v>0.1089666239601262</v>
      </c>
      <c r="E24" s="19">
        <f>$G$1*SQRT((E16*(1-E16)+H12/4)/$F12)/(1+H12)</f>
        <v>0.0617809023436937</v>
      </c>
      <c r="F24" s="19"/>
      <c r="G24" s="19"/>
      <c r="I24" t="s">
        <v>70</v>
      </c>
      <c r="J24" s="19">
        <f>-SQRT((J22-J18)^2+(K23-K18)^2)</f>
        <v>-0.16659191738235712</v>
      </c>
      <c r="K24" s="19">
        <f>SQRT((K22-K18)^2+(J23-J18)^2)</f>
        <v>0.19969060881976938</v>
      </c>
      <c r="N24" s="19">
        <f>$G$1*SQRT((N16*(1-N16)+T12/4)/R12)/(1+T12)</f>
        <v>0.02647800483012792</v>
      </c>
      <c r="O24" s="19">
        <f>$G$1*SQRT((O16*(1-O16)+T12/4)/$R12)/(1+T12)</f>
        <v>0.011430035090554501</v>
      </c>
      <c r="P24" s="19">
        <f>$G$1*SQRT((P16*(1-P16)+T12/4)/$R12)/(1+T12)</f>
        <v>0.02319203737614111</v>
      </c>
      <c r="Q24" s="19">
        <f>$G$1*SQRT((Q16*(1-Q16)+T12/4)/$R12)/(1+T12)</f>
        <v>0.01024849300770216</v>
      </c>
      <c r="R24" s="19"/>
      <c r="U24" t="s">
        <v>70</v>
      </c>
      <c r="V24" s="19">
        <f>-SQRT((V22-V18)^2+(W23-W18)^2)</f>
        <v>-0.03726998015777898</v>
      </c>
      <c r="W24" s="19">
        <f>SQRT((W22-W18)^2+(V23-V18)^2)</f>
        <v>0.045155382008799684</v>
      </c>
    </row>
    <row r="25" spans="2:23" ht="12.75">
      <c r="B25" s="19">
        <f>$G$1*SQRT((B17*(1-B17)+H13/4)/F13)/(1+H13)</f>
        <v>0.11417342995908929</v>
      </c>
      <c r="C25" s="19">
        <f>$G$1*SQRT((C17*(1-C17)+H13/4)/$F13)/(1+H13)</f>
        <v>0.0685960982847461</v>
      </c>
      <c r="D25" s="19">
        <f>$G$1*SQRT((D17*(1-D17)+H13/4)/$F13)/(1+H13)</f>
        <v>0.08454181345956871</v>
      </c>
      <c r="E25" s="19">
        <f>$G$1*SQRT((E17*(1-E17)+H13/4)/$F13)/(1+H13)</f>
        <v>0.07979968986707167</v>
      </c>
      <c r="F25" s="19"/>
      <c r="G25" s="19"/>
      <c r="J25" s="19"/>
      <c r="K25" s="19"/>
      <c r="N25" s="19">
        <f>$G$1*SQRT((N17*(1-N17)+T13/4)/R13)/(1+T13)</f>
        <v>0.02050089274333812</v>
      </c>
      <c r="O25" s="19">
        <f>$G$1*SQRT((O17*(1-O17)+T13/4)/$R13)/(1+T13)</f>
        <v>0.006810678393120351</v>
      </c>
      <c r="P25" s="19">
        <f>$G$1*SQRT((P17*(1-P17)+T13/4)/$R13)/(1+T13)</f>
        <v>0.018325913848521422</v>
      </c>
      <c r="Q25" s="19">
        <f>$G$1*SQRT((Q17*(1-Q17)+T13/4)/$R13)/(1+T13)</f>
        <v>0.008747883907257592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-0.24771084337349392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-0.13574053215650794</v>
      </c>
      <c r="W26" s="19"/>
    </row>
    <row r="27" spans="1:23" ht="12.75">
      <c r="A27" t="s">
        <v>17</v>
      </c>
      <c r="B27" s="19">
        <f aca="true" t="shared" si="0" ref="B27:E29">B19-B23</f>
        <v>0.621490315069351</v>
      </c>
      <c r="C27" s="19">
        <f t="shared" si="0"/>
        <v>0.02570775784653706</v>
      </c>
      <c r="D27" s="19">
        <f t="shared" si="0"/>
        <v>0.10066209391303152</v>
      </c>
      <c r="E27" s="19">
        <f t="shared" si="0"/>
        <v>0.03801028538376307</v>
      </c>
      <c r="F27" s="19"/>
      <c r="G27" s="19"/>
      <c r="I27" t="s">
        <v>72</v>
      </c>
      <c r="J27" s="19">
        <f>J26-K24</f>
        <v>-0.4474014521932633</v>
      </c>
      <c r="K27" s="19"/>
      <c r="M27" t="s">
        <v>17</v>
      </c>
      <c r="N27" s="19">
        <f aca="true" t="shared" si="1" ref="N27:Q29">N19-N23</f>
        <v>0.8135030508962788</v>
      </c>
      <c r="O27" s="19">
        <f t="shared" si="1"/>
        <v>0.013900220192502501</v>
      </c>
      <c r="P27" s="19">
        <f t="shared" si="1"/>
        <v>0.11319223769770426</v>
      </c>
      <c r="Q27" s="19">
        <f t="shared" si="1"/>
        <v>0.018065430664781744</v>
      </c>
      <c r="R27" s="19"/>
      <c r="U27" t="s">
        <v>72</v>
      </c>
      <c r="V27" s="19">
        <f>V26-W24</f>
        <v>-0.18089591416530762</v>
      </c>
      <c r="W27" s="19"/>
    </row>
    <row r="28" spans="2:22" ht="12.75">
      <c r="B28" s="19">
        <f t="shared" si="0"/>
        <v>0.5833489753352963</v>
      </c>
      <c r="C28" s="19">
        <f t="shared" si="0"/>
        <v>0.0110389029962034</v>
      </c>
      <c r="D28" s="19">
        <f t="shared" si="0"/>
        <v>0.11243759691371973</v>
      </c>
      <c r="E28" s="19">
        <f t="shared" si="0"/>
        <v>0.0110389029962034</v>
      </c>
      <c r="F28" s="19"/>
      <c r="G28" s="19"/>
      <c r="I28" t="s">
        <v>73</v>
      </c>
      <c r="J28" s="19">
        <f>J26-J24</f>
        <v>-0.08111892599113679</v>
      </c>
      <c r="N28" s="19">
        <f t="shared" si="1"/>
        <v>0.8071453727645728</v>
      </c>
      <c r="O28" s="19">
        <f t="shared" si="1"/>
        <v>0.016212113463483162</v>
      </c>
      <c r="P28" s="19">
        <f t="shared" si="1"/>
        <v>0.09826104111541634</v>
      </c>
      <c r="Q28" s="19">
        <f t="shared" si="1"/>
        <v>0.012108532732954109</v>
      </c>
      <c r="R28" s="19"/>
      <c r="U28" t="s">
        <v>73</v>
      </c>
      <c r="V28" s="19">
        <f>V26-V24</f>
        <v>-0.09847055199872896</v>
      </c>
    </row>
    <row r="29" spans="2:18" ht="12.75">
      <c r="B29" s="19">
        <f t="shared" si="0"/>
        <v>0.5798711872990278</v>
      </c>
      <c r="C29" s="19">
        <f t="shared" si="0"/>
        <v>0.027144282427509894</v>
      </c>
      <c r="D29" s="19">
        <f t="shared" si="0"/>
        <v>0.059709721567216545</v>
      </c>
      <c r="E29" s="19">
        <f t="shared" si="0"/>
        <v>0.048281460388203856</v>
      </c>
      <c r="F29" s="19"/>
      <c r="G29" s="19"/>
      <c r="N29" s="19">
        <f t="shared" si="1"/>
        <v>0.8059912832268034</v>
      </c>
      <c r="O29" s="19">
        <f t="shared" si="1"/>
        <v>0.009950316423906853</v>
      </c>
      <c r="P29" s="19">
        <f t="shared" si="1"/>
        <v>0.11389250151064009</v>
      </c>
      <c r="Q29" s="19">
        <f t="shared" si="1"/>
        <v>0.018717772416987362</v>
      </c>
      <c r="R29" s="19"/>
    </row>
    <row r="30" spans="2:23" ht="12.75">
      <c r="B30" s="19"/>
      <c r="C30" s="19"/>
      <c r="D30" s="19"/>
      <c r="E30" s="19"/>
      <c r="F30" s="19"/>
      <c r="G30" s="19"/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0.7898062216903826</v>
      </c>
      <c r="C31" s="19">
        <f t="shared" si="2"/>
        <v>0.1159342523940185</v>
      </c>
      <c r="D31" s="19">
        <f t="shared" si="2"/>
        <v>0.2376869556473967</v>
      </c>
      <c r="E31" s="19">
        <f t="shared" si="2"/>
        <v>0.1393966410967693</v>
      </c>
      <c r="F31" s="19"/>
      <c r="G31" s="19">
        <f>D15-C15</f>
        <v>0.10185185185185186</v>
      </c>
      <c r="H31" t="str">
        <f>IF(G31&gt;G39,"s+",IF(G31&lt;G35,"s-","ns"))</f>
        <v>s+</v>
      </c>
      <c r="I31" t="s">
        <v>69</v>
      </c>
      <c r="J31" s="19">
        <f>H4/J4</f>
        <v>0.8191489361702128</v>
      </c>
      <c r="K31" s="19">
        <f>H5/J5</f>
        <v>0.42857142857142855</v>
      </c>
      <c r="M31" t="s">
        <v>18</v>
      </c>
      <c r="N31" s="19">
        <f aca="true" t="shared" si="3" ref="N31:Q33">N19+N23</f>
        <v>0.845936326007455</v>
      </c>
      <c r="O31" s="19">
        <f t="shared" si="3"/>
        <v>0.02581241638403214</v>
      </c>
      <c r="P31" s="19">
        <f t="shared" si="3"/>
        <v>0.14196637632199288</v>
      </c>
      <c r="Q31" s="19">
        <f t="shared" si="3"/>
        <v>0.03135197967045391</v>
      </c>
      <c r="R31" s="19"/>
      <c r="S31" s="19">
        <f>P15-O15</f>
        <v>0.10792416140009724</v>
      </c>
      <c r="T31" t="str">
        <f>IF(S31&gt;S39,"s+",IF(S31&lt;S35,"s-","ns"))</f>
        <v>s+</v>
      </c>
      <c r="U31" t="s">
        <v>69</v>
      </c>
      <c r="V31" s="19">
        <f>T4/V4</f>
        <v>0.867445403758253</v>
      </c>
      <c r="W31" s="19">
        <f>T5/V5</f>
        <v>0.4431818181818182</v>
      </c>
    </row>
    <row r="32" spans="2:23" ht="12.75">
      <c r="B32" s="19">
        <f t="shared" si="2"/>
        <v>0.825258167383063</v>
      </c>
      <c r="C32" s="19">
        <f t="shared" si="2"/>
        <v>0.13460070768359078</v>
      </c>
      <c r="D32" s="19">
        <f t="shared" si="2"/>
        <v>0.3303708448339721</v>
      </c>
      <c r="E32" s="19">
        <f t="shared" si="2"/>
        <v>0.13460070768359078</v>
      </c>
      <c r="F32" s="19"/>
      <c r="G32" s="19">
        <f>D16-C16</f>
        <v>0.16</v>
      </c>
      <c r="H32" t="str">
        <f>IF(G32&gt;G40,"s+",IF(G32&lt;G36,"s-","ns"))</f>
        <v>s+</v>
      </c>
      <c r="I32" t="s">
        <v>62</v>
      </c>
      <c r="J32" s="19">
        <f>$H$1/J4</f>
        <v>0.04086646217246356</v>
      </c>
      <c r="K32" s="19">
        <f>$H$1/J5</f>
        <v>0.2743891031579696</v>
      </c>
      <c r="N32" s="19">
        <f t="shared" si="3"/>
        <v>0.8601013824248287</v>
      </c>
      <c r="O32" s="19">
        <f t="shared" si="3"/>
        <v>0.03907218364459216</v>
      </c>
      <c r="P32" s="19">
        <f t="shared" si="3"/>
        <v>0.14464511586769857</v>
      </c>
      <c r="Q32" s="19">
        <f t="shared" si="3"/>
        <v>0.03260551874835843</v>
      </c>
      <c r="R32" s="19"/>
      <c r="S32" s="19">
        <f>P16-O16</f>
        <v>0.09428950863213811</v>
      </c>
      <c r="T32" t="str">
        <f>IF(S32&gt;S40,"s+",IF(S32&lt;S36,"s-","ns"))</f>
        <v>s+</v>
      </c>
      <c r="U32" t="s">
        <v>62</v>
      </c>
      <c r="V32" s="19">
        <f>$H$1/V4</f>
        <v>0.0019509636588174576</v>
      </c>
      <c r="W32" s="19">
        <f>$H$1/V5</f>
        <v>0.043652811866040614</v>
      </c>
    </row>
    <row r="33" spans="2:23" ht="12.75">
      <c r="B33" s="19">
        <f t="shared" si="2"/>
        <v>0.8082180472172064</v>
      </c>
      <c r="C33" s="19">
        <f t="shared" si="2"/>
        <v>0.1643364789970021</v>
      </c>
      <c r="D33" s="19">
        <f t="shared" si="2"/>
        <v>0.22879334848635396</v>
      </c>
      <c r="E33" s="19">
        <f t="shared" si="2"/>
        <v>0.2078808401223472</v>
      </c>
      <c r="F33" s="19"/>
      <c r="G33" s="19">
        <f>D17-C17</f>
        <v>0.05172413793103449</v>
      </c>
      <c r="H33" t="str">
        <f>IF(G33&gt;G41,"s+",IF(G33&lt;G37,"s-","ns"))</f>
        <v>ns</v>
      </c>
      <c r="I33" t="s">
        <v>60</v>
      </c>
      <c r="J33" s="19">
        <f>(J31+J32/2)/(1+J32)</f>
        <v>0.8066185219418975</v>
      </c>
      <c r="K33" s="19">
        <f>(K31+K32/2)/(1+K32)</f>
        <v>0.4439507358846921</v>
      </c>
      <c r="N33" s="19">
        <f t="shared" si="3"/>
        <v>0.8469930687134796</v>
      </c>
      <c r="O33" s="19">
        <f t="shared" si="3"/>
        <v>0.023571673210147553</v>
      </c>
      <c r="P33" s="19">
        <f t="shared" si="3"/>
        <v>0.15054432920768293</v>
      </c>
      <c r="Q33" s="19">
        <f t="shared" si="3"/>
        <v>0.03621354023150255</v>
      </c>
      <c r="R33" s="19"/>
      <c r="S33" s="19">
        <f>P17-O17</f>
        <v>0.11579754601226994</v>
      </c>
      <c r="T33" t="str">
        <f>IF(S33&gt;S41,"s+",IF(S33&lt;S37,"s-","ns"))</f>
        <v>s+</v>
      </c>
      <c r="U33" t="s">
        <v>60</v>
      </c>
      <c r="V33" s="19">
        <f>(V31+V32/2)/(1+V32)</f>
        <v>0.8667299269980789</v>
      </c>
      <c r="W33" s="19">
        <f>(W31+W32/2)/(1+W32)</f>
        <v>0.4455583493167699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0.07728799425206909</v>
      </c>
      <c r="K34" s="19">
        <f>$G$1*SQRT((K31*(1-K31)+K32/4)/J5)/(1+K32)</f>
        <v>0.23014251397538588</v>
      </c>
      <c r="N34" s="19"/>
      <c r="O34" s="19"/>
      <c r="P34" s="19"/>
      <c r="Q34" s="19"/>
      <c r="R34" s="19"/>
      <c r="S34" s="19"/>
      <c r="U34" t="s">
        <v>61</v>
      </c>
      <c r="V34" s="19">
        <f>$G$1*SQRT((V31*(1-V31)+V32/4)/V4)/(1+V32)</f>
        <v>0.014980135604556667</v>
      </c>
      <c r="W34" s="19">
        <f>$G$1*SQRT((W31*(1-W31)+W32/4)/V5)/(1+W32)</f>
        <v>0.10162359330342936</v>
      </c>
    </row>
    <row r="35" spans="1:23" ht="12.75">
      <c r="A35" t="s">
        <v>30</v>
      </c>
      <c r="B35" s="19">
        <f aca="true" t="shared" si="4" ref="B35:E37">B15-B27</f>
        <v>0.09147264789361187</v>
      </c>
      <c r="C35" s="19">
        <f t="shared" si="4"/>
        <v>0.029847797709018492</v>
      </c>
      <c r="D35" s="19">
        <f t="shared" si="4"/>
        <v>0.05674531349437589</v>
      </c>
      <c r="E35" s="19">
        <f t="shared" si="4"/>
        <v>0.036063788690311</v>
      </c>
      <c r="F35" s="19"/>
      <c r="G35" s="19">
        <f>-SQRT(C35^2+D39^2)</f>
        <v>-0.08564868296532793</v>
      </c>
      <c r="I35" t="s">
        <v>17</v>
      </c>
      <c r="J35" s="19">
        <f>J33-J34</f>
        <v>0.7293305276898284</v>
      </c>
      <c r="K35" s="19">
        <f>K33-K34</f>
        <v>0.2138082219093062</v>
      </c>
      <c r="M35" t="s">
        <v>30</v>
      </c>
      <c r="N35" s="19">
        <f aca="true" t="shared" si="5" ref="N35:Q37">N15-N27</f>
        <v>0.016832389064829534</v>
      </c>
      <c r="O35" s="19">
        <f t="shared" si="5"/>
        <v>0.005059429783190256</v>
      </c>
      <c r="P35" s="19">
        <f t="shared" si="5"/>
        <v>0.013691573678085739</v>
      </c>
      <c r="Q35" s="19">
        <f t="shared" si="5"/>
        <v>0.0057556680226271036</v>
      </c>
      <c r="R35" s="19"/>
      <c r="S35" s="19">
        <f>-SQRT(O35^2+P39^2)</f>
        <v>-0.01590853843341558</v>
      </c>
      <c r="U35" t="s">
        <v>17</v>
      </c>
      <c r="V35" s="19">
        <f>V33-V34</f>
        <v>0.8517497913935222</v>
      </c>
      <c r="W35" s="19">
        <f>W33-W34</f>
        <v>0.34393475601334056</v>
      </c>
    </row>
    <row r="36" spans="2:23" ht="12.75">
      <c r="B36" s="19">
        <f t="shared" si="4"/>
        <v>0.1366510246647037</v>
      </c>
      <c r="C36" s="19">
        <f t="shared" si="4"/>
        <v>0.0289610970037966</v>
      </c>
      <c r="D36" s="19">
        <f t="shared" si="4"/>
        <v>0.08756240308628029</v>
      </c>
      <c r="E36" s="19">
        <f t="shared" si="4"/>
        <v>0.0289610970037966</v>
      </c>
      <c r="F36" s="19"/>
      <c r="G36" s="19">
        <f>-SQRT(C36^2+D40^2)</f>
        <v>-0.13354887615546207</v>
      </c>
      <c r="I36" t="s">
        <v>18</v>
      </c>
      <c r="J36" s="19">
        <f>J33+J34</f>
        <v>0.8839065161939667</v>
      </c>
      <c r="K36" s="19">
        <f>K33+K34</f>
        <v>0.674093249860078</v>
      </c>
      <c r="N36" s="19">
        <f t="shared" si="5"/>
        <v>0.028179992441270563</v>
      </c>
      <c r="O36" s="19">
        <f t="shared" si="5"/>
        <v>0.009020290254976332</v>
      </c>
      <c r="P36" s="19">
        <f t="shared" si="5"/>
        <v>0.021260871235181278</v>
      </c>
      <c r="Q36" s="19">
        <f t="shared" si="5"/>
        <v>0.007811785992145492</v>
      </c>
      <c r="R36" s="19"/>
      <c r="S36" s="19">
        <f>-SQRT(O36^2+P40^2)</f>
        <v>-0.026693463455417225</v>
      </c>
      <c r="U36" t="s">
        <v>18</v>
      </c>
      <c r="V36" s="19">
        <f>V33+V34</f>
        <v>0.8817100626026356</v>
      </c>
      <c r="W36" s="19">
        <f>W33+W34</f>
        <v>0.5471819426201993</v>
      </c>
    </row>
    <row r="37" spans="2:23" ht="12.75">
      <c r="B37" s="19">
        <f t="shared" si="4"/>
        <v>0.12702536442511014</v>
      </c>
      <c r="C37" s="19">
        <f t="shared" si="4"/>
        <v>0.041821234813869415</v>
      </c>
      <c r="D37" s="19">
        <f t="shared" si="4"/>
        <v>0.060979933605197253</v>
      </c>
      <c r="E37" s="19">
        <f t="shared" si="4"/>
        <v>0.05516681547386511</v>
      </c>
      <c r="F37" s="19"/>
      <c r="G37" s="19">
        <f>-SQRT(C37^2+D41^2)</f>
        <v>-0.11591127723164488</v>
      </c>
      <c r="I37" t="s">
        <v>70</v>
      </c>
      <c r="J37" s="19">
        <f>-SQRT((J35-J31)^2+(K36-K31)^2)</f>
        <v>-0.2614350994622656</v>
      </c>
      <c r="K37" s="19">
        <f>SQRT((K35-K31)^2+(J36-J31)^2)</f>
        <v>0.2243140189696809</v>
      </c>
      <c r="N37" s="19">
        <f t="shared" si="5"/>
        <v>0.021462704503258045</v>
      </c>
      <c r="O37" s="19">
        <f t="shared" si="5"/>
        <v>0.0053871068889765825</v>
      </c>
      <c r="P37" s="19">
        <f t="shared" si="5"/>
        <v>0.017242467814513274</v>
      </c>
      <c r="Q37" s="19">
        <f t="shared" si="5"/>
        <v>0.007355847214914477</v>
      </c>
      <c r="R37" s="19"/>
      <c r="S37" s="19">
        <f>-SQRT(O37^2+P41^2)</f>
        <v>-0.02014309240615271</v>
      </c>
      <c r="U37" t="s">
        <v>70</v>
      </c>
      <c r="V37" s="19">
        <f>-SQRT((V35-V31)^2+(W36-W31)^2)</f>
        <v>-0.10517784049267526</v>
      </c>
      <c r="W37" s="19">
        <f>SQRT((W35-W31)^2+(V36-V31)^2)</f>
        <v>0.10026694291250873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S38" s="19"/>
      <c r="V38" s="19"/>
      <c r="W38" s="19"/>
    </row>
    <row r="39" spans="1:23" ht="12.75">
      <c r="A39" t="s">
        <v>29</v>
      </c>
      <c r="B39" s="19">
        <f aca="true" t="shared" si="6" ref="B39:E41">B31-B15</f>
        <v>0.0768432587274197</v>
      </c>
      <c r="C39" s="19">
        <f t="shared" si="6"/>
        <v>0.06037869683846295</v>
      </c>
      <c r="D39" s="19">
        <f t="shared" si="6"/>
        <v>0.08027954823998928</v>
      </c>
      <c r="E39" s="19">
        <f t="shared" si="6"/>
        <v>0.06532256702269523</v>
      </c>
      <c r="F39" s="19"/>
      <c r="G39" s="19">
        <f>SQRT(D35^2+C39^2)</f>
        <v>0.08285902265587022</v>
      </c>
      <c r="I39" t="s">
        <v>71</v>
      </c>
      <c r="J39" s="19">
        <f>K31-J31</f>
        <v>-0.39057750759878423</v>
      </c>
      <c r="K39" s="19"/>
      <c r="M39" t="s">
        <v>29</v>
      </c>
      <c r="N39" s="19">
        <f aca="true" t="shared" si="7" ref="N39:Q41">N31-N15</f>
        <v>0.015600886046346685</v>
      </c>
      <c r="O39" s="19">
        <f t="shared" si="7"/>
        <v>0.006852766408339383</v>
      </c>
      <c r="P39" s="19">
        <f t="shared" si="7"/>
        <v>0.015082564946202887</v>
      </c>
      <c r="Q39" s="19">
        <f t="shared" si="7"/>
        <v>0.007530880983045062</v>
      </c>
      <c r="R39" s="19"/>
      <c r="S39" s="19">
        <f>SQRT(P35^2+O39^2)</f>
        <v>0.015310767362536564</v>
      </c>
      <c r="U39" t="s">
        <v>71</v>
      </c>
      <c r="V39" s="19">
        <f>W31-V31</f>
        <v>-0.4242635855764348</v>
      </c>
      <c r="W39" s="19"/>
    </row>
    <row r="40" spans="2:23" ht="12.75">
      <c r="B40" s="19">
        <f t="shared" si="6"/>
        <v>0.10525816738306304</v>
      </c>
      <c r="C40" s="19">
        <f t="shared" si="6"/>
        <v>0.09460070768359077</v>
      </c>
      <c r="D40" s="19">
        <f t="shared" si="6"/>
        <v>0.1303708448339721</v>
      </c>
      <c r="E40" s="19">
        <f t="shared" si="6"/>
        <v>0.09460070768359077</v>
      </c>
      <c r="F40" s="19"/>
      <c r="G40" s="19">
        <f>SQRT(D36^2+C40^2)</f>
        <v>0.12890488093350236</v>
      </c>
      <c r="I40" t="s">
        <v>72</v>
      </c>
      <c r="J40" s="19">
        <f>J39-K37</f>
        <v>-0.6148915265684651</v>
      </c>
      <c r="K40" s="19"/>
      <c r="N40" s="19">
        <f t="shared" si="7"/>
        <v>0.02477601721898537</v>
      </c>
      <c r="O40" s="19">
        <f t="shared" si="7"/>
        <v>0.013839779926132667</v>
      </c>
      <c r="P40" s="19">
        <f t="shared" si="7"/>
        <v>0.025123203517100956</v>
      </c>
      <c r="Q40" s="19">
        <f t="shared" si="7"/>
        <v>0.01268520002325883</v>
      </c>
      <c r="R40" s="19"/>
      <c r="S40" s="19">
        <f>SQRT(P36^2+O40^2)</f>
        <v>0.02536856625989619</v>
      </c>
      <c r="U40" t="s">
        <v>72</v>
      </c>
      <c r="V40" s="19">
        <f>V39-W37</f>
        <v>-0.5245305284889435</v>
      </c>
      <c r="W40" s="19"/>
    </row>
    <row r="41" spans="2:23" ht="12.75">
      <c r="B41" s="19">
        <f t="shared" si="6"/>
        <v>0.10132149549306846</v>
      </c>
      <c r="C41" s="19">
        <f t="shared" si="6"/>
        <v>0.09537096175562279</v>
      </c>
      <c r="D41" s="19">
        <f t="shared" si="6"/>
        <v>0.10810369331394017</v>
      </c>
      <c r="E41" s="19">
        <f t="shared" si="6"/>
        <v>0.10443256426027824</v>
      </c>
      <c r="F41" s="19"/>
      <c r="G41" s="19">
        <f>SQRT(D37^2+C41^2)</f>
        <v>0.11319970251147629</v>
      </c>
      <c r="I41" t="s">
        <v>73</v>
      </c>
      <c r="J41" s="19">
        <f>J39-J37</f>
        <v>-0.12914240813651862</v>
      </c>
      <c r="K41" s="19"/>
      <c r="N41" s="19">
        <f t="shared" si="7"/>
        <v>0.019539080983418167</v>
      </c>
      <c r="O41" s="19">
        <f t="shared" si="7"/>
        <v>0.008234249897264118</v>
      </c>
      <c r="P41" s="19">
        <f t="shared" si="7"/>
        <v>0.019409359882529564</v>
      </c>
      <c r="Q41" s="19">
        <f t="shared" si="7"/>
        <v>0.01013992059960071</v>
      </c>
      <c r="R41" s="19"/>
      <c r="S41" s="19">
        <f>SQRT(P37^2+O41^2)</f>
        <v>0.01910773580791613</v>
      </c>
      <c r="U41" t="s">
        <v>73</v>
      </c>
      <c r="V41" s="19">
        <f>V39-V37</f>
        <v>-0.31908574508375953</v>
      </c>
      <c r="W41" s="19"/>
    </row>
    <row r="42" spans="14:18" ht="12.75">
      <c r="N42" s="19"/>
      <c r="O42" s="19"/>
      <c r="P42" s="19"/>
      <c r="Q42" s="19"/>
      <c r="R42" s="19"/>
    </row>
    <row r="44" spans="2:14" ht="12.75">
      <c r="B44" t="s">
        <v>83</v>
      </c>
      <c r="N44" t="s">
        <v>83</v>
      </c>
    </row>
    <row r="45" spans="1:16" ht="12.75">
      <c r="A45" t="s">
        <v>49</v>
      </c>
      <c r="B45" s="19">
        <f>D15/C15</f>
        <v>2.8333333333333335</v>
      </c>
      <c r="C45" s="19">
        <f>EXP(B49-D49)</f>
        <v>1.1979593693009918</v>
      </c>
      <c r="D45" s="19">
        <f>EXP(B49-C49)</f>
        <v>6.789144162090244</v>
      </c>
      <c r="M45" t="s">
        <v>49</v>
      </c>
      <c r="N45" s="19">
        <f>P15/O15</f>
        <v>6.6923076923076925</v>
      </c>
      <c r="O45" s="19">
        <f>EXP(N49-P49)</f>
        <v>4.81610494991526</v>
      </c>
      <c r="P45" s="19">
        <f>EXP(N49-O49)</f>
        <v>9.309756688963926</v>
      </c>
    </row>
    <row r="46" spans="1:16" ht="12.75">
      <c r="A46" t="s">
        <v>85</v>
      </c>
      <c r="B46" s="19">
        <f>D16/C16</f>
        <v>5</v>
      </c>
      <c r="C46" s="19">
        <f>EXP(B50-D50)</f>
        <v>1.3050860114639276</v>
      </c>
      <c r="D46" s="19">
        <f>EXP(B50-C50)</f>
        <v>19.910804665876483</v>
      </c>
      <c r="M46" t="s">
        <v>85</v>
      </c>
      <c r="N46" s="19">
        <f>P16/O16</f>
        <v>4.736842105263158</v>
      </c>
      <c r="O46" s="19">
        <f>EXP(N50-P50)</f>
        <v>2.9335824115869875</v>
      </c>
      <c r="P46" s="19">
        <f>EXP(N50-O50)</f>
        <v>7.668551535704107</v>
      </c>
    </row>
    <row r="47" spans="2:16" ht="12.75">
      <c r="B47" s="19">
        <f>D17/C17</f>
        <v>1.75</v>
      </c>
      <c r="C47" s="19">
        <f>EXP(B51-D51)</f>
        <v>0.5723196840219625</v>
      </c>
      <c r="D47" s="19">
        <f>EXP(B51-C51)</f>
        <v>5.4213032804128485</v>
      </c>
      <c r="N47" s="19">
        <f>P17/O17</f>
        <v>8.549999999999999</v>
      </c>
      <c r="O47" s="19">
        <f>EXP(N51-P51)</f>
        <v>5.439299558128925</v>
      </c>
      <c r="P47" s="19">
        <f>EXP(N51-O51)</f>
        <v>13.465159952465976</v>
      </c>
    </row>
    <row r="49" spans="1:16" ht="12.75">
      <c r="A49" t="s">
        <v>84</v>
      </c>
      <c r="B49" s="19">
        <f>LN(B45)</f>
        <v>1.0414538748281612</v>
      </c>
      <c r="C49" s="19">
        <f>-SQRT((LN(D31)-LN(D15))^2+(LN(C27)-LN(C15))^2)</f>
        <v>-0.8738710149234666</v>
      </c>
      <c r="D49" s="19">
        <f>SQRT((LN(C31)-LN(C15))^2+(LN(D27)-LN(D15))^2)</f>
        <v>0.8608342911516212</v>
      </c>
      <c r="M49" t="s">
        <v>84</v>
      </c>
      <c r="N49" s="19">
        <f>LN(N45)</f>
        <v>1.900958761193047</v>
      </c>
      <c r="O49" s="19">
        <f>-SQRT((LN(P31)-LN(P15))^2+(LN(O27)-LN(O15))^2)</f>
        <v>-0.33010419537890184</v>
      </c>
      <c r="P49" s="19">
        <f>SQRT((LN(O31)-LN(O15))^2+(LN(P27)-LN(P15))^2)</f>
        <v>0.3289932614980414</v>
      </c>
    </row>
    <row r="50" spans="2:16" ht="12.75">
      <c r="B50" s="19">
        <f>LN(B46)</f>
        <v>1.6094379124341003</v>
      </c>
      <c r="C50" s="19">
        <f>-SQRT((LN(D32)-LN(D16))^2+(LN(C28)-LN(C16))^2)</f>
        <v>-1.3818246199873874</v>
      </c>
      <c r="D50" s="19">
        <f>SQRT((LN(C32)-LN(C16))^2+(LN(D28)-LN(D16))^2)</f>
        <v>1.3431689646635967</v>
      </c>
      <c r="N50" s="19">
        <f>LN(N46)</f>
        <v>1.5553706911638248</v>
      </c>
      <c r="O50" s="19">
        <f>-SQRT((LN(P32)-LN(P16))^2+(LN(O28)-LN(O16))^2)</f>
        <v>-0.4817570583635906</v>
      </c>
      <c r="P50" s="19">
        <f>SQRT((LN(O32)-LN(O16))^2+(LN(P28)-LN(P16))^2)</f>
        <v>0.47914634891166347</v>
      </c>
    </row>
    <row r="51" spans="2:16" ht="12.75">
      <c r="B51" s="19">
        <f>LN(B47)</f>
        <v>0.5596157879354227</v>
      </c>
      <c r="C51" s="19">
        <f>-SQRT((LN(D33)-LN(D17))^2+(LN(C29)-LN(C17))^2)</f>
        <v>-1.1307204562515742</v>
      </c>
      <c r="D51" s="19">
        <f>SQRT((LN(C33)-LN(C17))^2+(LN(D29)-LN(D17))^2)</f>
        <v>1.1176733435072936</v>
      </c>
      <c r="N51" s="19">
        <f>LN(N47)</f>
        <v>2.1459312829486685</v>
      </c>
      <c r="O51" s="19">
        <f>-SQRT((LN(P33)-LN(P17))^2+(LN(O29)-LN(O17))^2)</f>
        <v>-0.4541743223728912</v>
      </c>
      <c r="P51" s="19">
        <f>SQRT((LN(O33)-LN(O17))^2+(LN(P29)-LN(P17))^2)</f>
        <v>0.45228098806768996</v>
      </c>
    </row>
    <row r="55" spans="2:18" ht="12.75">
      <c r="B55" t="str">
        <f aca="true" t="shared" si="8" ref="B55:F56">B10</f>
        <v>none</v>
      </c>
      <c r="C55" t="str">
        <f t="shared" si="8"/>
        <v>initial</v>
      </c>
      <c r="D55" t="str">
        <f t="shared" si="8"/>
        <v>final</v>
      </c>
      <c r="E55" t="str">
        <f t="shared" si="8"/>
        <v>both</v>
      </c>
      <c r="F55" t="str">
        <f t="shared" si="8"/>
        <v>predicted</v>
      </c>
      <c r="N55" t="str">
        <f aca="true" t="shared" si="9" ref="N55:R56">N10</f>
        <v>none</v>
      </c>
      <c r="O55" t="str">
        <f t="shared" si="9"/>
        <v>initial</v>
      </c>
      <c r="P55" t="str">
        <f t="shared" si="9"/>
        <v>final</v>
      </c>
      <c r="Q55" t="str">
        <f t="shared" si="9"/>
        <v>both</v>
      </c>
      <c r="R55" t="str">
        <f t="shared" si="9"/>
        <v>predicted</v>
      </c>
    </row>
    <row r="56" spans="1:18" ht="12.75">
      <c r="A56" t="s">
        <v>51</v>
      </c>
      <c r="B56">
        <f t="shared" si="8"/>
        <v>77</v>
      </c>
      <c r="C56">
        <f t="shared" si="8"/>
        <v>6</v>
      </c>
      <c r="D56">
        <f t="shared" si="8"/>
        <v>17</v>
      </c>
      <c r="E56">
        <f t="shared" si="8"/>
        <v>8</v>
      </c>
      <c r="F56">
        <f t="shared" si="8"/>
        <v>108</v>
      </c>
      <c r="M56" t="s">
        <v>51</v>
      </c>
      <c r="N56">
        <f t="shared" si="9"/>
        <v>1708</v>
      </c>
      <c r="O56">
        <f t="shared" si="9"/>
        <v>39</v>
      </c>
      <c r="P56">
        <f t="shared" si="9"/>
        <v>261</v>
      </c>
      <c r="Q56">
        <f t="shared" si="9"/>
        <v>49</v>
      </c>
      <c r="R56">
        <f t="shared" si="9"/>
        <v>2057</v>
      </c>
    </row>
    <row r="57" spans="1:18" ht="12.75">
      <c r="A57" t="s">
        <v>59</v>
      </c>
      <c r="B57">
        <f>CLu!B11</f>
        <v>92</v>
      </c>
      <c r="C57">
        <f>CLu!C11</f>
        <v>2</v>
      </c>
      <c r="D57">
        <f>CLu!D11</f>
        <v>11</v>
      </c>
      <c r="E57">
        <f>CLu!E11</f>
        <v>3</v>
      </c>
      <c r="F57">
        <f>CLu!F11</f>
        <v>108</v>
      </c>
      <c r="M57" t="s">
        <v>59</v>
      </c>
      <c r="N57">
        <f>CLu!N11</f>
        <v>1889</v>
      </c>
      <c r="O57">
        <f>CLu!O11</f>
        <v>6</v>
      </c>
      <c r="P57">
        <f>CLu!P11</f>
        <v>139</v>
      </c>
      <c r="Q57">
        <f>CLu!Q11</f>
        <v>23</v>
      </c>
      <c r="R57">
        <f>CLu!R11</f>
        <v>2057</v>
      </c>
    </row>
    <row r="58" spans="1:18" ht="12.75">
      <c r="A58" t="s">
        <v>66</v>
      </c>
      <c r="B58">
        <f>AJPu!B11</f>
        <v>76</v>
      </c>
      <c r="C58">
        <f>AJPu!C11</f>
        <v>12</v>
      </c>
      <c r="D58">
        <f>AJPu!D11</f>
        <v>13</v>
      </c>
      <c r="E58">
        <f>AJPu!E11</f>
        <v>7</v>
      </c>
      <c r="F58">
        <f>AJPu!F11</f>
        <v>108</v>
      </c>
      <c r="M58" t="s">
        <v>66</v>
      </c>
      <c r="N58">
        <f>AJPu!N11</f>
        <v>1537</v>
      </c>
      <c r="O58">
        <f>AJPu!O11</f>
        <v>253</v>
      </c>
      <c r="P58">
        <f>AJPu!P11</f>
        <v>150</v>
      </c>
      <c r="Q58">
        <f>AJPu!Q11</f>
        <v>117</v>
      </c>
      <c r="R58">
        <f>AJPu!R11</f>
        <v>2057</v>
      </c>
    </row>
    <row r="60" spans="1:18" ht="12.75">
      <c r="A60" t="s">
        <v>51</v>
      </c>
      <c r="B60" s="19">
        <f>B15</f>
        <v>0.7129629629629629</v>
      </c>
      <c r="C60" s="19">
        <f>C15</f>
        <v>0.05555555555555555</v>
      </c>
      <c r="D60" s="19">
        <f>D15</f>
        <v>0.1574074074074074</v>
      </c>
      <c r="E60" s="19">
        <f>E15</f>
        <v>0.07407407407407407</v>
      </c>
      <c r="F60" s="19">
        <f>F15</f>
        <v>0.030006858710562415</v>
      </c>
      <c r="M60" t="s">
        <v>51</v>
      </c>
      <c r="N60" s="19">
        <f>N15</f>
        <v>0.8303354399611084</v>
      </c>
      <c r="O60" s="19">
        <f>O15</f>
        <v>0.018959649975692758</v>
      </c>
      <c r="P60" s="19">
        <f>P15</f>
        <v>0.12688381137579</v>
      </c>
      <c r="Q60" s="19">
        <f>Q15</f>
        <v>0.023821098687408847</v>
      </c>
      <c r="R60" s="19">
        <f>R15</f>
        <v>0.006447268879709041</v>
      </c>
    </row>
    <row r="61" spans="1:18" ht="12.75">
      <c r="A61" t="s">
        <v>59</v>
      </c>
      <c r="B61" s="19">
        <f>'CL'!B15</f>
        <v>0.8440860215053764</v>
      </c>
      <c r="C61" s="19">
        <f>'CL'!C15</f>
        <v>0.021505376344086023</v>
      </c>
      <c r="D61" s="19">
        <f>'CL'!D15</f>
        <v>0.11290322580645161</v>
      </c>
      <c r="E61" s="19">
        <f>'CL'!E15</f>
        <v>0.021505376344086023</v>
      </c>
      <c r="F61" s="19">
        <f>'CL'!F15</f>
        <v>0.005781015146259683</v>
      </c>
      <c r="M61" t="s">
        <v>59</v>
      </c>
      <c r="N61" s="19">
        <f>'CL'!N15</f>
        <v>0.9152771518702119</v>
      </c>
      <c r="O61" s="19">
        <f>'CL'!O15</f>
        <v>0.00405588102748986</v>
      </c>
      <c r="P61" s="19">
        <f>'CL'!P15</f>
        <v>0.06849932401982875</v>
      </c>
      <c r="Q61" s="19">
        <f>'CL'!Q15</f>
        <v>0.01216764308246958</v>
      </c>
      <c r="R61" s="19">
        <f>'CL'!R15</f>
        <v>0.0013087024856614422</v>
      </c>
    </row>
    <row r="62" spans="1:18" ht="12.75">
      <c r="A62" t="s">
        <v>66</v>
      </c>
      <c r="B62" s="19">
        <f>AJP!B15</f>
        <v>0.6397849462365591</v>
      </c>
      <c r="C62" s="19">
        <f>AJP!C15</f>
        <v>0.11290322580645161</v>
      </c>
      <c r="D62" s="19">
        <f>AJP!D15</f>
        <v>0.1774193548387097</v>
      </c>
      <c r="E62" s="19">
        <f>AJP!E15</f>
        <v>0.06989247311827956</v>
      </c>
      <c r="F62" s="19">
        <f>AJP!F15</f>
        <v>0.04520753844375072</v>
      </c>
      <c r="M62" t="s">
        <v>66</v>
      </c>
      <c r="N62" s="19">
        <f>AJP!N15</f>
        <v>0.7462821090581343</v>
      </c>
      <c r="O62" s="19">
        <f>AJP!O15</f>
        <v>0.11897251013970257</v>
      </c>
      <c r="P62" s="19">
        <f>AJP!P15</f>
        <v>0.07480847228481298</v>
      </c>
      <c r="Q62" s="19">
        <f>AJP!Q15</f>
        <v>0.05993690851735016</v>
      </c>
      <c r="R62" s="19">
        <f>AJP!R15</f>
        <v>0.0241072177460382</v>
      </c>
    </row>
    <row r="64" spans="1:18" ht="12.75">
      <c r="A64" t="str">
        <f>A35</f>
        <v>u-</v>
      </c>
      <c r="B64" s="19">
        <f>B35</f>
        <v>0.09147264789361187</v>
      </c>
      <c r="C64" s="19">
        <f>C35</f>
        <v>0.029847797709018492</v>
      </c>
      <c r="D64" s="19">
        <f>D35</f>
        <v>0.05674531349437589</v>
      </c>
      <c r="E64" s="19">
        <f>E35</f>
        <v>0.036063788690311</v>
      </c>
      <c r="F64" s="19"/>
      <c r="M64" t="str">
        <f>M35</f>
        <v>u-</v>
      </c>
      <c r="N64" s="19">
        <f>N35</f>
        <v>0.016832389064829534</v>
      </c>
      <c r="O64" s="19">
        <f>O35</f>
        <v>0.005059429783190256</v>
      </c>
      <c r="P64" s="19">
        <f>P35</f>
        <v>0.013691573678085739</v>
      </c>
      <c r="Q64" s="19">
        <f>Q35</f>
        <v>0.0057556680226271036</v>
      </c>
      <c r="R64" s="19"/>
    </row>
    <row r="65" spans="2:18" ht="12.75">
      <c r="B65" s="19">
        <f>'CL'!B35</f>
        <v>0.05903470444414316</v>
      </c>
      <c r="C65" s="19">
        <f>'CL'!C35</f>
        <v>0.01311132101051432</v>
      </c>
      <c r="D65" s="19">
        <f>'CL'!D35</f>
        <v>0.0378618989877971</v>
      </c>
      <c r="E65" s="19">
        <f>'CL'!E35</f>
        <v>0.01311132101051432</v>
      </c>
      <c r="F65" s="19"/>
      <c r="N65" s="19">
        <f>'CL'!N35</f>
        <v>0.012316194377269718</v>
      </c>
      <c r="O65" s="19">
        <f>'CL'!O35</f>
        <v>0.001920585429894307</v>
      </c>
      <c r="P65" s="19">
        <f>'CL'!P35</f>
        <v>0.009781671968774441</v>
      </c>
      <c r="Q65" s="19">
        <f>'CL'!Q35</f>
        <v>0.0037918797903078744</v>
      </c>
      <c r="R65" s="19"/>
    </row>
    <row r="66" spans="2:18" ht="12.75">
      <c r="B66" s="19">
        <f>AJP!B35</f>
        <v>0.07117596817428029</v>
      </c>
      <c r="C66" s="19">
        <f>AJP!C35</f>
        <v>0.0378618989877971</v>
      </c>
      <c r="D66" s="19">
        <f>AJP!D35</f>
        <v>0.04820594833071051</v>
      </c>
      <c r="E66" s="19">
        <f>AJP!E35</f>
        <v>0.02859522505915124</v>
      </c>
      <c r="F66" s="19"/>
      <c r="N66" s="19">
        <f>AJP!N35</f>
        <v>0.01851986146080764</v>
      </c>
      <c r="O66" s="19">
        <f>AJP!O35</f>
        <v>0.012816570352765413</v>
      </c>
      <c r="P66" s="19">
        <f>AJP!P35</f>
        <v>0.010226506444502459</v>
      </c>
      <c r="Q66" s="19">
        <f>AJP!Q35</f>
        <v>0.009136525435293294</v>
      </c>
      <c r="R66" s="19"/>
    </row>
    <row r="68" spans="1:18" ht="12.75">
      <c r="A68" t="str">
        <f>A39</f>
        <v>u+</v>
      </c>
      <c r="B68" s="19">
        <f>B39</f>
        <v>0.0768432587274197</v>
      </c>
      <c r="C68" s="19">
        <f>C39</f>
        <v>0.06037869683846295</v>
      </c>
      <c r="D68" s="19">
        <f>D39</f>
        <v>0.08027954823998928</v>
      </c>
      <c r="E68" s="19">
        <f>E39</f>
        <v>0.06532256702269523</v>
      </c>
      <c r="F68" s="19"/>
      <c r="M68" t="str">
        <f>M39</f>
        <v>u+</v>
      </c>
      <c r="N68" s="19">
        <f>N39</f>
        <v>0.015600886046346685</v>
      </c>
      <c r="O68" s="19">
        <f>O39</f>
        <v>0.006852766408339383</v>
      </c>
      <c r="P68" s="19">
        <f>P39</f>
        <v>0.015082564946202887</v>
      </c>
      <c r="Q68" s="19">
        <f>Q39</f>
        <v>0.007530880983045062</v>
      </c>
      <c r="R68" s="19"/>
    </row>
    <row r="69" spans="2:18" ht="12.75">
      <c r="B69" s="19">
        <f>'CL'!B39</f>
        <v>0.04510952229139764</v>
      </c>
      <c r="C69" s="19">
        <f>'CL'!C39</f>
        <v>0.032476027441676075</v>
      </c>
      <c r="D69" s="19">
        <f>'CL'!D39</f>
        <v>0.05352772890963582</v>
      </c>
      <c r="E69" s="19">
        <f>'CL'!E39</f>
        <v>0.032476027441676075</v>
      </c>
      <c r="F69" s="19"/>
      <c r="N69" s="19">
        <f>'CL'!N39</f>
        <v>0.010880855518058064</v>
      </c>
      <c r="O69" s="19">
        <f>'CL'!O39</f>
        <v>0.0036347367207920124</v>
      </c>
      <c r="P69" s="19">
        <f>'CL'!P39</f>
        <v>0.0112730848365932</v>
      </c>
      <c r="Q69" s="19">
        <f>'CL'!Q39</f>
        <v>0.005477994076901934</v>
      </c>
      <c r="R69" s="19"/>
    </row>
    <row r="70" spans="2:18" ht="12.75">
      <c r="B70" s="19">
        <f>AJP!B39</f>
        <v>0.06551886292472742</v>
      </c>
      <c r="C70" s="19">
        <f>AJP!C39</f>
        <v>0.05352772890963582</v>
      </c>
      <c r="D70" s="19">
        <f>AJP!D39</f>
        <v>0.06126080659890948</v>
      </c>
      <c r="E70" s="19">
        <f>AJP!E39</f>
        <v>0.04600170275008317</v>
      </c>
      <c r="F70" s="19"/>
      <c r="N70" s="19">
        <f>AJP!N39</f>
        <v>0.01766862685792192</v>
      </c>
      <c r="O70" s="19">
        <f>AJP!O39</f>
        <v>0.014133530749361481</v>
      </c>
      <c r="P70" s="19">
        <f>AJP!P39</f>
        <v>0.011696112753418364</v>
      </c>
      <c r="Q70" s="19">
        <f>AJP!Q39</f>
        <v>0.010657532918765894</v>
      </c>
      <c r="R70" s="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B4" sqref="B4"/>
    </sheetView>
  </sheetViews>
  <sheetFormatPr defaultColWidth="9.140625" defaultRowHeight="12.75"/>
  <cols>
    <col min="10" max="10" width="10.140625" style="0" customWidth="1"/>
    <col min="22" max="22" width="10.421875" style="0" customWidth="1"/>
  </cols>
  <sheetData>
    <row r="1" spans="1:13" ht="12.75">
      <c r="A1" s="3" t="s">
        <v>51</v>
      </c>
      <c r="B1" s="49" t="s">
        <v>77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108</v>
      </c>
      <c r="C4">
        <f>SUM(C5:C6)</f>
        <v>5</v>
      </c>
      <c r="D4">
        <f>SUM(D5:D6)</f>
        <v>14</v>
      </c>
      <c r="E4">
        <f>SUM(E5:E6)</f>
        <v>3</v>
      </c>
      <c r="G4" s="45" t="s">
        <v>57</v>
      </c>
      <c r="H4" s="44">
        <f>J4-I4</f>
        <v>92</v>
      </c>
      <c r="I4" s="44">
        <f>I6-I5</f>
        <v>11</v>
      </c>
      <c r="J4" s="44">
        <f>J6-J5</f>
        <v>103</v>
      </c>
      <c r="M4" t="s">
        <v>34</v>
      </c>
      <c r="N4">
        <f>SUM(N5:N6)</f>
        <v>2057</v>
      </c>
      <c r="O4">
        <f>SUM(O5:O6)</f>
        <v>29</v>
      </c>
      <c r="P4">
        <f>SUM(P5:P6)</f>
        <v>162</v>
      </c>
      <c r="Q4">
        <f>SUM(Q5:Q6)</f>
        <v>23</v>
      </c>
      <c r="S4" s="45" t="s">
        <v>57</v>
      </c>
      <c r="T4" s="44">
        <f>V4-U4</f>
        <v>1889</v>
      </c>
      <c r="U4" s="44">
        <f>U6-U5</f>
        <v>139</v>
      </c>
      <c r="V4" s="44">
        <f>V6-V5</f>
        <v>2028</v>
      </c>
    </row>
    <row r="5" spans="1:23" ht="12.75">
      <c r="A5" t="s">
        <v>35</v>
      </c>
      <c r="B5">
        <v>50</v>
      </c>
      <c r="C5">
        <v>1</v>
      </c>
      <c r="D5">
        <v>4</v>
      </c>
      <c r="E5">
        <v>1</v>
      </c>
      <c r="G5" s="45" t="s">
        <v>58</v>
      </c>
      <c r="H5" s="44">
        <f>J5-I5</f>
        <v>2</v>
      </c>
      <c r="I5" s="44">
        <f>E4</f>
        <v>3</v>
      </c>
      <c r="J5" s="44">
        <f>C4</f>
        <v>5</v>
      </c>
      <c r="K5" s="19">
        <f>I5/J5</f>
        <v>0.6</v>
      </c>
      <c r="M5" t="s">
        <v>35</v>
      </c>
      <c r="N5">
        <v>753</v>
      </c>
      <c r="O5">
        <v>14</v>
      </c>
      <c r="P5">
        <v>81</v>
      </c>
      <c r="Q5">
        <v>11</v>
      </c>
      <c r="S5" s="45" t="s">
        <v>58</v>
      </c>
      <c r="T5" s="44">
        <f>V5-U5</f>
        <v>6</v>
      </c>
      <c r="U5" s="44">
        <f>Q4</f>
        <v>23</v>
      </c>
      <c r="V5" s="44">
        <f>O4</f>
        <v>29</v>
      </c>
      <c r="W5" s="19">
        <f>U5/V5</f>
        <v>0.7931034482758621</v>
      </c>
    </row>
    <row r="6" spans="1:23" ht="12.75">
      <c r="A6" t="s">
        <v>36</v>
      </c>
      <c r="B6">
        <v>58</v>
      </c>
      <c r="C6">
        <v>4</v>
      </c>
      <c r="D6">
        <v>10</v>
      </c>
      <c r="E6">
        <v>2</v>
      </c>
      <c r="G6" t="s">
        <v>56</v>
      </c>
      <c r="H6" s="44">
        <f>J6-I6</f>
        <v>94</v>
      </c>
      <c r="I6" s="44">
        <f>D4</f>
        <v>14</v>
      </c>
      <c r="J6" s="44">
        <f>B4</f>
        <v>108</v>
      </c>
      <c r="K6" s="19">
        <f>I6/J6</f>
        <v>0.12962962962962962</v>
      </c>
      <c r="M6" t="s">
        <v>36</v>
      </c>
      <c r="N6">
        <v>1304</v>
      </c>
      <c r="O6">
        <v>15</v>
      </c>
      <c r="P6">
        <v>81</v>
      </c>
      <c r="Q6">
        <v>12</v>
      </c>
      <c r="S6" t="s">
        <v>56</v>
      </c>
      <c r="T6" s="44">
        <f>V6-U6</f>
        <v>1895</v>
      </c>
      <c r="U6" s="44">
        <f>P4</f>
        <v>162</v>
      </c>
      <c r="V6" s="44">
        <f>N4</f>
        <v>2057</v>
      </c>
      <c r="W6" s="19">
        <f>U6/V6</f>
        <v>0.07875546912980068</v>
      </c>
    </row>
    <row r="7" spans="9:22" ht="12.75">
      <c r="I7" s="19">
        <f>I5/I6</f>
        <v>0.21428571428571427</v>
      </c>
      <c r="J7" s="19">
        <f>J5/J6</f>
        <v>0.046296296296296294</v>
      </c>
      <c r="U7" s="19">
        <f>U5/U6</f>
        <v>0.1419753086419753</v>
      </c>
      <c r="V7" s="19">
        <f>V5/V6</f>
        <v>0.014098201263976665</v>
      </c>
    </row>
    <row r="8" spans="9:21" ht="12.75">
      <c r="I8" s="46">
        <f>I5/(I6*J5/J6)</f>
        <v>4.628571428571429</v>
      </c>
      <c r="U8" s="46">
        <f>U5/(U6*V5/V6)</f>
        <v>10.070455512984248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92</v>
      </c>
      <c r="C11">
        <f>C4-E4</f>
        <v>2</v>
      </c>
      <c r="D11">
        <f>D4-E4</f>
        <v>11</v>
      </c>
      <c r="E11">
        <f>E4</f>
        <v>3</v>
      </c>
      <c r="F11">
        <f>B4</f>
        <v>108</v>
      </c>
      <c r="H11">
        <f>$H$1/F11</f>
        <v>0.035568957816773834</v>
      </c>
      <c r="I11" s="44"/>
      <c r="J11" s="7" t="s">
        <v>68</v>
      </c>
      <c r="K11" s="40">
        <f>(H4*I5-H5*I4)/SQRT(J4*J5*H6*I6)</f>
        <v>0.3085333803892419</v>
      </c>
      <c r="M11" t="s">
        <v>34</v>
      </c>
      <c r="N11">
        <f>R11-O11-P11-Q11</f>
        <v>1889</v>
      </c>
      <c r="O11">
        <f>O4-Q4</f>
        <v>6</v>
      </c>
      <c r="P11">
        <f>P4-Q4</f>
        <v>139</v>
      </c>
      <c r="Q11">
        <f>Q4</f>
        <v>23</v>
      </c>
      <c r="R11">
        <f>N4</f>
        <v>2057</v>
      </c>
      <c r="T11">
        <f>$H$1/R11</f>
        <v>0.001867499972878743</v>
      </c>
      <c r="U11" s="44"/>
      <c r="V11" s="7" t="s">
        <v>68</v>
      </c>
      <c r="W11" s="40">
        <f>(T4*U5-T5*U4)/SQRT(V4*V5*T6*U6)</f>
        <v>0.31713707868501645</v>
      </c>
    </row>
    <row r="12" spans="1:23" ht="12.75">
      <c r="A12" t="s">
        <v>35</v>
      </c>
      <c r="B12">
        <f>F12-C12-D12-E12</f>
        <v>46</v>
      </c>
      <c r="C12">
        <f>C5-E5</f>
        <v>0</v>
      </c>
      <c r="D12">
        <f>D5-E5</f>
        <v>3</v>
      </c>
      <c r="E12">
        <f>E5</f>
        <v>1</v>
      </c>
      <c r="F12">
        <f>B5</f>
        <v>50</v>
      </c>
      <c r="H12">
        <f>$H$1/F12</f>
        <v>0.07682894888423149</v>
      </c>
      <c r="I12" s="19"/>
      <c r="J12" s="10" t="s">
        <v>75</v>
      </c>
      <c r="K12" s="40">
        <f>IF(SIGN(J28)=SIGN(J41),-SIGN(J28)*SQRT(J28*J41),-(J28+J41)/2)</f>
        <v>0.07212071550995339</v>
      </c>
      <c r="M12" t="s">
        <v>35</v>
      </c>
      <c r="N12">
        <f>R12-O12-P12-Q12</f>
        <v>669</v>
      </c>
      <c r="O12">
        <f>O5-Q5</f>
        <v>3</v>
      </c>
      <c r="P12">
        <f>P5-Q5</f>
        <v>70</v>
      </c>
      <c r="Q12">
        <f>Q5</f>
        <v>11</v>
      </c>
      <c r="R12">
        <f>N5</f>
        <v>753</v>
      </c>
      <c r="T12">
        <f>$H$1/R12</f>
        <v>0.005101523830294255</v>
      </c>
      <c r="U12" s="19"/>
      <c r="V12" s="10" t="s">
        <v>75</v>
      </c>
      <c r="W12" s="40">
        <f>IF(SIGN(V28)=SIGN(V41),-SIGN(V28)*SQRT(V28*V41),-(V28+V41)/2)</f>
        <v>0.22580586495949573</v>
      </c>
    </row>
    <row r="13" spans="1:23" ht="12.75">
      <c r="A13" t="s">
        <v>36</v>
      </c>
      <c r="B13">
        <f>F13-C13-D13-E13</f>
        <v>46</v>
      </c>
      <c r="C13">
        <f>C6-E6</f>
        <v>2</v>
      </c>
      <c r="D13">
        <f>D6-E6</f>
        <v>8</v>
      </c>
      <c r="E13">
        <f>E6</f>
        <v>2</v>
      </c>
      <c r="F13">
        <f>B6</f>
        <v>58</v>
      </c>
      <c r="H13">
        <f>$H$1/F13</f>
        <v>0.06623185248640645</v>
      </c>
      <c r="I13" s="46"/>
      <c r="J13" s="10" t="s">
        <v>76</v>
      </c>
      <c r="K13" s="40">
        <f>IF(SIGN(J27)=SIGN(J40),-SIGN(J27)*SQRT(J40*J27),-(J27+J40)/2)</f>
        <v>0.5955215826929773</v>
      </c>
      <c r="M13" t="s">
        <v>36</v>
      </c>
      <c r="N13">
        <f>R13-O13-P13-Q13</f>
        <v>1220</v>
      </c>
      <c r="O13">
        <f>O6-Q6</f>
        <v>3</v>
      </c>
      <c r="P13">
        <f>P6-Q6</f>
        <v>69</v>
      </c>
      <c r="Q13">
        <f>Q6</f>
        <v>12</v>
      </c>
      <c r="R13">
        <f>N6</f>
        <v>1304</v>
      </c>
      <c r="T13">
        <f>$H$1/R13</f>
        <v>0.0029458952793033543</v>
      </c>
      <c r="U13" s="46"/>
      <c r="V13" s="10" t="s">
        <v>76</v>
      </c>
      <c r="W13" s="40">
        <f>IF(SIGN(V27)=SIGN(V40),-SIGN(V27)*SQRT(V40*V27),-(V27+V40)/2)</f>
        <v>0.40919018488330416</v>
      </c>
    </row>
    <row r="15" spans="1:22" ht="12.75">
      <c r="A15" t="str">
        <f>A11</f>
        <v>ICE-GB</v>
      </c>
      <c r="B15" s="19">
        <f>B11/F11</f>
        <v>0.8518518518518519</v>
      </c>
      <c r="C15" s="19">
        <f>C11/F11</f>
        <v>0.018518518518518517</v>
      </c>
      <c r="D15" s="19">
        <f>D11/F11</f>
        <v>0.10185185185185185</v>
      </c>
      <c r="E15" s="19">
        <f>E11/F11</f>
        <v>0.027777777777777776</v>
      </c>
      <c r="F15" s="19">
        <f>C4*D4/F11^2</f>
        <v>0.006001371742112483</v>
      </c>
      <c r="G15" s="19"/>
      <c r="J15" s="19"/>
      <c r="M15" t="str">
        <f>M11</f>
        <v>ICE-GB</v>
      </c>
      <c r="N15" s="19">
        <f>N11/R11</f>
        <v>0.9183276616431697</v>
      </c>
      <c r="O15" s="19">
        <f>O11/R11</f>
        <v>0.002916869227029655</v>
      </c>
      <c r="P15" s="19">
        <f>P11/R11</f>
        <v>0.06757413709285368</v>
      </c>
      <c r="Q15" s="19">
        <f>Q11/R11</f>
        <v>0.01118133203694701</v>
      </c>
      <c r="R15" s="19">
        <f>O4*P4/R11^2</f>
        <v>0.0011103104544308313</v>
      </c>
      <c r="V15" s="19"/>
    </row>
    <row r="16" spans="1:21" ht="12.75">
      <c r="A16" t="str">
        <f>A12</f>
        <v> spoken</v>
      </c>
      <c r="B16" s="19">
        <f>B12/F12</f>
        <v>0.92</v>
      </c>
      <c r="C16" s="19">
        <f>C12/F12</f>
        <v>0</v>
      </c>
      <c r="D16" s="19">
        <f>D12/F12</f>
        <v>0.06</v>
      </c>
      <c r="E16" s="19">
        <f>E12/F12</f>
        <v>0.02</v>
      </c>
      <c r="F16" s="19">
        <f>C5*D5/F12^2</f>
        <v>0.0016</v>
      </c>
      <c r="G16" s="19"/>
      <c r="I16" s="44"/>
      <c r="M16" t="str">
        <f>M12</f>
        <v> spoken</v>
      </c>
      <c r="N16" s="19">
        <f>N12/R12</f>
        <v>0.8884462151394422</v>
      </c>
      <c r="O16" s="19">
        <f>O12/R12</f>
        <v>0.00398406374501992</v>
      </c>
      <c r="P16" s="19">
        <f>P12/R12</f>
        <v>0.09296148738379814</v>
      </c>
      <c r="Q16" s="19">
        <f>Q12/R12</f>
        <v>0.014608233731739707</v>
      </c>
      <c r="R16" s="19">
        <f>O5*P5/R12^2</f>
        <v>0.0019999682544721512</v>
      </c>
      <c r="U16" s="44"/>
    </row>
    <row r="17" spans="1:23" ht="12.75">
      <c r="A17" t="str">
        <f>A13</f>
        <v> written</v>
      </c>
      <c r="B17" s="19">
        <f>B13/F13</f>
        <v>0.7931034482758621</v>
      </c>
      <c r="C17" s="19">
        <f>C13/F13</f>
        <v>0.034482758620689655</v>
      </c>
      <c r="D17" s="19">
        <f>D13/F13</f>
        <v>0.13793103448275862</v>
      </c>
      <c r="E17" s="19">
        <f>E13/F13</f>
        <v>0.034482758620689655</v>
      </c>
      <c r="F17" s="19">
        <f>C6*D6/F13^2</f>
        <v>0.011890606420927468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0.9355828220858896</v>
      </c>
      <c r="O17" s="19">
        <f>O13/R13</f>
        <v>0.0023006134969325155</v>
      </c>
      <c r="P17" s="19">
        <f>P13/R13</f>
        <v>0.05291411042944785</v>
      </c>
      <c r="Q17" s="19">
        <f>Q13/R13</f>
        <v>0.009202453987730062</v>
      </c>
      <c r="R17" s="19">
        <f>O6*P6/R13^2</f>
        <v>0.0007145310324061877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0.9787234042553191</v>
      </c>
      <c r="K18" s="19">
        <f>I4/I6</f>
        <v>0.7857142857142857</v>
      </c>
      <c r="N18" s="19"/>
      <c r="O18" s="19"/>
      <c r="P18" s="19"/>
      <c r="Q18" s="19"/>
      <c r="R18" s="19"/>
      <c r="U18" t="s">
        <v>74</v>
      </c>
      <c r="V18" s="19">
        <f>T4/T6</f>
        <v>0.9968337730870712</v>
      </c>
      <c r="W18" s="19">
        <f>U4/U6</f>
        <v>0.8580246913580247</v>
      </c>
    </row>
    <row r="19" spans="1:23" ht="12.75">
      <c r="A19" t="s">
        <v>60</v>
      </c>
      <c r="B19" s="19">
        <f>(B15+H11/2)/(1+H11)</f>
        <v>0.8397667042797801</v>
      </c>
      <c r="C19" s="19">
        <f>(C15+H11/2)/(1+H11)</f>
        <v>0.03505608888030093</v>
      </c>
      <c r="D19" s="19">
        <f>(D15+H11/2)/(1+H11)</f>
        <v>0.11552715042024883</v>
      </c>
      <c r="E19" s="19">
        <f>(E15+H11/2)/(1+H11)</f>
        <v>0.04399731794029514</v>
      </c>
      <c r="F19" s="19"/>
      <c r="G19" s="19"/>
      <c r="I19" t="s">
        <v>62</v>
      </c>
      <c r="J19" s="19">
        <f>$H$1/H6</f>
        <v>0.04086646217246356</v>
      </c>
      <c r="K19" s="19">
        <f>$H$1/I6</f>
        <v>0.2743891031579696</v>
      </c>
      <c r="M19" t="s">
        <v>60</v>
      </c>
      <c r="N19" s="19">
        <f>(N15+T11/2)/(1+T11)</f>
        <v>0.9175478909681112</v>
      </c>
      <c r="O19" s="19">
        <f>(O15+T11/2)/(1+T11)</f>
        <v>0.0038434415864106435</v>
      </c>
      <c r="P19" s="19">
        <f>(P15+T11/2)/(1+T11)</f>
        <v>0.06838018708177239</v>
      </c>
      <c r="Q19" s="19">
        <f>(Q15+T11/2)/(1+T11)</f>
        <v>0.012092499281306507</v>
      </c>
      <c r="R19" s="19"/>
      <c r="U19" t="s">
        <v>62</v>
      </c>
      <c r="V19" s="19">
        <f>$H$1/T6</f>
        <v>0.002027149047077348</v>
      </c>
      <c r="W19" s="19">
        <f>$H$1/U6</f>
        <v>0.023712638544515892</v>
      </c>
    </row>
    <row r="20" spans="2:23" ht="12.75">
      <c r="B20" s="19">
        <f>(B16+H12/2)/(1+H12)</f>
        <v>0.8900340907766157</v>
      </c>
      <c r="C20" s="19">
        <f>(C16+H12/2)/(1+H12)</f>
        <v>0.03567370145640989</v>
      </c>
      <c r="D20" s="19">
        <f>(D16+H12/2)/(1+H12)</f>
        <v>0.09139285728164069</v>
      </c>
      <c r="E20" s="19">
        <f>(E16+H12/2)/(1+H12)</f>
        <v>0.05424675339815349</v>
      </c>
      <c r="F20" s="19"/>
      <c r="G20" s="19"/>
      <c r="I20" t="s">
        <v>60</v>
      </c>
      <c r="J20" s="19">
        <f>(J18+J19/2)/(1+J19)</f>
        <v>0.9599277829128463</v>
      </c>
      <c r="K20" s="19">
        <f>(K18+K19/2)/(1+K19)</f>
        <v>0.7241970564612318</v>
      </c>
      <c r="N20" s="19">
        <f>(N16+T12/2)/(1+T12)</f>
        <v>0.8864746057285147</v>
      </c>
      <c r="O20" s="19">
        <f>(O16+T12/2)/(1+T12)</f>
        <v>0.006501657300512079</v>
      </c>
      <c r="P20" s="19">
        <f>(P16+T12/2)/(1+T12)</f>
        <v>0.09502746442465047</v>
      </c>
      <c r="Q20" s="19">
        <f>(Q16+T12/2)/(1+T12)</f>
        <v>0.01707190292727487</v>
      </c>
      <c r="R20" s="19"/>
      <c r="U20" t="s">
        <v>60</v>
      </c>
      <c r="V20" s="19">
        <f>(V18+V19/2)/(1+V19)</f>
        <v>0.9958286545025826</v>
      </c>
      <c r="W20" s="19">
        <f>(W18+W19/2)/(1+W19)</f>
        <v>0.8497316315905346</v>
      </c>
    </row>
    <row r="21" spans="2:23" ht="12.75">
      <c r="B21" s="19">
        <f>(B17+H13/2)/(1+H13)</f>
        <v>0.774896541115666</v>
      </c>
      <c r="C21" s="19">
        <f>(C17+H13/2)/(1+H13)</f>
        <v>0.06339961116923648</v>
      </c>
      <c r="D21" s="19">
        <f>(D17+H13/2)/(1+H13)</f>
        <v>0.16042191979829504</v>
      </c>
      <c r="E21" s="19">
        <f>(E17+H13/2)/(1+H13)</f>
        <v>0.06339961116923648</v>
      </c>
      <c r="F21" s="19"/>
      <c r="G21" s="19"/>
      <c r="I21" t="s">
        <v>61</v>
      </c>
      <c r="J21" s="19">
        <f>$G$1*SQRT((J18*(1-J18)+J19/4)/H6)/(1+J19)</f>
        <v>0.034217870959495536</v>
      </c>
      <c r="K21" s="19">
        <f>$G$1*SQRT((K18*(1-K18)+K19/4)/I6)/(1+K19)</f>
        <v>0.20008896490370676</v>
      </c>
      <c r="N21" s="19">
        <f>(N17+T13/2)/(1+T13)</f>
        <v>0.934303409721406</v>
      </c>
      <c r="O21" s="19">
        <f>(O17+T13/2)/(1+T13)</f>
        <v>0.003762477272548506</v>
      </c>
      <c r="P21" s="19">
        <f>(P17+T13/2)/(1+T13)</f>
        <v>0.05422731009228934</v>
      </c>
      <c r="Q21" s="19">
        <f>(Q17+T13/2)/(1+T13)</f>
        <v>0.010644045384331348</v>
      </c>
      <c r="R21" s="19"/>
      <c r="U21" t="s">
        <v>61</v>
      </c>
      <c r="V21" s="19">
        <f>$G$1*SQRT((V18*(1-V18)+V19/4)/T6)/(1+V19)</f>
        <v>0.0027194505762572424</v>
      </c>
      <c r="W21" s="19">
        <f>$G$1*SQRT((W18*(1-W18)+W19/4)/U6)/(1+W19)</f>
        <v>0.0537633530852707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0.9257099119533507</v>
      </c>
      <c r="K22" s="19">
        <f>K20-K21</f>
        <v>0.524108091557525</v>
      </c>
      <c r="N22" s="19"/>
      <c r="O22" s="19"/>
      <c r="P22" s="19"/>
      <c r="Q22" s="19"/>
      <c r="R22" s="19"/>
      <c r="U22" t="s">
        <v>17</v>
      </c>
      <c r="V22" s="19">
        <f>V20-V21</f>
        <v>0.9931092039263254</v>
      </c>
      <c r="W22" s="19">
        <f>W20-W21</f>
        <v>0.7959682785052639</v>
      </c>
    </row>
    <row r="23" spans="1:23" ht="12.75">
      <c r="A23" t="s">
        <v>61</v>
      </c>
      <c r="B23" s="19">
        <f>$G$1*SQRT((B15*(1-B15)+H11/4)/F11)/(1+H11)</f>
        <v>0.06693791615264584</v>
      </c>
      <c r="C23" s="19">
        <f>$G$1*SQRT((C15*(1-C15)+H11/4)/$F11)/(1+H11)</f>
        <v>0.029962855934171584</v>
      </c>
      <c r="D23" s="19">
        <f>$G$1*SQRT((D15*(1-D15)+H11/4)/$F11)/(1+H11)</f>
        <v>0.0576977847989918</v>
      </c>
      <c r="E23" s="19">
        <f>$G$1*SQRT((E15*(1-E15)+H11/4)/$F11)/(1+H11)</f>
        <v>0.03450596418408321</v>
      </c>
      <c r="F23" s="19"/>
      <c r="G23" s="19"/>
      <c r="I23" t="s">
        <v>18</v>
      </c>
      <c r="J23" s="19">
        <f>J20+J21</f>
        <v>0.9941456538723419</v>
      </c>
      <c r="K23" s="19">
        <f>K20+K21</f>
        <v>0.9242860213649385</v>
      </c>
      <c r="M23" t="s">
        <v>61</v>
      </c>
      <c r="N23" s="19">
        <f>$G$1*SQRT((N15*(1-N15)+T11/4)/R11)/(1+T11)</f>
        <v>0.011849604575288684</v>
      </c>
      <c r="O23" s="19">
        <f>$G$1*SQRT((O15*(1-O15)+T11/4)/$R11)/(1+T11)</f>
        <v>0.0025059482134590872</v>
      </c>
      <c r="P23" s="19">
        <f>$G$1*SQRT((P15*(1-P15)+T11/4)/$R11)/(1+T11)</f>
        <v>0.010867271229721514</v>
      </c>
      <c r="Q23" s="19">
        <f>$G$1*SQRT((Q15*(1-Q15)+T11/4)/$R11)/(1+T11)</f>
        <v>0.004630269589126436</v>
      </c>
      <c r="R23" s="19"/>
      <c r="U23" t="s">
        <v>18</v>
      </c>
      <c r="V23" s="19">
        <f>V20+V21</f>
        <v>0.9985481050788398</v>
      </c>
      <c r="W23" s="19">
        <f>W20+W21</f>
        <v>0.9034949846758052</v>
      </c>
    </row>
    <row r="24" spans="2:23" ht="12.75">
      <c r="B24" s="19">
        <f>$G$1*SQRT((B16*(1-B16)+H12/4)/F12)/(1+H12)</f>
        <v>0.07841635397012311</v>
      </c>
      <c r="C24" s="19">
        <f>$G$1*SQRT((C16*(1-C16)+H12/4)/$F12)/(1+H12)</f>
        <v>0.03567370145640989</v>
      </c>
      <c r="D24" s="19">
        <f>$G$1*SQRT((D16*(1-D16)+H12/4)/$F12)/(1+H12)</f>
        <v>0.07077785679567089</v>
      </c>
      <c r="E24" s="19">
        <f>$G$1*SQRT((E16*(1-E16)+H12/4)/$F12)/(1+H12)</f>
        <v>0.05070748677863266</v>
      </c>
      <c r="F24" s="19"/>
      <c r="G24" s="19"/>
      <c r="I24" t="s">
        <v>70</v>
      </c>
      <c r="J24" s="19">
        <f>-SQRT((J22-J18)^2+(K23-K18)^2)</f>
        <v>-0.1483662909399749</v>
      </c>
      <c r="K24" s="19">
        <f>SQRT((K22-K18)^2+(J23-J18)^2)</f>
        <v>0.2620603873240565</v>
      </c>
      <c r="N24" s="19">
        <f>$G$1*SQRT((N16*(1-N16)+T12/4)/R12)/(1+T12)</f>
        <v>0.022515119930818596</v>
      </c>
      <c r="O24" s="19">
        <f>$G$1*SQRT((O16*(1-O16)+T12/4)/$R12)/(1+T12)</f>
        <v>0.005145808781107606</v>
      </c>
      <c r="P24" s="19">
        <f>$G$1*SQRT((P16*(1-P16)+T12/4)/$R12)/(1+T12)</f>
        <v>0.020790469801415953</v>
      </c>
      <c r="Q24" s="19">
        <f>$G$1*SQRT((Q16*(1-Q16)+T12/4)/$R12)/(1+T12)</f>
        <v>0.008895646059816405</v>
      </c>
      <c r="R24" s="19"/>
      <c r="U24" t="s">
        <v>70</v>
      </c>
      <c r="V24" s="19">
        <f>-SQRT((V22-V18)^2+(W23-W18)^2)</f>
        <v>-0.045622582016345524</v>
      </c>
      <c r="W24" s="19">
        <f>SQRT((W22-W18)^2+(V23-V18)^2)</f>
        <v>0.06208008787308782</v>
      </c>
    </row>
    <row r="25" spans="2:23" ht="12.75">
      <c r="B25" s="19">
        <f>$G$1*SQRT((B17*(1-B17)+H13/4)/F13)/(1+H13)</f>
        <v>0.10258852280034306</v>
      </c>
      <c r="C25" s="19">
        <f>$G$1*SQRT((C17*(1-C17)+H13/4)/$F13)/(1+H13)</f>
        <v>0.05389166676445517</v>
      </c>
      <c r="D25" s="19">
        <f>$G$1*SQRT((D17*(1-D17)+H13/4)/$F13)/(1+H13)</f>
        <v>0.08883698078853144</v>
      </c>
      <c r="E25" s="19">
        <f>$G$1*SQRT((E17*(1-E17)+H13/4)/$F13)/(1+H13)</f>
        <v>0.05389166676445517</v>
      </c>
      <c r="F25" s="19"/>
      <c r="G25" s="19"/>
      <c r="J25" s="19"/>
      <c r="K25" s="19"/>
      <c r="N25" s="19">
        <f>$G$1*SQRT((N17*(1-N17)+T13/4)/R13)/(1+T13)</f>
        <v>0.013366280907896863</v>
      </c>
      <c r="O25" s="19">
        <f>$G$1*SQRT((O17*(1-O17)+T13/4)/$R13)/(1+T13)</f>
        <v>0.0029797582229270504</v>
      </c>
      <c r="P25" s="19">
        <f>$G$1*SQRT((P17*(1-P17)+T13/4)/$R13)/(1+T13)</f>
        <v>0.01220336312468956</v>
      </c>
      <c r="Q25" s="19">
        <f>$G$1*SQRT((Q17*(1-Q17)+T13/4)/$R13)/(1+T13)</f>
        <v>0.0053720837292639744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-0.19300911854103342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-0.1388090817290465</v>
      </c>
      <c r="W26" s="19"/>
    </row>
    <row r="27" spans="1:23" ht="12.75">
      <c r="A27" t="s">
        <v>17</v>
      </c>
      <c r="B27" s="19">
        <f aca="true" t="shared" si="0" ref="B27:E29">B19-B23</f>
        <v>0.7728287881271342</v>
      </c>
      <c r="C27" s="19">
        <f t="shared" si="0"/>
        <v>0.005093232946129345</v>
      </c>
      <c r="D27" s="19">
        <f t="shared" si="0"/>
        <v>0.05782936562125703</v>
      </c>
      <c r="E27" s="19">
        <f t="shared" si="0"/>
        <v>0.009491353756211934</v>
      </c>
      <c r="F27" s="19"/>
      <c r="G27" s="19"/>
      <c r="I27" t="s">
        <v>72</v>
      </c>
      <c r="J27" s="19">
        <f>J26-K24</f>
        <v>-0.45506950586508993</v>
      </c>
      <c r="K27" s="19"/>
      <c r="M27" t="s">
        <v>17</v>
      </c>
      <c r="N27" s="19">
        <f aca="true" t="shared" si="1" ref="N27:Q29">N19-N23</f>
        <v>0.9056982863928225</v>
      </c>
      <c r="O27" s="19">
        <f t="shared" si="1"/>
        <v>0.0013374933729515563</v>
      </c>
      <c r="P27" s="19">
        <f t="shared" si="1"/>
        <v>0.05751291585205087</v>
      </c>
      <c r="Q27" s="19">
        <f t="shared" si="1"/>
        <v>0.007462229692180071</v>
      </c>
      <c r="R27" s="19"/>
      <c r="U27" t="s">
        <v>72</v>
      </c>
      <c r="V27" s="19">
        <f>V26-W24</f>
        <v>-0.20088916960213432</v>
      </c>
      <c r="W27" s="19"/>
    </row>
    <row r="28" spans="2:22" ht="12.75">
      <c r="B28" s="19">
        <f t="shared" si="0"/>
        <v>0.8116177368064925</v>
      </c>
      <c r="C28" s="19">
        <f t="shared" si="0"/>
        <v>0</v>
      </c>
      <c r="D28" s="19">
        <f t="shared" si="0"/>
        <v>0.0206150004859698</v>
      </c>
      <c r="E28" s="19">
        <f t="shared" si="0"/>
        <v>0.0035392666195208297</v>
      </c>
      <c r="F28" s="19"/>
      <c r="G28" s="19"/>
      <c r="I28" t="s">
        <v>73</v>
      </c>
      <c r="J28" s="19">
        <f>J26-J24</f>
        <v>-0.04464282760105853</v>
      </c>
      <c r="N28" s="19">
        <f t="shared" si="1"/>
        <v>0.8639594857976961</v>
      </c>
      <c r="O28" s="19">
        <f t="shared" si="1"/>
        <v>0.0013558485194044732</v>
      </c>
      <c r="P28" s="19">
        <f t="shared" si="1"/>
        <v>0.07423699462323452</v>
      </c>
      <c r="Q28" s="19">
        <f t="shared" si="1"/>
        <v>0.008176256867458466</v>
      </c>
      <c r="R28" s="19"/>
      <c r="U28" t="s">
        <v>73</v>
      </c>
      <c r="V28" s="19">
        <f>V26-V24</f>
        <v>-0.09318649971270096</v>
      </c>
    </row>
    <row r="29" spans="2:18" ht="12.75">
      <c r="B29" s="19">
        <f t="shared" si="0"/>
        <v>0.6723080183153229</v>
      </c>
      <c r="C29" s="19">
        <f t="shared" si="0"/>
        <v>0.00950794440478131</v>
      </c>
      <c r="D29" s="19">
        <f t="shared" si="0"/>
        <v>0.07158493900976359</v>
      </c>
      <c r="E29" s="19">
        <f t="shared" si="0"/>
        <v>0.00950794440478131</v>
      </c>
      <c r="F29" s="19"/>
      <c r="G29" s="19"/>
      <c r="N29" s="19">
        <f t="shared" si="1"/>
        <v>0.9209371288135092</v>
      </c>
      <c r="O29" s="19">
        <f t="shared" si="1"/>
        <v>0.0007827190496214557</v>
      </c>
      <c r="P29" s="19">
        <f t="shared" si="1"/>
        <v>0.04202394696759978</v>
      </c>
      <c r="Q29" s="19">
        <f t="shared" si="1"/>
        <v>0.005271961655067373</v>
      </c>
      <c r="R29" s="19"/>
    </row>
    <row r="30" spans="2:23" ht="12.75">
      <c r="B30" s="19"/>
      <c r="C30" s="19"/>
      <c r="D30" s="19"/>
      <c r="E30" s="19"/>
      <c r="F30" s="19"/>
      <c r="G30" s="19"/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0.906704620432426</v>
      </c>
      <c r="C31" s="19">
        <f t="shared" si="2"/>
        <v>0.06501894481447251</v>
      </c>
      <c r="D31" s="19">
        <f t="shared" si="2"/>
        <v>0.17322493521924062</v>
      </c>
      <c r="E31" s="19">
        <f t="shared" si="2"/>
        <v>0.07850328212437835</v>
      </c>
      <c r="F31" s="19"/>
      <c r="G31" s="19">
        <f>D15-C15</f>
        <v>0.08333333333333333</v>
      </c>
      <c r="H31" t="str">
        <f>IF(G31&gt;G39,"s+",IF(G31&lt;G35,"s-","ns"))</f>
        <v>s+</v>
      </c>
      <c r="I31" t="s">
        <v>69</v>
      </c>
      <c r="J31" s="19">
        <f>H4/J4</f>
        <v>0.8932038834951457</v>
      </c>
      <c r="K31" s="19">
        <f>H5/J5</f>
        <v>0.4</v>
      </c>
      <c r="M31" t="s">
        <v>18</v>
      </c>
      <c r="N31" s="19">
        <f aca="true" t="shared" si="3" ref="N31:Q33">N19+N23</f>
        <v>0.9293974955433999</v>
      </c>
      <c r="O31" s="19">
        <f t="shared" si="3"/>
        <v>0.006349389799869731</v>
      </c>
      <c r="P31" s="19">
        <f t="shared" si="3"/>
        <v>0.0792474583114939</v>
      </c>
      <c r="Q31" s="19">
        <f t="shared" si="3"/>
        <v>0.016722768870432943</v>
      </c>
      <c r="R31" s="19"/>
      <c r="S31" s="19">
        <f>P15-O15</f>
        <v>0.06465726786582401</v>
      </c>
      <c r="T31" t="str">
        <f>IF(S31&gt;S39,"s+",IF(S31&lt;S35,"s-","ns"))</f>
        <v>s+</v>
      </c>
      <c r="U31" t="s">
        <v>69</v>
      </c>
      <c r="V31" s="19">
        <f>T4/V4</f>
        <v>0.9314595660749507</v>
      </c>
      <c r="W31" s="19">
        <f>T5/V5</f>
        <v>0.20689655172413793</v>
      </c>
    </row>
    <row r="32" spans="2:23" ht="12.75">
      <c r="B32" s="19">
        <f t="shared" si="2"/>
        <v>0.9684504447467388</v>
      </c>
      <c r="C32" s="19">
        <f t="shared" si="2"/>
        <v>0.07134740291281978</v>
      </c>
      <c r="D32" s="19">
        <f t="shared" si="2"/>
        <v>0.1621707140773116</v>
      </c>
      <c r="E32" s="19">
        <f t="shared" si="2"/>
        <v>0.10495424017678615</v>
      </c>
      <c r="F32" s="19"/>
      <c r="G32" s="19">
        <f>D16-C16</f>
        <v>0.06</v>
      </c>
      <c r="H32" t="str">
        <f>IF(G32&gt;G40,"s+",IF(G32&lt;G36,"s-","ns"))</f>
        <v>ns</v>
      </c>
      <c r="I32" t="s">
        <v>62</v>
      </c>
      <c r="J32" s="19">
        <f>$H$1/J4</f>
        <v>0.037295606254481306</v>
      </c>
      <c r="K32" s="19">
        <f>$H$1/J5</f>
        <v>0.7682894888423148</v>
      </c>
      <c r="N32" s="19">
        <f t="shared" si="3"/>
        <v>0.9089897256593332</v>
      </c>
      <c r="O32" s="19">
        <f t="shared" si="3"/>
        <v>0.011647466081619685</v>
      </c>
      <c r="P32" s="19">
        <f t="shared" si="3"/>
        <v>0.11581793422606643</v>
      </c>
      <c r="Q32" s="19">
        <f t="shared" si="3"/>
        <v>0.025967548987091277</v>
      </c>
      <c r="R32" s="19"/>
      <c r="S32" s="19">
        <f>P16-O16</f>
        <v>0.08897742363877822</v>
      </c>
      <c r="T32" t="str">
        <f>IF(S32&gt;S40,"s+",IF(S32&lt;S36,"s-","ns"))</f>
        <v>s+</v>
      </c>
      <c r="U32" t="s">
        <v>62</v>
      </c>
      <c r="V32" s="19">
        <f>$H$1/V4</f>
        <v>0.0018942048541477192</v>
      </c>
      <c r="W32" s="19">
        <f>$H$1/V5</f>
        <v>0.1324637049728129</v>
      </c>
    </row>
    <row r="33" spans="2:23" ht="12.75">
      <c r="B33" s="19">
        <f t="shared" si="2"/>
        <v>0.877485063916009</v>
      </c>
      <c r="C33" s="19">
        <f t="shared" si="2"/>
        <v>0.11729127793369165</v>
      </c>
      <c r="D33" s="19">
        <f t="shared" si="2"/>
        <v>0.24925890058682648</v>
      </c>
      <c r="E33" s="19">
        <f t="shared" si="2"/>
        <v>0.11729127793369165</v>
      </c>
      <c r="F33" s="19"/>
      <c r="G33" s="19">
        <f>D17-C17</f>
        <v>0.10344827586206896</v>
      </c>
      <c r="H33" t="str">
        <f>IF(G33&gt;G41,"s+",IF(G33&lt;G37,"s-","ns"))</f>
        <v>ns</v>
      </c>
      <c r="I33" t="s">
        <v>60</v>
      </c>
      <c r="J33" s="19">
        <f>(J31+J32/2)/(1+J32)</f>
        <v>0.8790663732925138</v>
      </c>
      <c r="K33" s="19">
        <f>(K31+K32/2)/(1+K32)</f>
        <v>0.4434481737119474</v>
      </c>
      <c r="N33" s="19">
        <f t="shared" si="3"/>
        <v>0.9476696906293028</v>
      </c>
      <c r="O33" s="19">
        <f t="shared" si="3"/>
        <v>0.0067422354954755565</v>
      </c>
      <c r="P33" s="19">
        <f t="shared" si="3"/>
        <v>0.0664306732169789</v>
      </c>
      <c r="Q33" s="19">
        <f t="shared" si="3"/>
        <v>0.01601612911359532</v>
      </c>
      <c r="R33" s="19"/>
      <c r="S33" s="19">
        <f>P17-O17</f>
        <v>0.05061349693251534</v>
      </c>
      <c r="T33" t="str">
        <f>IF(S33&gt;S41,"s+",IF(S33&lt;S37,"s-","ns"))</f>
        <v>s+</v>
      </c>
      <c r="U33" t="s">
        <v>60</v>
      </c>
      <c r="V33" s="19">
        <f>(V31+V32/2)/(1+V32)</f>
        <v>0.9306438384257958</v>
      </c>
      <c r="W33" s="19">
        <f>(W31+W32/2)/(1+W32)</f>
        <v>0.24118071335195806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0.060246237844104045</v>
      </c>
      <c r="K34" s="19">
        <f>$G$1*SQRT((K31*(1-K31)+K32/4)/J5)/(1+K32)</f>
        <v>0.32582719454885467</v>
      </c>
      <c r="N34" s="19"/>
      <c r="O34" s="19"/>
      <c r="P34" s="19"/>
      <c r="Q34" s="19"/>
      <c r="R34" s="19"/>
      <c r="S34" s="19"/>
      <c r="U34" t="s">
        <v>61</v>
      </c>
      <c r="V34" s="19">
        <f>$G$1*SQRT((V31*(1-V31)+V32/4)/V4)/(1+V32)</f>
        <v>0.011016706426264648</v>
      </c>
      <c r="W34" s="19">
        <f>$G$1*SQRT((W31*(1-W31)+W32/4)/V5)/(1+W32)</f>
        <v>0.142719903648027</v>
      </c>
    </row>
    <row r="35" spans="1:23" ht="12.75">
      <c r="A35" t="s">
        <v>30</v>
      </c>
      <c r="B35" s="19">
        <f aca="true" t="shared" si="4" ref="B35:E37">B15-B27</f>
        <v>0.07902306372471768</v>
      </c>
      <c r="C35" s="19">
        <f t="shared" si="4"/>
        <v>0.013425285572389173</v>
      </c>
      <c r="D35" s="19">
        <f t="shared" si="4"/>
        <v>0.044022486230594814</v>
      </c>
      <c r="E35" s="19">
        <f t="shared" si="4"/>
        <v>0.018286424021565842</v>
      </c>
      <c r="F35" s="19"/>
      <c r="G35" s="19">
        <f>-SQRT(C35^2+D39^2)</f>
        <v>-0.07262475695015047</v>
      </c>
      <c r="I35" t="s">
        <v>17</v>
      </c>
      <c r="J35" s="19">
        <f>J33-J34</f>
        <v>0.8188201354484097</v>
      </c>
      <c r="K35" s="19">
        <f>K33-K34</f>
        <v>0.11762097916309272</v>
      </c>
      <c r="M35" t="s">
        <v>30</v>
      </c>
      <c r="N35" s="19">
        <f aca="true" t="shared" si="5" ref="N35:Q37">N15-N27</f>
        <v>0.012629375250347241</v>
      </c>
      <c r="O35" s="19">
        <f t="shared" si="5"/>
        <v>0.0015793758540780987</v>
      </c>
      <c r="P35" s="19">
        <f t="shared" si="5"/>
        <v>0.010061221240802803</v>
      </c>
      <c r="Q35" s="19">
        <f t="shared" si="5"/>
        <v>0.003719102344766939</v>
      </c>
      <c r="R35" s="19"/>
      <c r="S35" s="19">
        <f>-SQRT(O35^2+P39^2)</f>
        <v>-0.011779679807278344</v>
      </c>
      <c r="U35" t="s">
        <v>17</v>
      </c>
      <c r="V35" s="19">
        <f>V33-V34</f>
        <v>0.9196271319995312</v>
      </c>
      <c r="W35" s="19">
        <f>W33-W34</f>
        <v>0.09846080970393106</v>
      </c>
    </row>
    <row r="36" spans="2:23" ht="12.75">
      <c r="B36" s="19">
        <f t="shared" si="4"/>
        <v>0.10838226319350752</v>
      </c>
      <c r="C36" s="19">
        <f t="shared" si="4"/>
        <v>0</v>
      </c>
      <c r="D36" s="19">
        <f t="shared" si="4"/>
        <v>0.0393849995140302</v>
      </c>
      <c r="E36" s="19">
        <f t="shared" si="4"/>
        <v>0.01646073338047917</v>
      </c>
      <c r="F36" s="19"/>
      <c r="G36" s="19">
        <f>-SQRT(C36^2+D40^2)</f>
        <v>-0.1021707140773116</v>
      </c>
      <c r="I36" t="s">
        <v>18</v>
      </c>
      <c r="J36" s="19">
        <f>J33+J34</f>
        <v>0.9393126111366179</v>
      </c>
      <c r="K36" s="19">
        <f>K33+K34</f>
        <v>0.769275368260802</v>
      </c>
      <c r="N36" s="19">
        <f t="shared" si="5"/>
        <v>0.024486729341746116</v>
      </c>
      <c r="O36" s="19">
        <f t="shared" si="5"/>
        <v>0.002628215225615447</v>
      </c>
      <c r="P36" s="19">
        <f t="shared" si="5"/>
        <v>0.01872449276056362</v>
      </c>
      <c r="Q36" s="19">
        <f t="shared" si="5"/>
        <v>0.006431976864281241</v>
      </c>
      <c r="R36" s="19"/>
      <c r="S36" s="19">
        <f>-SQRT(O36^2+P40^2)</f>
        <v>-0.023007057124404085</v>
      </c>
      <c r="U36" t="s">
        <v>18</v>
      </c>
      <c r="V36" s="19">
        <f>V33+V34</f>
        <v>0.9416605448520604</v>
      </c>
      <c r="W36" s="19">
        <f>W33+W34</f>
        <v>0.38390061699998507</v>
      </c>
    </row>
    <row r="37" spans="2:23" ht="12.75">
      <c r="B37" s="19">
        <f t="shared" si="4"/>
        <v>0.12079542996053916</v>
      </c>
      <c r="C37" s="19">
        <f t="shared" si="4"/>
        <v>0.024974814215908345</v>
      </c>
      <c r="D37" s="19">
        <f t="shared" si="4"/>
        <v>0.06634609547299503</v>
      </c>
      <c r="E37" s="19">
        <f t="shared" si="4"/>
        <v>0.024974814215908345</v>
      </c>
      <c r="F37" s="19"/>
      <c r="G37" s="19">
        <f>-SQRT(C37^2+D41^2)</f>
        <v>-0.11409485140182443</v>
      </c>
      <c r="I37" t="s">
        <v>70</v>
      </c>
      <c r="J37" s="19">
        <f>-SQRT((J35-J31)^2+(K36-K31)^2)</f>
        <v>-0.37669250002838023</v>
      </c>
      <c r="K37" s="19">
        <f>SQRT((K35-K31)^2+(J36-J31)^2)</f>
        <v>0.2861187274079171</v>
      </c>
      <c r="N37" s="19">
        <f t="shared" si="5"/>
        <v>0.014645693272380411</v>
      </c>
      <c r="O37" s="19">
        <f t="shared" si="5"/>
        <v>0.0015178944473110598</v>
      </c>
      <c r="P37" s="19">
        <f t="shared" si="5"/>
        <v>0.010890163461848075</v>
      </c>
      <c r="Q37" s="19">
        <f t="shared" si="5"/>
        <v>0.003930492332662689</v>
      </c>
      <c r="R37" s="19"/>
      <c r="S37" s="19">
        <f>-SQRT(O37^2+P41^2)</f>
        <v>-0.013601524662421009</v>
      </c>
      <c r="U37" t="s">
        <v>70</v>
      </c>
      <c r="V37" s="19">
        <f>-SQRT((V35-V31)^2+(W36-W31)^2)</f>
        <v>-0.17739911392204163</v>
      </c>
      <c r="W37" s="19">
        <f>SQRT((W35-W31)^2+(V36-V31)^2)</f>
        <v>0.10891450828738979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S38" s="19"/>
      <c r="V38" s="19"/>
      <c r="W38" s="19"/>
    </row>
    <row r="39" spans="1:23" ht="12.75">
      <c r="A39" t="s">
        <v>29</v>
      </c>
      <c r="B39" s="19">
        <f aca="true" t="shared" si="6" ref="B39:E41">B31-B15</f>
        <v>0.054852768580574085</v>
      </c>
      <c r="C39" s="19">
        <f t="shared" si="6"/>
        <v>0.046500426295953995</v>
      </c>
      <c r="D39" s="19">
        <f t="shared" si="6"/>
        <v>0.07137308336738878</v>
      </c>
      <c r="E39" s="19">
        <f t="shared" si="6"/>
        <v>0.05072550434660057</v>
      </c>
      <c r="F39" s="19"/>
      <c r="G39" s="19">
        <f>SQRT(D35^2+C39^2)</f>
        <v>0.06403334240556524</v>
      </c>
      <c r="I39" t="s">
        <v>71</v>
      </c>
      <c r="J39" s="19">
        <f>K31-J31</f>
        <v>-0.49320388349514566</v>
      </c>
      <c r="K39" s="19"/>
      <c r="M39" t="s">
        <v>29</v>
      </c>
      <c r="N39" s="19">
        <f aca="true" t="shared" si="7" ref="N39:Q41">N31-N15</f>
        <v>0.011069833900230197</v>
      </c>
      <c r="O39" s="19">
        <f t="shared" si="7"/>
        <v>0.003432520572840076</v>
      </c>
      <c r="P39" s="19">
        <f t="shared" si="7"/>
        <v>0.011673321218640231</v>
      </c>
      <c r="Q39" s="19">
        <f t="shared" si="7"/>
        <v>0.005541436833485933</v>
      </c>
      <c r="R39" s="19"/>
      <c r="S39" s="19">
        <f>SQRT(P35^2+O39^2)</f>
        <v>0.010630633581275946</v>
      </c>
      <c r="U39" t="s">
        <v>71</v>
      </c>
      <c r="V39" s="19">
        <f>W31-V31</f>
        <v>-0.7245630143508128</v>
      </c>
      <c r="W39" s="19"/>
    </row>
    <row r="40" spans="2:23" ht="12.75">
      <c r="B40" s="19">
        <f t="shared" si="6"/>
        <v>0.04845044474673876</v>
      </c>
      <c r="C40" s="19">
        <f t="shared" si="6"/>
        <v>0.07134740291281978</v>
      </c>
      <c r="D40" s="19">
        <f t="shared" si="6"/>
        <v>0.1021707140773116</v>
      </c>
      <c r="E40" s="19">
        <f t="shared" si="6"/>
        <v>0.08495424017678614</v>
      </c>
      <c r="F40" s="19"/>
      <c r="G40" s="19">
        <f>SQRT(D36^2+C40^2)</f>
        <v>0.0814961967770546</v>
      </c>
      <c r="I40" t="s">
        <v>72</v>
      </c>
      <c r="J40" s="19">
        <f>J39-K37</f>
        <v>-0.7793226109030628</v>
      </c>
      <c r="K40" s="19"/>
      <c r="N40" s="19">
        <f t="shared" si="7"/>
        <v>0.020543510519891006</v>
      </c>
      <c r="O40" s="19">
        <f t="shared" si="7"/>
        <v>0.007663402336599765</v>
      </c>
      <c r="P40" s="19">
        <f t="shared" si="7"/>
        <v>0.022856446842268285</v>
      </c>
      <c r="Q40" s="19">
        <f t="shared" si="7"/>
        <v>0.01135931525535157</v>
      </c>
      <c r="R40" s="19"/>
      <c r="S40" s="19">
        <f>SQRT(P36^2+O40^2)</f>
        <v>0.02023201335786931</v>
      </c>
      <c r="U40" t="s">
        <v>72</v>
      </c>
      <c r="V40" s="19">
        <f>V39-W37</f>
        <v>-0.8334775226382026</v>
      </c>
      <c r="W40" s="19"/>
    </row>
    <row r="41" spans="2:23" ht="12.75">
      <c r="B41" s="19">
        <f t="shared" si="6"/>
        <v>0.0843816156401469</v>
      </c>
      <c r="C41" s="19">
        <f t="shared" si="6"/>
        <v>0.082808519313002</v>
      </c>
      <c r="D41" s="19">
        <f t="shared" si="6"/>
        <v>0.11132786610406786</v>
      </c>
      <c r="E41" s="19">
        <f t="shared" si="6"/>
        <v>0.082808519313002</v>
      </c>
      <c r="F41" s="19"/>
      <c r="G41" s="19">
        <f>SQRT(D37^2+C41^2)</f>
        <v>0.10610869547461035</v>
      </c>
      <c r="I41" t="s">
        <v>73</v>
      </c>
      <c r="J41" s="19">
        <f>J39-J37</f>
        <v>-0.11651138346676543</v>
      </c>
      <c r="K41" s="19"/>
      <c r="N41" s="19">
        <f t="shared" si="7"/>
        <v>0.012086868543413232</v>
      </c>
      <c r="O41" s="19">
        <f t="shared" si="7"/>
        <v>0.004441621998543041</v>
      </c>
      <c r="P41" s="19">
        <f t="shared" si="7"/>
        <v>0.01351656278753105</v>
      </c>
      <c r="Q41" s="19">
        <f t="shared" si="7"/>
        <v>0.006813675125865259</v>
      </c>
      <c r="R41" s="19"/>
      <c r="S41" s="19">
        <f>SQRT(P37^2+O41^2)</f>
        <v>0.011761108204744667</v>
      </c>
      <c r="U41" t="s">
        <v>73</v>
      </c>
      <c r="V41" s="19">
        <f>V39-V37</f>
        <v>-0.5471639004287712</v>
      </c>
      <c r="W41" s="19"/>
    </row>
    <row r="42" spans="14:18" ht="12.75">
      <c r="N42" s="19"/>
      <c r="O42" s="19"/>
      <c r="P42" s="19"/>
      <c r="Q42" s="19"/>
      <c r="R42" s="19"/>
    </row>
    <row r="44" spans="2:14" ht="12.75">
      <c r="B44" t="s">
        <v>83</v>
      </c>
      <c r="N44" t="s">
        <v>83</v>
      </c>
    </row>
    <row r="45" spans="1:16" ht="12.75">
      <c r="A45" t="s">
        <v>49</v>
      </c>
      <c r="B45" s="19">
        <f>D15/C15</f>
        <v>5.5</v>
      </c>
      <c r="C45" s="19">
        <f>EXP(B49-D49)</f>
        <v>1.3870555076916795</v>
      </c>
      <c r="D45" s="19">
        <f>EXP(B49-C49)</f>
        <v>22.2108766944532</v>
      </c>
      <c r="M45" t="s">
        <v>49</v>
      </c>
      <c r="N45" s="19">
        <f>P15/O15</f>
        <v>23.166666666666668</v>
      </c>
      <c r="O45" s="19">
        <f>EXP(N49-P49)</f>
        <v>10.468131840652667</v>
      </c>
      <c r="P45" s="19">
        <f>EXP(N49-O49)</f>
        <v>51.343825677180924</v>
      </c>
    </row>
    <row r="46" spans="1:16" ht="12.75">
      <c r="A46" t="s">
        <v>85</v>
      </c>
      <c r="B46" s="19" t="e">
        <f>D16/C16</f>
        <v>#DIV/0!</v>
      </c>
      <c r="C46" s="19" t="e">
        <f>EXP(B50-D50)</f>
        <v>#DIV/0!</v>
      </c>
      <c r="D46" s="19" t="e">
        <f>EXP(B50-C50)</f>
        <v>#DIV/0!</v>
      </c>
      <c r="M46" t="s">
        <v>85</v>
      </c>
      <c r="N46" s="19">
        <f>P16/O16</f>
        <v>23.333333333333332</v>
      </c>
      <c r="O46" s="19">
        <f>EXP(N50-P50)</f>
        <v>7.7972517449825185</v>
      </c>
      <c r="P46" s="19">
        <f>EXP(N50-O50)</f>
        <v>70.10170864687777</v>
      </c>
    </row>
    <row r="47" spans="2:16" ht="12.75">
      <c r="B47" s="19">
        <f>D17/C17</f>
        <v>4</v>
      </c>
      <c r="C47" s="19">
        <f>EXP(B51-D51)</f>
        <v>0.9974735071360277</v>
      </c>
      <c r="D47" s="19">
        <f>EXP(B51-C51)</f>
        <v>16.510927642069003</v>
      </c>
      <c r="N47" s="19">
        <f>P17/O17</f>
        <v>23</v>
      </c>
      <c r="O47" s="19">
        <f>EXP(N51-P51)</f>
        <v>7.658865092354161</v>
      </c>
      <c r="P47" s="19">
        <f>EXP(N51-O51)</f>
        <v>69.22693329232924</v>
      </c>
    </row>
    <row r="49" spans="1:16" ht="12.75">
      <c r="A49" t="s">
        <v>84</v>
      </c>
      <c r="B49" s="19">
        <f>LN(B45)</f>
        <v>1.7047480922384253</v>
      </c>
      <c r="C49" s="19">
        <f>-SQRT((LN(D31)-LN(D15))^2+(LN(C27)-LN(C15))^2)</f>
        <v>-1.3958340178493966</v>
      </c>
      <c r="D49" s="19">
        <f>SQRT((LN(C31)-LN(C15))^2+(LN(D27)-LN(D15))^2)</f>
        <v>1.3775649317413463</v>
      </c>
      <c r="M49" t="s">
        <v>84</v>
      </c>
      <c r="N49" s="19">
        <f>LN(N45)</f>
        <v>3.142714463902637</v>
      </c>
      <c r="O49" s="19">
        <f>-SQRT((LN(P31)-LN(P15))^2+(LN(O27)-LN(O15))^2)</f>
        <v>-0.7958302252655225</v>
      </c>
      <c r="P49" s="19">
        <f>SQRT((LN(O31)-LN(O15))^2+(LN(P27)-LN(P15))^2)</f>
        <v>0.7943788846777607</v>
      </c>
    </row>
    <row r="50" spans="2:16" ht="12.75">
      <c r="B50" s="19" t="e">
        <f>LN(B46)</f>
        <v>#DIV/0!</v>
      </c>
      <c r="C50" s="19" t="e">
        <f>-SQRT((LN(D32)-LN(D16))^2+(LN(C28)-LN(C16))^2)</f>
        <v>#NUM!</v>
      </c>
      <c r="D50" s="19" t="e">
        <f>SQRT((LN(C32)-LN(C16))^2+(LN(D28)-LN(D16))^2)</f>
        <v>#NUM!</v>
      </c>
      <c r="N50" s="19">
        <f>LN(N46)</f>
        <v>3.1498829533812494</v>
      </c>
      <c r="O50" s="19">
        <f>-SQRT((LN(P32)-LN(P16))^2+(LN(O28)-LN(O16))^2)</f>
        <v>-1.1000642147827537</v>
      </c>
      <c r="P50" s="19">
        <f>SQRT((LN(O32)-LN(O16))^2+(LN(P28)-LN(P16))^2)</f>
        <v>1.0961116221590181</v>
      </c>
    </row>
    <row r="51" spans="2:16" ht="12.75">
      <c r="B51" s="19">
        <f>LN(B47)</f>
        <v>1.3862943611198906</v>
      </c>
      <c r="C51" s="19">
        <f>-SQRT((LN(D33)-LN(D17))^2+(LN(C29)-LN(C17))^2)</f>
        <v>-1.4177280819126556</v>
      </c>
      <c r="D51" s="19">
        <f>SQRT((LN(C33)-LN(C17))^2+(LN(D29)-LN(D17))^2)</f>
        <v>1.3888240509528402</v>
      </c>
      <c r="N51" s="19">
        <f>LN(N47)</f>
        <v>3.1354942159291497</v>
      </c>
      <c r="O51" s="19">
        <f>-SQRT((LN(P33)-LN(P17))^2+(LN(O29)-LN(O17))^2)</f>
        <v>-1.101895780398856</v>
      </c>
      <c r="P51" s="19">
        <f>SQRT((LN(O33)-LN(O17))^2+(LN(P29)-LN(P17))^2)</f>
        <v>1.0996304034205473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B4" sqref="B4"/>
    </sheetView>
  </sheetViews>
  <sheetFormatPr defaultColWidth="9.140625" defaultRowHeight="12.75"/>
  <cols>
    <col min="10" max="10" width="10.140625" style="0" customWidth="1"/>
    <col min="22" max="22" width="10.421875" style="0" customWidth="1"/>
  </cols>
  <sheetData>
    <row r="1" spans="1:13" ht="12.75">
      <c r="A1" s="3" t="s">
        <v>51</v>
      </c>
      <c r="B1" s="49" t="s">
        <v>77</v>
      </c>
      <c r="F1">
        <v>0.05</v>
      </c>
      <c r="G1">
        <f>NORMSINV(1-F1/2)</f>
        <v>1.9599610823206604</v>
      </c>
      <c r="H1">
        <f>G1^2</f>
        <v>3.8414474442115742</v>
      </c>
      <c r="M1" s="3" t="s">
        <v>67</v>
      </c>
    </row>
    <row r="2" spans="1:13" ht="12.75">
      <c r="A2" s="45"/>
      <c r="M2" s="45"/>
    </row>
    <row r="3" spans="2:22" ht="12.75">
      <c r="B3" t="s">
        <v>32</v>
      </c>
      <c r="C3" t="s">
        <v>31</v>
      </c>
      <c r="D3" t="s">
        <v>53</v>
      </c>
      <c r="E3" t="s">
        <v>33</v>
      </c>
      <c r="H3" s="45" t="s">
        <v>54</v>
      </c>
      <c r="I3" s="45" t="s">
        <v>55</v>
      </c>
      <c r="J3" t="s">
        <v>56</v>
      </c>
      <c r="N3" t="s">
        <v>32</v>
      </c>
      <c r="O3" t="s">
        <v>31</v>
      </c>
      <c r="P3" t="s">
        <v>53</v>
      </c>
      <c r="Q3" t="s">
        <v>33</v>
      </c>
      <c r="T3" s="45" t="s">
        <v>54</v>
      </c>
      <c r="U3" s="45" t="s">
        <v>55</v>
      </c>
      <c r="V3" t="s">
        <v>56</v>
      </c>
    </row>
    <row r="4" spans="1:22" ht="12.75">
      <c r="A4" t="s">
        <v>34</v>
      </c>
      <c r="B4">
        <f>SUM(B5:B6)</f>
        <v>108</v>
      </c>
      <c r="C4">
        <f>SUM(C5:C6)</f>
        <v>19</v>
      </c>
      <c r="D4">
        <f>SUM(D5:D6)</f>
        <v>20</v>
      </c>
      <c r="E4">
        <f>SUM(E5:E6)</f>
        <v>7</v>
      </c>
      <c r="G4" s="45" t="s">
        <v>57</v>
      </c>
      <c r="H4" s="44">
        <f>J4-I4</f>
        <v>76</v>
      </c>
      <c r="I4" s="44">
        <f>I6-I5</f>
        <v>13</v>
      </c>
      <c r="J4" s="44">
        <f>J6-J5</f>
        <v>89</v>
      </c>
      <c r="M4" t="s">
        <v>34</v>
      </c>
      <c r="N4">
        <f>SUM(N5:N6)</f>
        <v>2057</v>
      </c>
      <c r="O4">
        <f>SUM(O5:O6)</f>
        <v>370</v>
      </c>
      <c r="P4">
        <f>SUM(P5:P6)</f>
        <v>267</v>
      </c>
      <c r="Q4">
        <f>SUM(Q5:Q6)</f>
        <v>117</v>
      </c>
      <c r="S4" s="45" t="s">
        <v>57</v>
      </c>
      <c r="T4" s="44">
        <f>V4-U4</f>
        <v>1537</v>
      </c>
      <c r="U4" s="44">
        <f>U6-U5</f>
        <v>150</v>
      </c>
      <c r="V4" s="44">
        <f>V6-V5</f>
        <v>1687</v>
      </c>
    </row>
    <row r="5" spans="1:23" ht="12.75">
      <c r="A5" t="s">
        <v>35</v>
      </c>
      <c r="B5">
        <v>50</v>
      </c>
      <c r="C5">
        <v>6</v>
      </c>
      <c r="D5">
        <v>7</v>
      </c>
      <c r="E5">
        <v>1</v>
      </c>
      <c r="G5" s="45" t="s">
        <v>58</v>
      </c>
      <c r="H5" s="44">
        <f>J5-I5</f>
        <v>12</v>
      </c>
      <c r="I5" s="44">
        <f>E4</f>
        <v>7</v>
      </c>
      <c r="J5" s="44">
        <f>C4</f>
        <v>19</v>
      </c>
      <c r="K5" s="19">
        <f>I5/J5</f>
        <v>0.3684210526315789</v>
      </c>
      <c r="M5" t="s">
        <v>35</v>
      </c>
      <c r="N5">
        <v>753</v>
      </c>
      <c r="O5">
        <v>117</v>
      </c>
      <c r="P5">
        <v>81</v>
      </c>
      <c r="Q5">
        <v>35</v>
      </c>
      <c r="S5" s="45" t="s">
        <v>58</v>
      </c>
      <c r="T5" s="44">
        <f>V5-U5</f>
        <v>253</v>
      </c>
      <c r="U5" s="44">
        <f>Q4</f>
        <v>117</v>
      </c>
      <c r="V5" s="44">
        <f>O4</f>
        <v>370</v>
      </c>
      <c r="W5" s="19">
        <f>U5/V5</f>
        <v>0.3162162162162162</v>
      </c>
    </row>
    <row r="6" spans="1:23" ht="12.75">
      <c r="A6" t="s">
        <v>36</v>
      </c>
      <c r="B6">
        <v>58</v>
      </c>
      <c r="C6">
        <v>13</v>
      </c>
      <c r="D6">
        <v>13</v>
      </c>
      <c r="E6">
        <v>6</v>
      </c>
      <c r="G6" t="s">
        <v>56</v>
      </c>
      <c r="H6" s="44">
        <f>J6-I6</f>
        <v>88</v>
      </c>
      <c r="I6" s="44">
        <f>D4</f>
        <v>20</v>
      </c>
      <c r="J6" s="44">
        <f>B4</f>
        <v>108</v>
      </c>
      <c r="K6" s="19">
        <f>I6/J6</f>
        <v>0.18518518518518517</v>
      </c>
      <c r="M6" t="s">
        <v>36</v>
      </c>
      <c r="N6">
        <v>1304</v>
      </c>
      <c r="O6">
        <v>253</v>
      </c>
      <c r="P6">
        <v>186</v>
      </c>
      <c r="Q6">
        <v>82</v>
      </c>
      <c r="S6" t="s">
        <v>56</v>
      </c>
      <c r="T6" s="44">
        <f>V6-U6</f>
        <v>1790</v>
      </c>
      <c r="U6" s="44">
        <f>P4</f>
        <v>267</v>
      </c>
      <c r="V6" s="44">
        <f>N4</f>
        <v>2057</v>
      </c>
      <c r="W6" s="19">
        <f>U6/V6</f>
        <v>0.12980068060281963</v>
      </c>
    </row>
    <row r="7" spans="9:22" ht="12.75">
      <c r="I7" s="19">
        <f>I5/I6</f>
        <v>0.35</v>
      </c>
      <c r="J7" s="19">
        <f>J5/J6</f>
        <v>0.17592592592592593</v>
      </c>
      <c r="U7" s="19">
        <f>U5/U6</f>
        <v>0.43820224719101125</v>
      </c>
      <c r="V7" s="19">
        <f>V5/V6</f>
        <v>0.1798736023334954</v>
      </c>
    </row>
    <row r="8" spans="9:21" ht="12.75">
      <c r="I8" s="46">
        <f>I5/(I6*J5/J6)</f>
        <v>1.9894736842105263</v>
      </c>
      <c r="U8" s="46">
        <f>U5/(U6*V5/V6)</f>
        <v>2.4361676283024596</v>
      </c>
    </row>
    <row r="10" spans="2:20" ht="12.75">
      <c r="B10" t="s">
        <v>64</v>
      </c>
      <c r="C10" t="s">
        <v>80</v>
      </c>
      <c r="D10" t="s">
        <v>81</v>
      </c>
      <c r="E10" t="s">
        <v>65</v>
      </c>
      <c r="F10" t="s">
        <v>63</v>
      </c>
      <c r="H10" t="s">
        <v>62</v>
      </c>
      <c r="N10" t="s">
        <v>64</v>
      </c>
      <c r="O10" t="s">
        <v>80</v>
      </c>
      <c r="P10" t="s">
        <v>81</v>
      </c>
      <c r="Q10" t="s">
        <v>65</v>
      </c>
      <c r="R10" t="s">
        <v>63</v>
      </c>
      <c r="T10" t="s">
        <v>62</v>
      </c>
    </row>
    <row r="11" spans="1:23" ht="12.75">
      <c r="A11" t="s">
        <v>34</v>
      </c>
      <c r="B11">
        <f>F11-C11-D11-E11</f>
        <v>76</v>
      </c>
      <c r="C11">
        <f>C4-E4</f>
        <v>12</v>
      </c>
      <c r="D11">
        <f>D4-E4</f>
        <v>13</v>
      </c>
      <c r="E11">
        <f>E4</f>
        <v>7</v>
      </c>
      <c r="F11">
        <f>B4</f>
        <v>108</v>
      </c>
      <c r="H11">
        <f>$H$1/F11</f>
        <v>0.035568957816773834</v>
      </c>
      <c r="I11" s="44"/>
      <c r="J11" s="7" t="s">
        <v>68</v>
      </c>
      <c r="K11" s="40">
        <f>(H4*I5-H5*I4)/SQRT(J4*J5*H6*I6)</f>
        <v>0.21795142217682745</v>
      </c>
      <c r="M11" t="s">
        <v>34</v>
      </c>
      <c r="N11">
        <f>R11-O11-P11-Q11</f>
        <v>1537</v>
      </c>
      <c r="O11">
        <f>O4-Q4</f>
        <v>253</v>
      </c>
      <c r="P11">
        <f>P4-Q4</f>
        <v>150</v>
      </c>
      <c r="Q11">
        <f>Q4</f>
        <v>117</v>
      </c>
      <c r="R11">
        <f>N4</f>
        <v>2057</v>
      </c>
      <c r="T11">
        <f>$H$1/R11</f>
        <v>0.001867499972878743</v>
      </c>
      <c r="U11" s="44"/>
      <c r="V11" s="7" t="s">
        <v>68</v>
      </c>
      <c r="W11" s="40">
        <f>(T4*U5-T5*U4)/SQRT(V4*V5*T6*U6)</f>
        <v>0.259763166267931</v>
      </c>
    </row>
    <row r="12" spans="1:23" ht="12.75">
      <c r="A12" t="s">
        <v>35</v>
      </c>
      <c r="B12">
        <f>F12-C12-D12-E12</f>
        <v>38</v>
      </c>
      <c r="C12">
        <f>C5-E5</f>
        <v>5</v>
      </c>
      <c r="D12">
        <f>D5-E5</f>
        <v>6</v>
      </c>
      <c r="E12">
        <f>E5</f>
        <v>1</v>
      </c>
      <c r="F12">
        <f>B5</f>
        <v>50</v>
      </c>
      <c r="H12">
        <f>$H$1/F12</f>
        <v>0.07682894888423149</v>
      </c>
      <c r="I12" s="19"/>
      <c r="J12" s="10" t="s">
        <v>75</v>
      </c>
      <c r="K12" s="40">
        <f>IF(SIGN(J28)=SIGN(J41),-SIGN(J28)*SQRT(J28*J41),-(J28+J41)/2)</f>
        <v>0.024237076198415204</v>
      </c>
      <c r="M12" t="s">
        <v>35</v>
      </c>
      <c r="N12">
        <f>R12-O12-P12-Q12</f>
        <v>590</v>
      </c>
      <c r="O12">
        <f>O5-Q5</f>
        <v>82</v>
      </c>
      <c r="P12">
        <f>P5-Q5</f>
        <v>46</v>
      </c>
      <c r="Q12">
        <f>Q5</f>
        <v>35</v>
      </c>
      <c r="R12">
        <f>N5</f>
        <v>753</v>
      </c>
      <c r="T12">
        <f>$H$1/R12</f>
        <v>0.005101523830294255</v>
      </c>
      <c r="U12" s="19"/>
      <c r="V12" s="10" t="s">
        <v>75</v>
      </c>
      <c r="W12" s="40">
        <f>IF(SIGN(V28)=SIGN(V41),-SIGN(V28)*SQRT(V28*V41),-(V28+V41)/2)</f>
        <v>0.20606109644172244</v>
      </c>
    </row>
    <row r="13" spans="1:23" ht="12.75">
      <c r="A13" t="s">
        <v>36</v>
      </c>
      <c r="B13">
        <f>F13-C13-D13-E13</f>
        <v>38</v>
      </c>
      <c r="C13">
        <f>C6-E6</f>
        <v>7</v>
      </c>
      <c r="D13">
        <f>D6-E6</f>
        <v>7</v>
      </c>
      <c r="E13">
        <f>E6</f>
        <v>6</v>
      </c>
      <c r="F13">
        <f>B6</f>
        <v>58</v>
      </c>
      <c r="H13">
        <f>$H$1/F13</f>
        <v>0.06623185248640645</v>
      </c>
      <c r="I13" s="46"/>
      <c r="J13" s="10" t="s">
        <v>76</v>
      </c>
      <c r="K13" s="40">
        <f>IF(SIGN(J27)=SIGN(J40),-SIGN(J27)*SQRT(J40*J27),-(J27+J40)/2)</f>
        <v>0.44456379133816226</v>
      </c>
      <c r="M13" t="s">
        <v>36</v>
      </c>
      <c r="N13">
        <f>R13-O13-P13-Q13</f>
        <v>947</v>
      </c>
      <c r="O13">
        <f>O6-Q6</f>
        <v>171</v>
      </c>
      <c r="P13">
        <f>P6-Q6</f>
        <v>104</v>
      </c>
      <c r="Q13">
        <f>Q6</f>
        <v>82</v>
      </c>
      <c r="R13">
        <f>N6</f>
        <v>1304</v>
      </c>
      <c r="T13">
        <f>$H$1/R13</f>
        <v>0.0029458952793033543</v>
      </c>
      <c r="U13" s="46"/>
      <c r="V13" s="10" t="s">
        <v>76</v>
      </c>
      <c r="W13" s="40">
        <f>IF(SIGN(V27)=SIGN(V40),-SIGN(V27)*SQRT(V40*V27),-(V27+V40)/2)</f>
        <v>0.3157988089696871</v>
      </c>
    </row>
    <row r="15" spans="1:22" ht="12.75">
      <c r="A15" t="str">
        <f>A11</f>
        <v>ICE-GB</v>
      </c>
      <c r="B15" s="19">
        <f>B11/F11</f>
        <v>0.7037037037037037</v>
      </c>
      <c r="C15" s="19">
        <f>C11/F11</f>
        <v>0.1111111111111111</v>
      </c>
      <c r="D15" s="19">
        <f>D11/F11</f>
        <v>0.12037037037037036</v>
      </c>
      <c r="E15" s="19">
        <f>E11/F11</f>
        <v>0.06481481481481481</v>
      </c>
      <c r="F15" s="19">
        <f>C4*D4/F11^2</f>
        <v>0.032578875171467764</v>
      </c>
      <c r="G15" s="19"/>
      <c r="J15" s="19"/>
      <c r="M15" t="str">
        <f>M11</f>
        <v>ICE-GB</v>
      </c>
      <c r="N15" s="19">
        <f>N11/R11</f>
        <v>0.7472046669907633</v>
      </c>
      <c r="O15" s="19">
        <f>O11/R11</f>
        <v>0.12299465240641712</v>
      </c>
      <c r="P15" s="19">
        <f>P11/R11</f>
        <v>0.07292173067574137</v>
      </c>
      <c r="Q15" s="19">
        <f>Q11/R11</f>
        <v>0.056878949927078266</v>
      </c>
      <c r="R15" s="19">
        <f>O4*P4/R11^2</f>
        <v>0.023347716005368627</v>
      </c>
      <c r="V15" s="19"/>
    </row>
    <row r="16" spans="1:21" ht="12.75">
      <c r="A16" t="str">
        <f>A12</f>
        <v> spoken</v>
      </c>
      <c r="B16" s="19">
        <f>B12/F12</f>
        <v>0.76</v>
      </c>
      <c r="C16" s="19">
        <f>C12/F12</f>
        <v>0.1</v>
      </c>
      <c r="D16" s="19">
        <f>D12/F12</f>
        <v>0.12</v>
      </c>
      <c r="E16" s="19">
        <f>E12/F12</f>
        <v>0.02</v>
      </c>
      <c r="F16" s="19">
        <f>C5*D5/F12^2</f>
        <v>0.0168</v>
      </c>
      <c r="G16" s="19"/>
      <c r="I16" s="44"/>
      <c r="M16" t="str">
        <f>M12</f>
        <v> spoken</v>
      </c>
      <c r="N16" s="19">
        <f>N12/R12</f>
        <v>0.7835325365205843</v>
      </c>
      <c r="O16" s="19">
        <f>O12/R12</f>
        <v>0.10889774236387782</v>
      </c>
      <c r="P16" s="19">
        <f>P12/R12</f>
        <v>0.06108897742363878</v>
      </c>
      <c r="Q16" s="19">
        <f>Q12/R12</f>
        <v>0.04648074369189907</v>
      </c>
      <c r="R16" s="19">
        <f>O5*P5/R12^2</f>
        <v>0.016714020412374405</v>
      </c>
      <c r="U16" s="44"/>
    </row>
    <row r="17" spans="1:23" ht="12.75">
      <c r="A17" t="str">
        <f>A13</f>
        <v> written</v>
      </c>
      <c r="B17" s="19">
        <f>B13/F13</f>
        <v>0.6551724137931034</v>
      </c>
      <c r="C17" s="19">
        <f>C13/F13</f>
        <v>0.1206896551724138</v>
      </c>
      <c r="D17" s="19">
        <f>D13/F13</f>
        <v>0.1206896551724138</v>
      </c>
      <c r="E17" s="19">
        <f>E13/F13</f>
        <v>0.10344827586206896</v>
      </c>
      <c r="F17" s="19">
        <f>C6*D6/F13^2</f>
        <v>0.050237812128418546</v>
      </c>
      <c r="G17" s="19"/>
      <c r="J17" s="48" t="str">
        <f>H3</f>
        <v>- last</v>
      </c>
      <c r="K17" s="48" t="str">
        <f>I3</f>
        <v>+ last</v>
      </c>
      <c r="M17" t="str">
        <f>M13</f>
        <v> written</v>
      </c>
      <c r="N17" s="19">
        <f>N13/R13</f>
        <v>0.7262269938650306</v>
      </c>
      <c r="O17" s="19">
        <f>O13/R13</f>
        <v>0.13113496932515337</v>
      </c>
      <c r="P17" s="19">
        <f>P13/R13</f>
        <v>0.07975460122699386</v>
      </c>
      <c r="Q17" s="19">
        <f>Q13/R13</f>
        <v>0.06288343558282208</v>
      </c>
      <c r="R17" s="19">
        <f>O6*P6/R13^2</f>
        <v>0.02767440438104558</v>
      </c>
      <c r="V17" s="48" t="str">
        <f>T3</f>
        <v>- last</v>
      </c>
      <c r="W17" s="48" t="str">
        <f>U3</f>
        <v>+ last</v>
      </c>
    </row>
    <row r="18" spans="2:23" ht="12.75">
      <c r="B18" s="19"/>
      <c r="C18" s="19"/>
      <c r="D18" s="19"/>
      <c r="E18" s="19"/>
      <c r="F18" s="19"/>
      <c r="G18" s="19"/>
      <c r="I18" t="s">
        <v>74</v>
      </c>
      <c r="J18" s="19">
        <f>H4/H6</f>
        <v>0.8636363636363636</v>
      </c>
      <c r="K18" s="19">
        <f>I4/I6</f>
        <v>0.65</v>
      </c>
      <c r="N18" s="19"/>
      <c r="O18" s="19"/>
      <c r="P18" s="19"/>
      <c r="Q18" s="19"/>
      <c r="R18" s="19"/>
      <c r="U18" t="s">
        <v>74</v>
      </c>
      <c r="V18" s="19">
        <f>T4/T6</f>
        <v>0.858659217877095</v>
      </c>
      <c r="W18" s="19">
        <f>U4/U6</f>
        <v>0.5617977528089888</v>
      </c>
    </row>
    <row r="19" spans="1:23" ht="12.75">
      <c r="A19" t="s">
        <v>60</v>
      </c>
      <c r="B19" s="19">
        <f>(B15+H11/2)/(1+H11)</f>
        <v>0.6967070393198727</v>
      </c>
      <c r="C19" s="19">
        <f>(C15+H11/2)/(1+H11)</f>
        <v>0.12446837948024304</v>
      </c>
      <c r="D19" s="19">
        <f>(D15+H11/2)/(1+H11)</f>
        <v>0.13340960854023726</v>
      </c>
      <c r="E19" s="19">
        <f>(E15+H11/2)/(1+H11)</f>
        <v>0.079762234180272</v>
      </c>
      <c r="F19" s="19"/>
      <c r="G19" s="19"/>
      <c r="I19" t="s">
        <v>62</v>
      </c>
      <c r="J19" s="19">
        <f>$H$1/H6</f>
        <v>0.043652811866040614</v>
      </c>
      <c r="K19" s="19">
        <f>$H$1/I6</f>
        <v>0.1920723722105787</v>
      </c>
      <c r="M19" t="s">
        <v>60</v>
      </c>
      <c r="N19" s="19">
        <f>(N15+T11/2)/(1+T11)</f>
        <v>0.7467438728149733</v>
      </c>
      <c r="O19" s="19">
        <f>(O15+T11/2)/(1+T11)</f>
        <v>0.12369739750636818</v>
      </c>
      <c r="P19" s="19">
        <f>(P15+T11/2)/(1+T11)</f>
        <v>0.07371781264905795</v>
      </c>
      <c r="Q19" s="19">
        <f>(Q15+T11/2)/(1+T11)</f>
        <v>0.057704935947201275</v>
      </c>
      <c r="R19" s="19"/>
      <c r="U19" t="s">
        <v>62</v>
      </c>
      <c r="V19" s="19">
        <f>$H$1/T6</f>
        <v>0.0021460600246992036</v>
      </c>
      <c r="W19" s="19">
        <f>$H$1/U6</f>
        <v>0.014387443611279305</v>
      </c>
    </row>
    <row r="20" spans="2:23" ht="12.75">
      <c r="B20" s="19">
        <f>(B16+H12/2)/(1+H12)</f>
        <v>0.7414496752426668</v>
      </c>
      <c r="C20" s="19">
        <f>(C16+H12/2)/(1+H12)</f>
        <v>0.12853896116512792</v>
      </c>
      <c r="D20" s="19">
        <f>(D16+H12/2)/(1+H12)</f>
        <v>0.1471120131068715</v>
      </c>
      <c r="E20" s="19">
        <f>(E16+H12/2)/(1+H12)</f>
        <v>0.05424675339815349</v>
      </c>
      <c r="F20" s="19"/>
      <c r="G20" s="19"/>
      <c r="I20" t="s">
        <v>60</v>
      </c>
      <c r="J20" s="19">
        <f>(J18+J19/2)/(1+J19)</f>
        <v>0.8484265643726725</v>
      </c>
      <c r="K20" s="19">
        <f>(K18+K19/2)/(1+K19)</f>
        <v>0.6258312863352751</v>
      </c>
      <c r="N20" s="19">
        <f>(N16+T12/2)/(1+T12)</f>
        <v>0.782093430164232</v>
      </c>
      <c r="O20" s="19">
        <f>(O16+T12/2)/(1+T12)</f>
        <v>0.11088283286479465</v>
      </c>
      <c r="P20" s="19">
        <f>(P16+T12/2)/(1+T12)</f>
        <v>0.06331672754436209</v>
      </c>
      <c r="Q20" s="19">
        <f>(Q16+T12/2)/(1+T12)</f>
        <v>0.048782639807563255</v>
      </c>
      <c r="R20" s="19"/>
      <c r="U20" t="s">
        <v>60</v>
      </c>
      <c r="V20" s="19">
        <f>(V18+V19/2)/(1+V19)</f>
        <v>0.8578911619612168</v>
      </c>
      <c r="W20" s="19">
        <f>(W18+W19/2)/(1+W19)</f>
        <v>0.560921251734924</v>
      </c>
    </row>
    <row r="21" spans="2:23" ht="12.75">
      <c r="B21" s="19">
        <f>(B17+H13/2)/(1+H13)</f>
        <v>0.6455334629435878</v>
      </c>
      <c r="C21" s="19">
        <f>(C17+H13/2)/(1+H13)</f>
        <v>0.14425153502678525</v>
      </c>
      <c r="D21" s="19">
        <f>(D17+H13/2)/(1+H13)</f>
        <v>0.14425153502678525</v>
      </c>
      <c r="E21" s="19">
        <f>(E17+H13/2)/(1+H13)</f>
        <v>0.12808115025527553</v>
      </c>
      <c r="F21" s="19"/>
      <c r="G21" s="19"/>
      <c r="I21" t="s">
        <v>61</v>
      </c>
      <c r="J21" s="19">
        <f>$G$1*SQRT((J18*(1-J18)+J19/4)/H6)/(1+J19)</f>
        <v>0.07181391850847409</v>
      </c>
      <c r="K21" s="19">
        <f>$G$1*SQRT((K18*(1-K18)+K19/4)/I6)/(1+K19)</f>
        <v>0.19297670613757203</v>
      </c>
      <c r="N21" s="19">
        <f>(N17+T13/2)/(1+T13)</f>
        <v>0.7255625103306598</v>
      </c>
      <c r="O21" s="19">
        <f>(O17+T13/2)/(1+T13)</f>
        <v>0.1322184153591615</v>
      </c>
      <c r="P21" s="19">
        <f>(P17+T13/2)/(1+T13)</f>
        <v>0.08098896386033372</v>
      </c>
      <c r="Q21" s="19">
        <f>(Q17+T13/2)/(1+T13)</f>
        <v>0.06416735292042011</v>
      </c>
      <c r="R21" s="19"/>
      <c r="U21" t="s">
        <v>61</v>
      </c>
      <c r="V21" s="19">
        <f>$G$1*SQRT((V18*(1-V18)+V19/4)/T6)/(1+V19)</f>
        <v>0.01613956796975946</v>
      </c>
      <c r="W21" s="19">
        <f>$G$1*SQRT((W18*(1-W18)+W19/4)/U6)/(1+W19)</f>
        <v>0.0590969348747639</v>
      </c>
    </row>
    <row r="22" spans="2:23" ht="12.75">
      <c r="B22" s="19"/>
      <c r="C22" s="19"/>
      <c r="D22" s="19"/>
      <c r="E22" s="19"/>
      <c r="F22" s="19"/>
      <c r="G22" s="19"/>
      <c r="I22" t="s">
        <v>17</v>
      </c>
      <c r="J22" s="19">
        <f>J20-J21</f>
        <v>0.7766126458641984</v>
      </c>
      <c r="K22" s="19">
        <f>K20-K21</f>
        <v>0.43285458019770306</v>
      </c>
      <c r="N22" s="19"/>
      <c r="O22" s="19"/>
      <c r="P22" s="19"/>
      <c r="Q22" s="19"/>
      <c r="R22" s="19"/>
      <c r="U22" t="s">
        <v>17</v>
      </c>
      <c r="V22" s="19">
        <f>V20-V21</f>
        <v>0.8417515939914574</v>
      </c>
      <c r="W22" s="19">
        <f>W20-W21</f>
        <v>0.5018243168601602</v>
      </c>
    </row>
    <row r="23" spans="1:23" ht="12.75">
      <c r="A23" t="s">
        <v>61</v>
      </c>
      <c r="B23" s="19">
        <f>$G$1*SQRT((B15*(1-B15)+H11/4)/F11)/(1+H11)</f>
        <v>0.08491479402376274</v>
      </c>
      <c r="C23" s="19">
        <f>$G$1*SQRT((C15*(1-C15)+H11/4)/$F11)/(1+H11)</f>
        <v>0.059755658675801085</v>
      </c>
      <c r="D23" s="19">
        <f>$G$1*SQRT((D15*(1-D15)+H11/4)/$F11)/(1+H11)</f>
        <v>0.06169891372729075</v>
      </c>
      <c r="E23" s="19">
        <f>$G$1*SQRT((E15*(1-E15)+H11/4)/$F11)/(1+H11)</f>
        <v>0.04801401109307564</v>
      </c>
      <c r="F23" s="19"/>
      <c r="G23" s="19"/>
      <c r="I23" t="s">
        <v>18</v>
      </c>
      <c r="J23" s="19">
        <f>J20+J21</f>
        <v>0.9202404828811466</v>
      </c>
      <c r="K23" s="19">
        <f>K20+K21</f>
        <v>0.8188079924728471</v>
      </c>
      <c r="M23" t="s">
        <v>61</v>
      </c>
      <c r="N23" s="19">
        <f>$G$1*SQRT((N15*(1-N15)+T11/4)/R11)/(1+T11)</f>
        <v>0.018769831909081432</v>
      </c>
      <c r="O23" s="19">
        <f>$G$1*SQRT((O15*(1-O15)+T11/4)/$R11)/(1+T11)</f>
        <v>0.014197179980508068</v>
      </c>
      <c r="P23" s="19">
        <f>$G$1*SQRT((P15*(1-P15)+T11/4)/$R11)/(1+T11)</f>
        <v>0.011253851096585802</v>
      </c>
      <c r="Q23" s="19">
        <f>$G$1*SQRT((Q15*(1-Q15)+T11/4)/$R11)/(1+T11)</f>
        <v>0.010033702692583102</v>
      </c>
      <c r="R23" s="19"/>
      <c r="U23" t="s">
        <v>18</v>
      </c>
      <c r="V23" s="19">
        <f>V20+V21</f>
        <v>0.8740307299309763</v>
      </c>
      <c r="W23" s="19">
        <f>W20+W21</f>
        <v>0.6200181866096879</v>
      </c>
    </row>
    <row r="24" spans="2:23" ht="12.75">
      <c r="B24" s="19">
        <f>$G$1*SQRT((B16*(1-B16)+H12/4)/F12)/(1+H12)</f>
        <v>0.11557629878093889</v>
      </c>
      <c r="C24" s="19">
        <f>$G$1*SQRT((C16*(1-C16)+H12/4)/$F12)/(1+H12)</f>
        <v>0.08506314458411737</v>
      </c>
      <c r="D24" s="19">
        <f>$G$1*SQRT((D16*(1-D16)+H12/4)/$F12)/(1+H12)</f>
        <v>0.0909359499994416</v>
      </c>
      <c r="E24" s="19">
        <f>$G$1*SQRT((E16*(1-E16)+H12/4)/$F12)/(1+H12)</f>
        <v>0.05070748677863266</v>
      </c>
      <c r="F24" s="19"/>
      <c r="G24" s="19"/>
      <c r="I24" t="s">
        <v>70</v>
      </c>
      <c r="J24" s="19">
        <f>-SQRT((J22-J18)^2+(K23-K18)^2)</f>
        <v>-0.18991910324557204</v>
      </c>
      <c r="K24" s="19">
        <f>SQRT((K22-K18)^2+(J23-J18)^2)</f>
        <v>0.22440178175895437</v>
      </c>
      <c r="N24" s="19">
        <f>$G$1*SQRT((N16*(1-N16)+T12/4)/R12)/(1+T12)</f>
        <v>0.029375928016038097</v>
      </c>
      <c r="O24" s="19">
        <f>$G$1*SQRT((O16*(1-O16)+T12/4)/$R12)/(1+T12)</f>
        <v>0.02228171454386417</v>
      </c>
      <c r="P24" s="19">
        <f>$G$1*SQRT((P16*(1-P16)+T12/4)/$R12)/(1+T12)</f>
        <v>0.01720716078576346</v>
      </c>
      <c r="Q24" s="19">
        <f>$G$1*SQRT((Q16*(1-Q16)+T12/4)/$R12)/(1+T12)</f>
        <v>0.015174060316566533</v>
      </c>
      <c r="R24" s="19"/>
      <c r="U24" t="s">
        <v>70</v>
      </c>
      <c r="V24" s="19">
        <f>-SQRT((V22-V18)^2+(W23-W18)^2)</f>
        <v>-0.06062579201461839</v>
      </c>
      <c r="W24" s="19">
        <f>SQRT((W22-W18)^2+(V23-V18)^2)</f>
        <v>0.061912005316665936</v>
      </c>
    </row>
    <row r="25" spans="2:23" ht="12.75">
      <c r="B25" s="19">
        <f>$G$1*SQRT((B17*(1-B17)+H13/4)/F13)/(1+H13)</f>
        <v>0.11885550436069607</v>
      </c>
      <c r="C25" s="19">
        <f>$G$1*SQRT((C17*(1-C17)+H13/4)/$F13)/(1+H13)</f>
        <v>0.08454181345956871</v>
      </c>
      <c r="D25" s="19">
        <f>$G$1*SQRT((D17*(1-D17)+H13/4)/$F13)/(1+H13)</f>
        <v>0.08454181345956871</v>
      </c>
      <c r="E25" s="19">
        <f>$G$1*SQRT((E17*(1-E17)+H13/4)/$F13)/(1+H13)</f>
        <v>0.07979968986707167</v>
      </c>
      <c r="F25" s="19"/>
      <c r="G25" s="19"/>
      <c r="J25" s="19"/>
      <c r="K25" s="19"/>
      <c r="N25" s="19">
        <f>$G$1*SQRT((N17*(1-N17)+T13/4)/R13)/(1+T13)</f>
        <v>0.02417494660920038</v>
      </c>
      <c r="O25" s="19">
        <f>$G$1*SQRT((O17*(1-O17)+T13/4)/$R13)/(1+T13)</f>
        <v>0.018325913848521422</v>
      </c>
      <c r="P25" s="19">
        <f>$G$1*SQRT((P17*(1-P17)+T13/4)/$R13)/(1+T13)</f>
        <v>0.014734281512037222</v>
      </c>
      <c r="Q25" s="19">
        <f>$G$1*SQRT((Q17*(1-Q17)+T13/4)/$R13)/(1+T13)</f>
        <v>0.013218832239160467</v>
      </c>
      <c r="R25" s="19"/>
      <c r="V25" s="19"/>
      <c r="W25" s="19"/>
    </row>
    <row r="26" spans="2:23" ht="12.75">
      <c r="B26" s="19"/>
      <c r="C26" s="19"/>
      <c r="D26" s="19"/>
      <c r="E26" s="19"/>
      <c r="F26" s="19"/>
      <c r="G26" s="19"/>
      <c r="I26" t="s">
        <v>71</v>
      </c>
      <c r="J26" s="19">
        <f>K18-J18</f>
        <v>-0.21363636363636362</v>
      </c>
      <c r="K26" s="19"/>
      <c r="N26" s="19"/>
      <c r="O26" s="19"/>
      <c r="P26" s="19"/>
      <c r="Q26" s="19"/>
      <c r="R26" s="19"/>
      <c r="U26" t="s">
        <v>71</v>
      </c>
      <c r="V26" s="19">
        <f>W18-V18</f>
        <v>-0.2968614650681062</v>
      </c>
      <c r="W26" s="19"/>
    </row>
    <row r="27" spans="1:23" ht="12.75">
      <c r="A27" t="s">
        <v>17</v>
      </c>
      <c r="B27" s="19">
        <f aca="true" t="shared" si="0" ref="B27:E29">B19-B23</f>
        <v>0.6117922452961099</v>
      </c>
      <c r="C27" s="19">
        <f t="shared" si="0"/>
        <v>0.06471272080444196</v>
      </c>
      <c r="D27" s="19">
        <f t="shared" si="0"/>
        <v>0.07171069481294651</v>
      </c>
      <c r="E27" s="19">
        <f t="shared" si="0"/>
        <v>0.03174822308719635</v>
      </c>
      <c r="F27" s="19"/>
      <c r="G27" s="19"/>
      <c r="I27" t="s">
        <v>72</v>
      </c>
      <c r="J27" s="19">
        <f>J26-K24</f>
        <v>-0.438038145395318</v>
      </c>
      <c r="K27" s="19"/>
      <c r="M27" t="s">
        <v>17</v>
      </c>
      <c r="N27" s="19">
        <f aca="true" t="shared" si="1" ref="N27:Q29">N19-N23</f>
        <v>0.7279740409058919</v>
      </c>
      <c r="O27" s="19">
        <f t="shared" si="1"/>
        <v>0.10950021752586012</v>
      </c>
      <c r="P27" s="19">
        <f t="shared" si="1"/>
        <v>0.06246396155247215</v>
      </c>
      <c r="Q27" s="19">
        <f t="shared" si="1"/>
        <v>0.047671233254618174</v>
      </c>
      <c r="R27" s="19"/>
      <c r="U27" t="s">
        <v>72</v>
      </c>
      <c r="V27" s="19">
        <f>V26-W24</f>
        <v>-0.35877347038477214</v>
      </c>
      <c r="W27" s="19"/>
    </row>
    <row r="28" spans="2:22" ht="12.75">
      <c r="B28" s="19">
        <f t="shared" si="0"/>
        <v>0.6258733764617279</v>
      </c>
      <c r="C28" s="19">
        <f t="shared" si="0"/>
        <v>0.043475816581010546</v>
      </c>
      <c r="D28" s="19">
        <f t="shared" si="0"/>
        <v>0.0561760631074299</v>
      </c>
      <c r="E28" s="19">
        <f t="shared" si="0"/>
        <v>0.0035392666195208297</v>
      </c>
      <c r="F28" s="19"/>
      <c r="G28" s="19"/>
      <c r="I28" t="s">
        <v>73</v>
      </c>
      <c r="J28" s="19">
        <f>J26-J24</f>
        <v>-0.023717260390791584</v>
      </c>
      <c r="N28" s="19">
        <f t="shared" si="1"/>
        <v>0.752717502148194</v>
      </c>
      <c r="O28" s="19">
        <f t="shared" si="1"/>
        <v>0.08860111832093048</v>
      </c>
      <c r="P28" s="19">
        <f t="shared" si="1"/>
        <v>0.046109566758598626</v>
      </c>
      <c r="Q28" s="19">
        <f t="shared" si="1"/>
        <v>0.03360857949099672</v>
      </c>
      <c r="R28" s="19"/>
      <c r="U28" t="s">
        <v>73</v>
      </c>
      <c r="V28" s="19">
        <f>V26-V24</f>
        <v>-0.2362356730534878</v>
      </c>
    </row>
    <row r="29" spans="2:18" ht="12.75">
      <c r="B29" s="19">
        <f t="shared" si="0"/>
        <v>0.5266779585828918</v>
      </c>
      <c r="C29" s="19">
        <f t="shared" si="0"/>
        <v>0.059709721567216545</v>
      </c>
      <c r="D29" s="19">
        <f t="shared" si="0"/>
        <v>0.059709721567216545</v>
      </c>
      <c r="E29" s="19">
        <f t="shared" si="0"/>
        <v>0.048281460388203856</v>
      </c>
      <c r="F29" s="19"/>
      <c r="G29" s="19"/>
      <c r="N29" s="19">
        <f t="shared" si="1"/>
        <v>0.7013875637214594</v>
      </c>
      <c r="O29" s="19">
        <f t="shared" si="1"/>
        <v>0.11389250151064009</v>
      </c>
      <c r="P29" s="19">
        <f t="shared" si="1"/>
        <v>0.0662546823482965</v>
      </c>
      <c r="Q29" s="19">
        <f t="shared" si="1"/>
        <v>0.05094852068125964</v>
      </c>
      <c r="R29" s="19"/>
    </row>
    <row r="30" spans="2:23" ht="12.75">
      <c r="B30" s="19"/>
      <c r="C30" s="19"/>
      <c r="D30" s="19"/>
      <c r="E30" s="19"/>
      <c r="F30" s="19"/>
      <c r="G30" s="19"/>
      <c r="J30" s="48" t="str">
        <f>G4</f>
        <v>- first</v>
      </c>
      <c r="K30" s="47" t="str">
        <f>G5</f>
        <v>+ first</v>
      </c>
      <c r="N30" s="19"/>
      <c r="O30" s="19"/>
      <c r="P30" s="19"/>
      <c r="Q30" s="19"/>
      <c r="R30" s="19"/>
      <c r="V30" s="48" t="str">
        <f>S4</f>
        <v>- first</v>
      </c>
      <c r="W30" s="47" t="str">
        <f>S5</f>
        <v>+ first</v>
      </c>
    </row>
    <row r="31" spans="1:23" ht="12.75">
      <c r="A31" t="s">
        <v>18</v>
      </c>
      <c r="B31" s="19">
        <f aca="true" t="shared" si="2" ref="B31:E33">B19+B23</f>
        <v>0.7816218333436354</v>
      </c>
      <c r="C31" s="19">
        <f t="shared" si="2"/>
        <v>0.18422403815604413</v>
      </c>
      <c r="D31" s="19">
        <f t="shared" si="2"/>
        <v>0.195108522267528</v>
      </c>
      <c r="E31" s="19">
        <f t="shared" si="2"/>
        <v>0.12777624527334763</v>
      </c>
      <c r="F31" s="19"/>
      <c r="G31" s="19"/>
      <c r="I31" t="s">
        <v>69</v>
      </c>
      <c r="J31" s="19">
        <f>H4/J4</f>
        <v>0.8539325842696629</v>
      </c>
      <c r="K31" s="19">
        <f>H5/J5</f>
        <v>0.631578947368421</v>
      </c>
      <c r="M31" t="s">
        <v>18</v>
      </c>
      <c r="N31" s="19">
        <f aca="true" t="shared" si="3" ref="N31:Q33">N19+N23</f>
        <v>0.7655137047240548</v>
      </c>
      <c r="O31" s="19">
        <f t="shared" si="3"/>
        <v>0.13789457748687625</v>
      </c>
      <c r="P31" s="19">
        <f t="shared" si="3"/>
        <v>0.08497166374564376</v>
      </c>
      <c r="Q31" s="19">
        <f t="shared" si="3"/>
        <v>0.06773863863978438</v>
      </c>
      <c r="R31" s="19"/>
      <c r="U31" t="s">
        <v>69</v>
      </c>
      <c r="V31" s="19">
        <f>T4/V4</f>
        <v>0.9110847658565501</v>
      </c>
      <c r="W31" s="19">
        <f>T5/V5</f>
        <v>0.6837837837837838</v>
      </c>
    </row>
    <row r="32" spans="2:23" ht="12.75">
      <c r="B32" s="19">
        <f t="shared" si="2"/>
        <v>0.8570259740236057</v>
      </c>
      <c r="C32" s="19">
        <f t="shared" si="2"/>
        <v>0.2136021057492453</v>
      </c>
      <c r="D32" s="19">
        <f t="shared" si="2"/>
        <v>0.2380479631063131</v>
      </c>
      <c r="E32" s="19">
        <f t="shared" si="2"/>
        <v>0.10495424017678615</v>
      </c>
      <c r="F32" s="19"/>
      <c r="G32" s="19"/>
      <c r="I32" t="s">
        <v>62</v>
      </c>
      <c r="J32" s="19">
        <f>$H$1/J4</f>
        <v>0.043162330833837914</v>
      </c>
      <c r="K32" s="19">
        <f>$H$1/J5</f>
        <v>0.2021814444321881</v>
      </c>
      <c r="N32" s="19">
        <f t="shared" si="3"/>
        <v>0.8114693581802701</v>
      </c>
      <c r="O32" s="19">
        <f t="shared" si="3"/>
        <v>0.13316454740865882</v>
      </c>
      <c r="P32" s="19">
        <f t="shared" si="3"/>
        <v>0.08052388833012555</v>
      </c>
      <c r="Q32" s="19">
        <f t="shared" si="3"/>
        <v>0.0639567001241298</v>
      </c>
      <c r="R32" s="19"/>
      <c r="U32" t="s">
        <v>62</v>
      </c>
      <c r="V32" s="19">
        <f>$H$1/V4</f>
        <v>0.0022770879930121956</v>
      </c>
      <c r="W32" s="19">
        <f>$H$1/V5</f>
        <v>0.010382290389761012</v>
      </c>
    </row>
    <row r="33" spans="2:23" ht="12.75">
      <c r="B33" s="19">
        <f t="shared" si="2"/>
        <v>0.7643889673042839</v>
      </c>
      <c r="C33" s="19">
        <f t="shared" si="2"/>
        <v>0.22879334848635396</v>
      </c>
      <c r="D33" s="19">
        <f t="shared" si="2"/>
        <v>0.22879334848635396</v>
      </c>
      <c r="E33" s="19">
        <f t="shared" si="2"/>
        <v>0.2078808401223472</v>
      </c>
      <c r="F33" s="19"/>
      <c r="G33" s="19"/>
      <c r="I33" t="s">
        <v>60</v>
      </c>
      <c r="J33" s="19">
        <f>(J31+J32/2)/(1+J32)</f>
        <v>0.8392881182612794</v>
      </c>
      <c r="K33" s="19">
        <f>(K31+K32/2)/(1+K32)</f>
        <v>0.6094501566113991</v>
      </c>
      <c r="N33" s="19">
        <f t="shared" si="3"/>
        <v>0.7497374569398602</v>
      </c>
      <c r="O33" s="19">
        <f t="shared" si="3"/>
        <v>0.15054432920768293</v>
      </c>
      <c r="P33" s="19">
        <f t="shared" si="3"/>
        <v>0.09572324537237094</v>
      </c>
      <c r="Q33" s="19">
        <f t="shared" si="3"/>
        <v>0.07738618515958058</v>
      </c>
      <c r="R33" s="19"/>
      <c r="U33" t="s">
        <v>60</v>
      </c>
      <c r="V33" s="19">
        <f>(V31+V32/2)/(1+V32)</f>
        <v>0.9101508163572987</v>
      </c>
      <c r="W33" s="19">
        <f>(W31+W32/2)/(1+W32)</f>
        <v>0.6818952940207296</v>
      </c>
    </row>
    <row r="34" spans="2:23" ht="12.75">
      <c r="B34" s="19"/>
      <c r="C34" s="19"/>
      <c r="D34" s="19"/>
      <c r="E34" s="19"/>
      <c r="F34" s="19"/>
      <c r="G34" s="19"/>
      <c r="I34" t="s">
        <v>61</v>
      </c>
      <c r="J34" s="19">
        <f>$G$1*SQRT((J31*(1-J31)+J32/4)/J4)/(1+J32)</f>
        <v>0.07331721235497139</v>
      </c>
      <c r="K34" s="19">
        <f>$G$1*SQRT((K31*(1-K31)+K32/4)/J5)/(1+K32)</f>
        <v>0.19905452224042705</v>
      </c>
      <c r="N34" s="19"/>
      <c r="O34" s="19"/>
      <c r="P34" s="19"/>
      <c r="Q34" s="19"/>
      <c r="R34" s="19"/>
      <c r="U34" t="s">
        <v>61</v>
      </c>
      <c r="V34" s="19">
        <f>$G$1*SQRT((V31*(1-V31)+V32/4)/V4)/(1+V32)</f>
        <v>0.013598474594956396</v>
      </c>
      <c r="W34" s="19">
        <f>$G$1*SQRT((W31*(1-W31)+W32/4)/V5)/(1+W32)</f>
        <v>0.047174083088210673</v>
      </c>
    </row>
    <row r="35" spans="1:23" ht="12.75">
      <c r="A35" t="s">
        <v>30</v>
      </c>
      <c r="B35" s="19">
        <f aca="true" t="shared" si="4" ref="B35:E37">B15-B27</f>
        <v>0.09191145840759385</v>
      </c>
      <c r="C35" s="19">
        <f t="shared" si="4"/>
        <v>0.046398390306669146</v>
      </c>
      <c r="D35" s="19">
        <f t="shared" si="4"/>
        <v>0.048659675557423857</v>
      </c>
      <c r="E35" s="19">
        <f t="shared" si="4"/>
        <v>0.03306659172761846</v>
      </c>
      <c r="F35" s="19"/>
      <c r="G35" s="19"/>
      <c r="I35" t="s">
        <v>17</v>
      </c>
      <c r="J35" s="19">
        <f>J33-J34</f>
        <v>0.765970905906308</v>
      </c>
      <c r="K35" s="19">
        <f>K33-K34</f>
        <v>0.41039563437097204</v>
      </c>
      <c r="M35" t="s">
        <v>30</v>
      </c>
      <c r="N35" s="19">
        <f aca="true" t="shared" si="5" ref="N35:Q37">N15-N27</f>
        <v>0.01923062608487136</v>
      </c>
      <c r="O35" s="19">
        <f t="shared" si="5"/>
        <v>0.013494434880557002</v>
      </c>
      <c r="P35" s="19">
        <f t="shared" si="5"/>
        <v>0.01045776912326922</v>
      </c>
      <c r="Q35" s="19">
        <f t="shared" si="5"/>
        <v>0.009207716672460092</v>
      </c>
      <c r="R35" s="19"/>
      <c r="U35" t="s">
        <v>17</v>
      </c>
      <c r="V35" s="19">
        <f>V33-V34</f>
        <v>0.8965523417623422</v>
      </c>
      <c r="W35" s="19">
        <f>W33-W34</f>
        <v>0.6347212109325189</v>
      </c>
    </row>
    <row r="36" spans="2:23" ht="12.75">
      <c r="B36" s="19">
        <f t="shared" si="4"/>
        <v>0.1341266235382721</v>
      </c>
      <c r="C36" s="19">
        <f t="shared" si="4"/>
        <v>0.05652418341898946</v>
      </c>
      <c r="D36" s="19">
        <f t="shared" si="4"/>
        <v>0.0638239368925701</v>
      </c>
      <c r="E36" s="19">
        <f t="shared" si="4"/>
        <v>0.01646073338047917</v>
      </c>
      <c r="F36" s="19"/>
      <c r="G36" s="19"/>
      <c r="I36" t="s">
        <v>18</v>
      </c>
      <c r="J36" s="19">
        <f>J33+J34</f>
        <v>0.9126053306162507</v>
      </c>
      <c r="K36" s="19">
        <f>K33+K34</f>
        <v>0.8085046788518262</v>
      </c>
      <c r="N36" s="19">
        <f t="shared" si="5"/>
        <v>0.030815034372390304</v>
      </c>
      <c r="O36" s="19">
        <f t="shared" si="5"/>
        <v>0.02029662404294734</v>
      </c>
      <c r="P36" s="19">
        <f t="shared" si="5"/>
        <v>0.014979410665040153</v>
      </c>
      <c r="Q36" s="19">
        <f t="shared" si="5"/>
        <v>0.012872164200902349</v>
      </c>
      <c r="R36" s="19"/>
      <c r="U36" t="s">
        <v>18</v>
      </c>
      <c r="V36" s="19">
        <f>V33+V34</f>
        <v>0.9237492909522551</v>
      </c>
      <c r="W36" s="19">
        <f>W33+W34</f>
        <v>0.7290693771089403</v>
      </c>
    </row>
    <row r="37" spans="2:23" ht="12.75">
      <c r="B37" s="19">
        <f t="shared" si="4"/>
        <v>0.12849445521021163</v>
      </c>
      <c r="C37" s="19">
        <f t="shared" si="4"/>
        <v>0.060979933605197253</v>
      </c>
      <c r="D37" s="19">
        <f t="shared" si="4"/>
        <v>0.060979933605197253</v>
      </c>
      <c r="E37" s="19">
        <f t="shared" si="4"/>
        <v>0.05516681547386511</v>
      </c>
      <c r="F37" s="19"/>
      <c r="G37" s="19"/>
      <c r="I37" t="s">
        <v>70</v>
      </c>
      <c r="J37" s="19">
        <f>-SQRT((J35-J31)^2+(K36-K31)^2)</f>
        <v>-0.1975853519910732</v>
      </c>
      <c r="K37" s="19">
        <f>SQRT((K35-K31)^2+(J36-J31)^2)</f>
        <v>0.22883301578307821</v>
      </c>
      <c r="N37" s="19">
        <f t="shared" si="5"/>
        <v>0.02483943014357126</v>
      </c>
      <c r="O37" s="19">
        <f t="shared" si="5"/>
        <v>0.017242467814513274</v>
      </c>
      <c r="P37" s="19">
        <f t="shared" si="5"/>
        <v>0.013499918878697365</v>
      </c>
      <c r="Q37" s="19">
        <f t="shared" si="5"/>
        <v>0.01193491490156244</v>
      </c>
      <c r="R37" s="19"/>
      <c r="U37" t="s">
        <v>70</v>
      </c>
      <c r="V37" s="19">
        <f>-SQRT((V35-V31)^2+(W36-W31)^2)</f>
        <v>-0.04756023878057562</v>
      </c>
      <c r="W37" s="19">
        <f>SQRT((W35-W31)^2+(V36-V31)^2)</f>
        <v>0.0506707632731679</v>
      </c>
    </row>
    <row r="38" spans="2:23" ht="12.75">
      <c r="B38" s="19"/>
      <c r="C38" s="19"/>
      <c r="D38" s="19"/>
      <c r="E38" s="19"/>
      <c r="F38" s="19"/>
      <c r="G38" s="19"/>
      <c r="J38" s="19"/>
      <c r="K38" s="19"/>
      <c r="N38" s="19"/>
      <c r="O38" s="19"/>
      <c r="P38" s="19"/>
      <c r="Q38" s="19"/>
      <c r="R38" s="19"/>
      <c r="V38" s="19"/>
      <c r="W38" s="19"/>
    </row>
    <row r="39" spans="1:23" ht="12.75">
      <c r="A39" t="s">
        <v>29</v>
      </c>
      <c r="B39" s="19">
        <f aca="true" t="shared" si="6" ref="B39:E41">B31-B15</f>
        <v>0.07791812963993172</v>
      </c>
      <c r="C39" s="19">
        <f t="shared" si="6"/>
        <v>0.07311292704493302</v>
      </c>
      <c r="D39" s="19">
        <f t="shared" si="6"/>
        <v>0.07473815189715764</v>
      </c>
      <c r="E39" s="19">
        <f t="shared" si="6"/>
        <v>0.06296143045853282</v>
      </c>
      <c r="F39" s="19"/>
      <c r="G39" s="19"/>
      <c r="I39" t="s">
        <v>71</v>
      </c>
      <c r="J39" s="19">
        <f>K31-J31</f>
        <v>-0.22235363690124188</v>
      </c>
      <c r="K39" s="19"/>
      <c r="M39" t="s">
        <v>29</v>
      </c>
      <c r="N39" s="19">
        <f aca="true" t="shared" si="7" ref="N39:Q41">N31-N15</f>
        <v>0.01830903773329151</v>
      </c>
      <c r="O39" s="19">
        <f t="shared" si="7"/>
        <v>0.014899925080459134</v>
      </c>
      <c r="P39" s="19">
        <f t="shared" si="7"/>
        <v>0.012049933069902388</v>
      </c>
      <c r="Q39" s="19">
        <f t="shared" si="7"/>
        <v>0.010859688712706116</v>
      </c>
      <c r="R39" s="19"/>
      <c r="U39" t="s">
        <v>71</v>
      </c>
      <c r="V39" s="19">
        <f>W31-V31</f>
        <v>-0.22730098207276628</v>
      </c>
      <c r="W39" s="19"/>
    </row>
    <row r="40" spans="2:23" ht="12.75">
      <c r="B40" s="19">
        <f t="shared" si="6"/>
        <v>0.09702597402360569</v>
      </c>
      <c r="C40" s="19">
        <f t="shared" si="6"/>
        <v>0.11360210574924529</v>
      </c>
      <c r="D40" s="19">
        <f t="shared" si="6"/>
        <v>0.1180479631063131</v>
      </c>
      <c r="E40" s="19">
        <f t="shared" si="6"/>
        <v>0.08495424017678614</v>
      </c>
      <c r="F40" s="19"/>
      <c r="G40" s="19"/>
      <c r="I40" t="s">
        <v>72</v>
      </c>
      <c r="J40" s="19">
        <f>J39-K37</f>
        <v>-0.4511866526843201</v>
      </c>
      <c r="K40" s="19"/>
      <c r="N40" s="19">
        <f t="shared" si="7"/>
        <v>0.027936821659685807</v>
      </c>
      <c r="O40" s="19">
        <f t="shared" si="7"/>
        <v>0.024266805044781</v>
      </c>
      <c r="P40" s="19">
        <f t="shared" si="7"/>
        <v>0.019434910906486774</v>
      </c>
      <c r="Q40" s="19">
        <f t="shared" si="7"/>
        <v>0.017475956432230724</v>
      </c>
      <c r="R40" s="19"/>
      <c r="U40" t="s">
        <v>72</v>
      </c>
      <c r="V40" s="19">
        <f>V39-W37</f>
        <v>-0.27797174534593416</v>
      </c>
      <c r="W40" s="19"/>
    </row>
    <row r="41" spans="2:23" ht="12.75">
      <c r="B41" s="19">
        <f t="shared" si="6"/>
        <v>0.10921655351118043</v>
      </c>
      <c r="C41" s="19">
        <f t="shared" si="6"/>
        <v>0.10810369331394017</v>
      </c>
      <c r="D41" s="19">
        <f t="shared" si="6"/>
        <v>0.10810369331394017</v>
      </c>
      <c r="E41" s="19">
        <f t="shared" si="6"/>
        <v>0.10443256426027824</v>
      </c>
      <c r="F41" s="19"/>
      <c r="G41" s="19"/>
      <c r="I41" t="s">
        <v>73</v>
      </c>
      <c r="J41" s="19">
        <f>J39-J37</f>
        <v>-0.024768284910168692</v>
      </c>
      <c r="K41" s="19"/>
      <c r="N41" s="19">
        <f t="shared" si="7"/>
        <v>0.023510463074829513</v>
      </c>
      <c r="O41" s="19">
        <f t="shared" si="7"/>
        <v>0.019409359882529564</v>
      </c>
      <c r="P41" s="19">
        <f t="shared" si="7"/>
        <v>0.015968644145377076</v>
      </c>
      <c r="Q41" s="19">
        <f t="shared" si="7"/>
        <v>0.014502749576758497</v>
      </c>
      <c r="R41" s="19"/>
      <c r="U41" t="s">
        <v>73</v>
      </c>
      <c r="V41" s="19">
        <f>V39-V37</f>
        <v>-0.17974074329219064</v>
      </c>
      <c r="W41" s="19"/>
    </row>
    <row r="42" spans="14:18" ht="12.75">
      <c r="N42" s="19"/>
      <c r="O42" s="19"/>
      <c r="P42" s="19"/>
      <c r="Q42" s="19"/>
      <c r="R42" s="19"/>
    </row>
    <row r="44" spans="2:14" ht="12.75">
      <c r="B44" t="s">
        <v>83</v>
      </c>
      <c r="N44" t="s">
        <v>83</v>
      </c>
    </row>
    <row r="45" spans="1:16" ht="12.75">
      <c r="A45" t="s">
        <v>49</v>
      </c>
      <c r="B45" s="19">
        <f>D15/C15</f>
        <v>1.0833333333333333</v>
      </c>
      <c r="C45" s="19">
        <f>EXP(B49-D49)</f>
        <v>0.5253068925332042</v>
      </c>
      <c r="D45" s="19">
        <f>EXP(B49-C49)</f>
        <v>2.236585591214669</v>
      </c>
      <c r="M45" t="s">
        <v>49</v>
      </c>
      <c r="N45" s="19">
        <f>P15/O15</f>
        <v>0.592885375494071</v>
      </c>
      <c r="O45" s="19">
        <f>EXP(N49-P49)</f>
        <v>0.4890913689014274</v>
      </c>
      <c r="P45" s="19">
        <f>EXP(N49-O49)</f>
        <v>0.7184373012821592</v>
      </c>
    </row>
    <row r="46" spans="1:16" ht="12.75">
      <c r="A46" t="s">
        <v>85</v>
      </c>
      <c r="B46" s="19">
        <f>D16/C16</f>
        <v>1.2</v>
      </c>
      <c r="C46" s="19">
        <f>EXP(B50-D50)</f>
        <v>0.41023373431451754</v>
      </c>
      <c r="D46" s="19">
        <f>EXP(B50-C50)</f>
        <v>3.528101801793409</v>
      </c>
      <c r="M46" t="s">
        <v>85</v>
      </c>
      <c r="N46" s="19">
        <f>P16/O16</f>
        <v>0.5609756097560976</v>
      </c>
      <c r="O46" s="19">
        <f>EXP(N50-P50)</f>
        <v>0.3969593453196898</v>
      </c>
      <c r="P46" s="19">
        <f>EXP(N50-O50)</f>
        <v>0.7918840887060912</v>
      </c>
    </row>
    <row r="47" spans="2:16" ht="12.75">
      <c r="B47" s="19">
        <f>D17/C17</f>
        <v>1</v>
      </c>
      <c r="C47" s="19">
        <f>EXP(B51-D51)</f>
        <v>0.3863716367142737</v>
      </c>
      <c r="D47" s="19">
        <f>EXP(B51-C51)</f>
        <v>2.5881817011829766</v>
      </c>
      <c r="N47" s="19">
        <f>P17/O17</f>
        <v>0.6081871345029239</v>
      </c>
      <c r="O47" s="19">
        <f>EXP(N51-P51)</f>
        <v>0.4826559810601768</v>
      </c>
      <c r="P47" s="19">
        <f>EXP(N51-O51)</f>
        <v>0.7659328312966209</v>
      </c>
    </row>
    <row r="49" spans="1:16" ht="12.75">
      <c r="A49" t="s">
        <v>84</v>
      </c>
      <c r="B49" s="19">
        <f>LN(B45)</f>
        <v>0.08004270767353636</v>
      </c>
      <c r="C49" s="19">
        <f>-SQRT((LN(D31)-LN(D15))^2+(LN(C27)-LN(C15))^2)</f>
        <v>-0.7249077056457633</v>
      </c>
      <c r="D49" s="19">
        <f>SQRT((LN(C31)-LN(C15))^2+(LN(D27)-LN(D15))^2)</f>
        <v>0.7238153376449568</v>
      </c>
      <c r="M49" t="s">
        <v>84</v>
      </c>
      <c r="N49" s="19">
        <f>LN(N45)</f>
        <v>-0.5227541946312646</v>
      </c>
      <c r="O49" s="19">
        <f>-SQRT((LN(P31)-LN(P15))^2+(LN(O27)-LN(O15))^2)</f>
        <v>-0.19207735400933448</v>
      </c>
      <c r="P49" s="19">
        <f>SQRT((LN(O31)-LN(O15))^2+(LN(P27)-LN(P15))^2)</f>
        <v>0.19245176386082488</v>
      </c>
    </row>
    <row r="50" spans="2:16" ht="12.75">
      <c r="B50" s="19">
        <f>LN(B46)</f>
        <v>0.1823215567939546</v>
      </c>
      <c r="C50" s="19">
        <f>-SQRT((LN(D32)-LN(D16))^2+(LN(C28)-LN(C16))^2)</f>
        <v>-1.078438436317901</v>
      </c>
      <c r="D50" s="19">
        <f>SQRT((LN(C32)-LN(C16))^2+(LN(D28)-LN(D16))^2)</f>
        <v>1.0733497548197701</v>
      </c>
      <c r="N50" s="19">
        <f>LN(N46)</f>
        <v>-0.578077850775158</v>
      </c>
      <c r="O50" s="19">
        <f>-SQRT((LN(P32)-LN(P16))^2+(LN(O28)-LN(O16))^2)</f>
        <v>-0.3447376002530294</v>
      </c>
      <c r="P50" s="19">
        <f>SQRT((LN(O32)-LN(O16))^2+(LN(P28)-LN(P16))^2)</f>
        <v>0.3458435574998094</v>
      </c>
    </row>
    <row r="51" spans="2:16" ht="12.75">
      <c r="B51" s="19">
        <f>LN(B47)</f>
        <v>0</v>
      </c>
      <c r="C51" s="19">
        <f>-SQRT((LN(D33)-LN(D17))^2+(LN(C29)-LN(C17))^2)</f>
        <v>-0.9509555832865428</v>
      </c>
      <c r="D51" s="19">
        <f>SQRT((LN(C33)-LN(C17))^2+(LN(D29)-LN(D17))^2)</f>
        <v>0.9509555832865428</v>
      </c>
      <c r="N51" s="19">
        <f>LN(N47)</f>
        <v>-0.49727265736128723</v>
      </c>
      <c r="O51" s="19">
        <f>-SQRT((LN(P33)-LN(P17))^2+(LN(O29)-LN(O17))^2)</f>
        <v>-0.2306118566726364</v>
      </c>
      <c r="P51" s="19">
        <f>SQRT((LN(O33)-LN(O17))^2+(LN(P29)-LN(P17))^2)</f>
        <v>0.23117847627584115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2021-12-15T18:45:06Z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