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215" activeTab="0"/>
  </bookViews>
  <sheets>
    <sheet name="Wilson" sheetId="1" r:id="rId1"/>
    <sheet name="Different samples NW" sheetId="2" r:id="rId2"/>
    <sheet name="Same sample z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<sst xmlns="http://schemas.openxmlformats.org/spreadsheetml/2006/main" count="133" uniqueCount="94">
  <si>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1920s</t>
  </si>
  <si>
    <t>change %</t>
  </si>
  <si>
    <t>1960s</t>
  </si>
  <si>
    <t>2000s</t>
  </si>
  <si>
    <t>‘cogitate’</t>
  </si>
  <si>
    <t>6.7 (51)</t>
  </si>
  <si>
    <t>6.7 (108)</t>
  </si>
  <si>
    <t>18.6 (119)</t>
  </si>
  <si>
    <t>‘intend’</t>
  </si>
  <si>
    <t>2.0 (15)</t>
  </si>
  <si>
    <t>4.0 (65)</t>
  </si>
  <si>
    <t>8.9 (57)</t>
  </si>
  <si>
    <t>-</t>
  </si>
  <si>
    <t>0.4 (6)</t>
  </si>
  <si>
    <t>4.1 (26)</t>
  </si>
  <si>
    <t>0.1 (2)</t>
  </si>
  <si>
    <t>1.3 (8)</t>
  </si>
  <si>
    <t>Total</t>
  </si>
  <si>
    <t>8.7 (66)</t>
  </si>
  <si>
    <t>11.2 (181)</t>
  </si>
  <si>
    <t>32.8 (210)</t>
  </si>
  <si>
    <t>Y-</t>
  </si>
  <si>
    <t>Y+</t>
  </si>
  <si>
    <t>Input data</t>
  </si>
  <si>
    <t>z</t>
  </si>
  <si>
    <t>p'</t>
  </si>
  <si>
    <t>z.s'</t>
  </si>
  <si>
    <t>Wilson score intervals, an example</t>
  </si>
  <si>
    <t>p</t>
  </si>
  <si>
    <t>p' - z.s'</t>
  </si>
  <si>
    <t>p' + z.s'</t>
  </si>
  <si>
    <r>
      <t xml:space="preserve">Analysis by SW, </t>
    </r>
    <r>
      <rPr>
        <u val="single"/>
        <sz val="10"/>
        <rFont val="Arial"/>
        <family val="2"/>
      </rPr>
      <t>http://coglingstats.wordpress.com</t>
    </r>
  </si>
  <si>
    <t>Credits</t>
  </si>
  <si>
    <t>Transformed data</t>
  </si>
  <si>
    <t>Frequency</t>
  </si>
  <si>
    <t>Probability</t>
  </si>
  <si>
    <t>Wilson centre</t>
  </si>
  <si>
    <t>Wilson error</t>
  </si>
  <si>
    <t>Lower bound (absolute)</t>
  </si>
  <si>
    <t>Upper bound (absolute)</t>
  </si>
  <si>
    <t>Lower bound (relative to p)</t>
  </si>
  <si>
    <t>Upper bound (relative to p)</t>
  </si>
  <si>
    <t>Graph</t>
  </si>
  <si>
    <t>z²</t>
  </si>
  <si>
    <t>w-</t>
  </si>
  <si>
    <t>w+</t>
  </si>
  <si>
    <t>p - w-</t>
  </si>
  <si>
    <t>w+ - p</t>
  </si>
  <si>
    <t>Continuity corrected version</t>
  </si>
  <si>
    <t>No continuity correction</t>
  </si>
  <si>
    <r>
      <t>2 - 4</t>
    </r>
    <r>
      <rPr>
        <b/>
        <i/>
        <sz val="10"/>
        <rFont val="Arial"/>
        <family val="2"/>
      </rPr>
      <t>p</t>
    </r>
  </si>
  <si>
    <r>
      <t xml:space="preserve">z² - </t>
    </r>
    <r>
      <rPr>
        <b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/n + </t>
    </r>
    <r>
      <rPr>
        <b/>
        <sz val="10"/>
        <rFont val="Arial"/>
        <family val="2"/>
      </rPr>
      <t>4</t>
    </r>
    <r>
      <rPr>
        <b/>
        <i/>
        <sz val="10"/>
        <rFont val="Arial"/>
        <family val="2"/>
      </rPr>
      <t>npq</t>
    </r>
  </si>
  <si>
    <r>
      <t>2(</t>
    </r>
    <r>
      <rPr>
        <b/>
        <i/>
        <sz val="10"/>
        <rFont val="Arial"/>
        <family val="2"/>
      </rPr>
      <t>n+z²</t>
    </r>
    <r>
      <rPr>
        <b/>
        <sz val="10"/>
        <rFont val="Arial"/>
        <family val="2"/>
      </rPr>
      <t>)</t>
    </r>
  </si>
  <si>
    <t>d</t>
  </si>
  <si>
    <t xml:space="preserve">(p - w-)² </t>
  </si>
  <si>
    <t xml:space="preserve">(w+ - p)² </t>
  </si>
  <si>
    <t>1920s vs. 1960s</t>
  </si>
  <si>
    <t>1960s vs. 2000s</t>
  </si>
  <si>
    <t>1920s vs. 2000s</t>
  </si>
  <si>
    <t>Squared interval widths</t>
  </si>
  <si>
    <t>quotative</t>
  </si>
  <si>
    <t>interpretative</t>
  </si>
  <si>
    <t>upper</t>
  </si>
  <si>
    <t>lower</t>
  </si>
  <si>
    <t>d%</t>
  </si>
  <si>
    <t>p1</t>
  </si>
  <si>
    <t xml:space="preserve">p2 </t>
  </si>
  <si>
    <t>W-</t>
  </si>
  <si>
    <t>W+</t>
  </si>
  <si>
    <t>up</t>
  </si>
  <si>
    <t>down</t>
  </si>
  <si>
    <t>-W-</t>
  </si>
  <si>
    <t>Floating bar chart</t>
  </si>
  <si>
    <t>Percentage difference chart</t>
  </si>
  <si>
    <t>Newcombe-Wilson score intervals, an example</t>
  </si>
  <si>
    <t>Pairwise tables</t>
  </si>
  <si>
    <t>Without continuity correction</t>
  </si>
  <si>
    <r>
      <t xml:space="preserve">Data from Levin 2013 The progressive in modern American English, in Aarts et al (eds) </t>
    </r>
    <r>
      <rPr>
        <i/>
        <sz val="10"/>
        <rFont val="Arial"/>
        <family val="2"/>
      </rPr>
      <t>The Verb Phrase in English</t>
    </r>
    <r>
      <rPr>
        <sz val="10"/>
        <rFont val="Arial"/>
        <family val="0"/>
      </rPr>
      <t>, Cambridge: CUP.</t>
    </r>
  </si>
  <si>
    <t>Z tests, example</t>
  </si>
  <si>
    <t>'cogitate' vs 'intend'</t>
  </si>
  <si>
    <t>'intend' vs. quotative</t>
  </si>
  <si>
    <t>quotative vs. interp</t>
  </si>
  <si>
    <t>Significant difference pairs</t>
  </si>
  <si>
    <t>Example pairs: since rows are ordered by frequency, we have merely examined neighbouring pairs</t>
  </si>
  <si>
    <t>Paired probabilities</t>
  </si>
  <si>
    <t>Paired frequencies</t>
  </si>
  <si>
    <t>n</t>
  </si>
  <si>
    <t>Probability (out of all values)</t>
  </si>
  <si>
    <t>S</t>
  </si>
  <si>
    <t>Pop standard deviation</t>
  </si>
  <si>
    <t>z²/n</t>
  </si>
  <si>
    <r>
      <t xml:space="preserve">z </t>
    </r>
    <r>
      <rPr>
        <b/>
        <sz val="12"/>
        <rFont val="Arial"/>
        <family val="2"/>
      </rPr>
      <t>tests</t>
    </r>
  </si>
  <si>
    <t>Wilson intervals on p1</t>
  </si>
  <si>
    <t>See http://corplingstats.wordpress.com/2013/05/20/comparing-frequencies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</si>
</sst>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"/>
    <numFmt numFmtId="166" formatCode="0.0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 quotePrefix="1">
      <alignment/>
    </xf>
    <xf numFmtId="0" fontId="8" fillId="0" borderId="7" xfId="0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8" xfId="0" applyBorder="1" applyAlignment="1" quotePrefix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 quotePrefix="1">
      <alignment/>
    </xf>
    <xf numFmtId="2" fontId="0" fillId="0" borderId="6" xfId="0" applyNumberFormat="1" applyBorder="1" applyAlignment="1">
      <alignment/>
    </xf>
    <xf numFmtId="0" fontId="7" fillId="0" borderId="8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Wilson intervals without continuity correction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225"/>
          <c:w val="0.953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Wilson!$A$14</c:f>
              <c:strCache>
                <c:ptCount val="1"/>
                <c:pt idx="0">
                  <c:v>‘cogitate’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Wilson!$W$14:$Y$14</c:f>
                <c:numCache>
                  <c:ptCount val="3"/>
                  <c:pt idx="0">
                    <c:v>0.08442029392521866</c:v>
                  </c:pt>
                  <c:pt idx="1">
                    <c:v>0.06873919677988671</c:v>
                  </c:pt>
                  <c:pt idx="2">
                    <c:v>0.06522972328675725</c:v>
                  </c:pt>
                </c:numCache>
              </c:numRef>
            </c:plus>
            <c:minus>
              <c:numRef>
                <c:f>Wilson!$T$14:$V$14</c:f>
                <c:numCache>
                  <c:ptCount val="3"/>
                  <c:pt idx="0">
                    <c:v>0.1144215733857522</c:v>
                  </c:pt>
                  <c:pt idx="1">
                    <c:v>0.07275788704615205</c:v>
                  </c:pt>
                  <c:pt idx="2">
                    <c:v>0.06762492049087043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Wilson!$E$14:$G$14</c:f>
              <c:numCache/>
            </c:numRef>
          </c:val>
          <c:smooth val="1"/>
        </c:ser>
        <c:ser>
          <c:idx val="1"/>
          <c:order val="1"/>
          <c:tx>
            <c:strRef>
              <c:f>Wilson!$A$15</c:f>
              <c:strCache>
                <c:ptCount val="1"/>
                <c:pt idx="0">
                  <c:v>‘intend’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Wilson!$W$15:$Y$15</c:f>
                <c:numCache>
                  <c:ptCount val="3"/>
                  <c:pt idx="0">
                    <c:v>0.11442157338575223</c:v>
                  </c:pt>
                  <c:pt idx="1">
                    <c:v>0.0721497955614478</c:v>
                  </c:pt>
                  <c:pt idx="2">
                    <c:v>0.0638499070314133</c:v>
                  </c:pt>
                </c:numCache>
              </c:numRef>
            </c:plus>
            <c:minus>
              <c:numRef>
                <c:f>Wilson!$T$15:$V$15</c:f>
                <c:numCache>
                  <c:ptCount val="3"/>
                  <c:pt idx="0">
                    <c:v>0.08442029392521866</c:v>
                  </c:pt>
                  <c:pt idx="1">
                    <c:v>0.06629398974488993</c:v>
                  </c:pt>
                  <c:pt idx="2">
                    <c:v>0.05563780233159671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Wilson!$E$15:$G$15</c:f>
              <c:numCache/>
            </c:numRef>
          </c:val>
          <c:smooth val="1"/>
        </c:ser>
        <c:ser>
          <c:idx val="2"/>
          <c:order val="2"/>
          <c:tx>
            <c:strRef>
              <c:f>Wilson!$A$16</c:f>
              <c:strCache>
                <c:ptCount val="1"/>
                <c:pt idx="0">
                  <c:v>quotative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Wilson!$W$16:$Y$16</c:f>
                <c:numCache>
                  <c:ptCount val="3"/>
                  <c:pt idx="0">
                    <c:v>0.05500234567764482</c:v>
                  </c:pt>
                  <c:pt idx="1">
                    <c:v>0.03727426742190876</c:v>
                  </c:pt>
                  <c:pt idx="2">
                    <c:v>0.051416744728925545</c:v>
                  </c:pt>
                </c:numCache>
              </c:numRef>
            </c:plus>
            <c:minus>
              <c:numRef>
                <c:f>Wilson!$T$16:$V$16</c:f>
                <c:numCache>
                  <c:ptCount val="3"/>
                  <c:pt idx="0">
                    <c:v>0</c:v>
                  </c:pt>
                  <c:pt idx="1">
                    <c:v>0.017869734421942417</c:v>
                  </c:pt>
                  <c:pt idx="2">
                    <c:v>0.03790098907714401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Wilson!$E$16:$G$16</c:f>
              <c:numCache/>
            </c:numRef>
          </c:val>
          <c:smooth val="1"/>
        </c:ser>
        <c:ser>
          <c:idx val="3"/>
          <c:order val="3"/>
          <c:tx>
            <c:strRef>
              <c:f>Wilson!$A$17</c:f>
              <c:strCache>
                <c:ptCount val="1"/>
                <c:pt idx="0">
                  <c:v>interpretative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Wilson!$W$17:$Y$17</c:f>
                <c:numCache>
                  <c:ptCount val="3"/>
                  <c:pt idx="0">
                    <c:v>0.05500234567764482</c:v>
                  </c:pt>
                  <c:pt idx="1">
                    <c:v>0.02833732586687606</c:v>
                  </c:pt>
                  <c:pt idx="2">
                    <c:v>0.03526286279075917</c:v>
                  </c:pt>
                </c:numCache>
              </c:numRef>
            </c:plus>
            <c:minus>
              <c:numRef>
                <c:f>Wilson!$T$17:$V$17</c:f>
                <c:numCache>
                  <c:ptCount val="3"/>
                  <c:pt idx="0">
                    <c:v>0</c:v>
                  </c:pt>
                  <c:pt idx="1">
                    <c:v>0.00801423509176339</c:v>
                  </c:pt>
                  <c:pt idx="2">
                    <c:v>0.01866756787654643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Wilson!$E$17:$G$17</c:f>
              <c:numCache/>
            </c:numRef>
          </c:val>
          <c:smooth val="1"/>
        </c:ser>
        <c:marker val="1"/>
        <c:axId val="41870790"/>
        <c:axId val="37824791"/>
      </c:lineChart>
      <c:catAx>
        <c:axId val="4187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4791"/>
        <c:crosses val="autoZero"/>
        <c:auto val="1"/>
        <c:lblOffset val="100"/>
        <c:noMultiLvlLbl val="0"/>
      </c:catAx>
      <c:valAx>
        <c:axId val="378247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70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Wilson intervals with continuity correction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2"/>
          <c:w val="0.953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Wilson!$A$14</c:f>
              <c:strCache>
                <c:ptCount val="1"/>
                <c:pt idx="0">
                  <c:v>‘cogitate’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Wilson!$W$25:$Y$25</c:f>
                <c:numCache>
                  <c:ptCount val="3"/>
                  <c:pt idx="0">
                    <c:v>0.09047810397680711</c:v>
                  </c:pt>
                  <c:pt idx="1">
                    <c:v>0.07136625147737963</c:v>
                  </c:pt>
                  <c:pt idx="2">
                    <c:v>0.06752498329003576</c:v>
                  </c:pt>
                </c:numCache>
              </c:numRef>
            </c:plus>
            <c:minus>
              <c:numRef>
                <c:f>Wilson!$T$25:$V$25</c:f>
                <c:numCache>
                  <c:ptCount val="3"/>
                  <c:pt idx="0">
                    <c:v>0.12264016036252368</c:v>
                  </c:pt>
                  <c:pt idx="1">
                    <c:v>0.07553859603293356</c:v>
                  </c:pt>
                  <c:pt idx="2">
                    <c:v>0.0700044902184157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Wilson!$E$14:$G$14</c:f>
              <c:numCache/>
            </c:numRef>
          </c:val>
          <c:smooth val="1"/>
        </c:ser>
        <c:ser>
          <c:idx val="1"/>
          <c:order val="1"/>
          <c:tx>
            <c:strRef>
              <c:f>Wilson!$A$15</c:f>
              <c:strCache>
                <c:ptCount val="1"/>
                <c:pt idx="0">
                  <c:v>‘intend’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Wilson!$W$26:$Y$26</c:f>
                <c:numCache>
                  <c:ptCount val="3"/>
                  <c:pt idx="0">
                    <c:v>0.1226401603625237</c:v>
                  </c:pt>
                  <c:pt idx="1">
                    <c:v>0.07496801759554567</c:v>
                  </c:pt>
                  <c:pt idx="2">
                    <c:v>0.06634773535483557</c:v>
                  </c:pt>
                </c:numCache>
              </c:numRef>
            </c:plus>
            <c:minus>
              <c:numRef>
                <c:f>Wilson!$T$26:$V$26</c:f>
                <c:numCache>
                  <c:ptCount val="3"/>
                  <c:pt idx="0">
                    <c:v>0.09047810397680714</c:v>
                  </c:pt>
                  <c:pt idx="1">
                    <c:v>0.06888337728911959</c:v>
                  </c:pt>
                  <c:pt idx="2">
                    <c:v>0.057814229805192796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Wilson!$E$15:$G$15</c:f>
              <c:numCache/>
            </c:numRef>
          </c:val>
          <c:smooth val="1"/>
        </c:ser>
        <c:ser>
          <c:idx val="2"/>
          <c:order val="2"/>
          <c:tx>
            <c:strRef>
              <c:f>Wilson!$A$16</c:f>
              <c:strCache>
                <c:ptCount val="1"/>
                <c:pt idx="0">
                  <c:v>quotative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Wilson!$W$27:$Y$27</c:f>
                <c:numCache>
                  <c:ptCount val="3"/>
                  <c:pt idx="0">
                    <c:v>0.06852907011817037</c:v>
                  </c:pt>
                  <c:pt idx="1">
                    <c:v>0.04091254342229626</c:v>
                  </c:pt>
                  <c:pt idx="2">
                    <c:v>0.054106242886195755</c:v>
                  </c:pt>
                </c:numCache>
              </c:numRef>
            </c:plus>
            <c:minus>
              <c:numRef>
                <c:f>Wilson!$T$27:$V$27</c:f>
                <c:numCache>
                  <c:ptCount val="3"/>
                  <c:pt idx="0">
                    <c:v>-0.0013798841744324247</c:v>
                  </c:pt>
                  <c:pt idx="1">
                    <c:v>0.019602947607213195</c:v>
                  </c:pt>
                  <c:pt idx="2">
                    <c:v>0.039882809908442174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Wilson!$E$16:$G$16</c:f>
              <c:numCache/>
            </c:numRef>
          </c:val>
          <c:smooth val="1"/>
        </c:ser>
        <c:ser>
          <c:idx val="3"/>
          <c:order val="3"/>
          <c:tx>
            <c:strRef>
              <c:f>Wilson!$A$17</c:f>
              <c:strCache>
                <c:ptCount val="1"/>
                <c:pt idx="0">
                  <c:v>interpretative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Wilson!$W$28:$Y$28</c:f>
                <c:numCache>
                  <c:ptCount val="3"/>
                  <c:pt idx="0">
                    <c:v>0.06852907011817037</c:v>
                  </c:pt>
                  <c:pt idx="1">
                    <c:v>0.0324925209667244</c:v>
                  </c:pt>
                  <c:pt idx="2">
                    <c:v>0.03830938323760197</c:v>
                  </c:pt>
                </c:numCache>
              </c:numRef>
            </c:plus>
            <c:minus>
              <c:numRef>
                <c:f>Wilson!$T$28:$V$28</c:f>
                <c:numCache>
                  <c:ptCount val="3"/>
                  <c:pt idx="0">
                    <c:v>-0.0013798841744324247</c:v>
                  </c:pt>
                  <c:pt idx="1">
                    <c:v>0.009133512225523069</c:v>
                  </c:pt>
                  <c:pt idx="2">
                    <c:v>0.020274481541436313</c:v>
                  </c:pt>
                </c:numCache>
              </c:numRef>
            </c:minus>
            <c:noEndCap val="0"/>
          </c:errBars>
          <c:cat>
            <c:strRef>
              <c:f>Wilson!$B$13:$D$13</c:f>
              <c:strCache/>
            </c:strRef>
          </c:cat>
          <c:val>
            <c:numRef>
              <c:f>Wilson!$E$17:$G$17</c:f>
              <c:numCache/>
            </c:numRef>
          </c:val>
          <c:smooth val="1"/>
        </c:ser>
        <c:marker val="1"/>
        <c:axId val="8529440"/>
        <c:axId val="16416033"/>
      </c:lineChart>
      <c:catAx>
        <c:axId val="8529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6033"/>
        <c:crosses val="autoZero"/>
        <c:auto val="1"/>
        <c:lblOffset val="100"/>
        <c:noMultiLvlLbl val="0"/>
      </c:catAx>
      <c:valAx>
        <c:axId val="164160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29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09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'Different samples NW'!$D$12:$D$15</c:f>
                <c:numCache>
                  <c:ptCount val="4"/>
                  <c:pt idx="0">
                    <c:v>0.170446708187864</c:v>
                  </c:pt>
                  <c:pt idx="1">
                    <c:v>0.46572699216175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'Different samples NW'!$E$12:$E$15</c:f>
                <c:numCache>
                  <c:ptCount val="4"/>
                  <c:pt idx="0">
                    <c:v>0.13997972288331312</c:v>
                  </c:pt>
                  <c:pt idx="1">
                    <c:v>0.5598187195194774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'Different samples NW'!$B$6:$B$9</c:f>
              <c:strCache/>
            </c:strRef>
          </c:cat>
          <c:val>
            <c:numRef>
              <c:f>'Different samples NW'!$C$12:$C$15</c:f>
              <c:numCache/>
            </c:numRef>
          </c:val>
        </c:ser>
        <c:axId val="63298650"/>
        <c:axId val="51253259"/>
      </c:barChart>
      <c:catAx>
        <c:axId val="6329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53259"/>
        <c:crosses val="autoZero"/>
        <c:auto val="1"/>
        <c:lblOffset val="100"/>
        <c:noMultiLvlLbl val="0"/>
      </c:catAx>
      <c:valAx>
        <c:axId val="51253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298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58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'Different samples NW'!$B$6:$B$9</c:f>
              <c:strCache/>
            </c:strRef>
          </c:cat>
          <c:val>
            <c:numRef>
              <c:f>'Different samples NW'!$F$18:$F$21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'Different samples NW'!$I$18:$I$21</c:f>
                <c:numCache>
                  <c:ptCount val="4"/>
                  <c:pt idx="0">
                    <c:v>0.13170881996334946</c:v>
                  </c:pt>
                  <c:pt idx="1">
                    <c:v>0.105847043673125</c:v>
                  </c:pt>
                  <c:pt idx="2">
                    <c:v>0.051416744728925545</c:v>
                  </c:pt>
                  <c:pt idx="3">
                    <c:v>0.03526286279075917</c:v>
                  </c:pt>
                </c:numCache>
              </c:numRef>
            </c:plus>
            <c:minus>
              <c:numRef>
                <c:f>'Different samples NW'!$J$18:$J$21</c:f>
                <c:numCache>
                  <c:ptCount val="4"/>
                  <c:pt idx="0">
                    <c:v>0.10816614950074195</c:v>
                  </c:pt>
                  <c:pt idx="1">
                    <c:v>0.12723152716351757</c:v>
                  </c:pt>
                  <c:pt idx="2">
                    <c:v>0.06679627985950208</c:v>
                  </c:pt>
                  <c:pt idx="3">
                    <c:v>0.05808387143147917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'Different samples NW'!$B$6:$B$9</c:f>
              <c:strCache/>
            </c:strRef>
          </c:cat>
          <c:val>
            <c:numRef>
              <c:f>'Different samples NW'!$G$18:$G$21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'Different samples NW'!$B$6:$B$9</c:f>
              <c:strCache/>
            </c:strRef>
          </c:cat>
          <c:val>
            <c:numRef>
              <c:f>'Different samples NW'!$H$18:$H$21</c:f>
              <c:numCache/>
            </c:numRef>
          </c:val>
        </c:ser>
        <c:overlap val="100"/>
        <c:axId val="35754612"/>
        <c:axId val="24746965"/>
      </c:barChart>
      <c:catAx>
        <c:axId val="3575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46965"/>
        <c:crosses val="autoZero"/>
        <c:auto val="1"/>
        <c:lblOffset val="100"/>
        <c:noMultiLvlLbl val="0"/>
      </c:catAx>
      <c:valAx>
        <c:axId val="247469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461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4"/>
          <c:w val="0.951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1920s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z'!$U$21:$U$23</c:f>
                <c:numCache>
                  <c:ptCount val="3"/>
                  <c:pt idx="0">
                    <c:v>0.08442029392521866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'Same sample z'!$R$21:$R$23</c:f>
                <c:numCache>
                  <c:ptCount val="3"/>
                  <c:pt idx="0">
                    <c:v>0.1144215733857522</c:v>
                  </c:pt>
                  <c:pt idx="1">
                    <c:v>0.20388264107463838</c:v>
                  </c:pt>
                  <c:pt idx="2">
                    <c:v>0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z'!$F$14:$F$16</c:f>
              <c:numCache/>
            </c:numRef>
          </c:val>
        </c:ser>
        <c:ser>
          <c:idx val="1"/>
          <c:order val="1"/>
          <c:tx>
            <c:v>1960s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z'!$V$21:$V$23</c:f>
                <c:numCache>
                  <c:ptCount val="3"/>
                  <c:pt idx="0">
                    <c:v>0.06873159097638315</c:v>
                  </c:pt>
                  <c:pt idx="1">
                    <c:v>0.0452004753135643</c:v>
                  </c:pt>
                  <c:pt idx="2">
                    <c:v>0.17852061865063984</c:v>
                  </c:pt>
                </c:numCache>
              </c:numRef>
            </c:plus>
            <c:minus>
              <c:numRef>
                <c:f>'Same sample z'!$S$21:$S$23</c:f>
                <c:numCache>
                  <c:ptCount val="3"/>
                  <c:pt idx="0">
                    <c:v>0.0741308320400974</c:v>
                  </c:pt>
                  <c:pt idx="1">
                    <c:v>0.08785311613847469</c:v>
                  </c:pt>
                  <c:pt idx="2">
                    <c:v>0.3407239555327924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z'!$G$14:$G$16</c:f>
              <c:numCache/>
            </c:numRef>
          </c:val>
        </c:ser>
        <c:ser>
          <c:idx val="2"/>
          <c:order val="2"/>
          <c:tx>
            <c:v>2000s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'Same sample z'!$W$21:$W$23</c:f>
                <c:numCache>
                  <c:ptCount val="3"/>
                  <c:pt idx="0">
                    <c:v>0.06473235739553129</c:v>
                  </c:pt>
                  <c:pt idx="1">
                    <c:v>0.0896389115282612</c:v>
                  </c:pt>
                  <c:pt idx="2">
                    <c:v>0.11092409921888535</c:v>
                  </c:pt>
                </c:numCache>
              </c:numRef>
            </c:plus>
            <c:minus>
              <c:numRef>
                <c:f>'Same sample z'!$T$21:$T$23</c:f>
                <c:numCache>
                  <c:ptCount val="3"/>
                  <c:pt idx="0">
                    <c:v>0.0722569615646268</c:v>
                  </c:pt>
                  <c:pt idx="1">
                    <c:v>0.10616046899757592</c:v>
                  </c:pt>
                  <c:pt idx="2">
                    <c:v>0.16466690214376123</c:v>
                  </c:pt>
                </c:numCache>
              </c:numRef>
            </c:minus>
            <c:noEndCap val="0"/>
          </c:errBars>
          <c:cat>
            <c:strRef>
              <c:f>'Same sample z'!$B$14:$B$16</c:f>
              <c:strCache/>
            </c:strRef>
          </c:cat>
          <c:val>
            <c:numRef>
              <c:f>'Same sample z'!$H$14:$H$16</c:f>
              <c:numCache/>
            </c:numRef>
          </c:val>
        </c:ser>
        <c:axId val="1290862"/>
        <c:axId val="6470271"/>
      </c:barChart>
      <c:catAx>
        <c:axId val="129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271"/>
        <c:crosses val="autoZero"/>
        <c:auto val="1"/>
        <c:lblOffset val="100"/>
        <c:noMultiLvlLbl val="0"/>
      </c:catAx>
      <c:valAx>
        <c:axId val="64702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9086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67475"/>
          <c:w val="0.17875"/>
          <c:h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31</xdr:row>
      <xdr:rowOff>142875</xdr:rowOff>
    </xdr:from>
    <xdr:to>
      <xdr:col>8</xdr:col>
      <xdr:colOff>152400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066800" y="6134100"/>
        <a:ext cx="4314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32</xdr:row>
      <xdr:rowOff>0</xdr:rowOff>
    </xdr:from>
    <xdr:to>
      <xdr:col>18</xdr:col>
      <xdr:colOff>200025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7200900" y="6153150"/>
        <a:ext cx="4324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10</xdr:row>
      <xdr:rowOff>47625</xdr:rowOff>
    </xdr:from>
    <xdr:to>
      <xdr:col>17</xdr:col>
      <xdr:colOff>495300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153275" y="1704975"/>
        <a:ext cx="4286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22</xdr:row>
      <xdr:rowOff>123825</xdr:rowOff>
    </xdr:from>
    <xdr:to>
      <xdr:col>9</xdr:col>
      <xdr:colOff>171450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1952625" y="3724275"/>
        <a:ext cx="42862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24</xdr:row>
      <xdr:rowOff>28575</xdr:rowOff>
    </xdr:from>
    <xdr:to>
      <xdr:col>19</xdr:col>
      <xdr:colOff>152400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7848600" y="4029075"/>
        <a:ext cx="4295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J7" sqref="J7"/>
    </sheetView>
  </sheetViews>
  <sheetFormatPr defaultColWidth="9.140625" defaultRowHeight="12.75"/>
  <cols>
    <col min="3" max="3" width="14.421875" style="0" customWidth="1"/>
  </cols>
  <sheetData>
    <row r="1" ht="15.75">
      <c r="A1" s="6" t="s">
        <v>27</v>
      </c>
    </row>
    <row r="2" ht="13.5" thickBot="1"/>
    <row r="3" spans="1:8" ht="32.25" thickBot="1">
      <c r="A3" s="7" t="s">
        <v>23</v>
      </c>
      <c r="C3" s="1"/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</row>
    <row r="4" spans="3:8" ht="32.25" thickBot="1">
      <c r="C4" s="3" t="s">
        <v>4</v>
      </c>
      <c r="D4" s="4" t="s">
        <v>5</v>
      </c>
      <c r="E4" s="5">
        <v>0</v>
      </c>
      <c r="F4" s="4" t="s">
        <v>6</v>
      </c>
      <c r="G4" s="5">
        <v>1.78</v>
      </c>
      <c r="H4" s="4" t="s">
        <v>7</v>
      </c>
    </row>
    <row r="5" spans="3:8" ht="16.5" thickBot="1">
      <c r="C5" s="3" t="s">
        <v>8</v>
      </c>
      <c r="D5" s="4" t="s">
        <v>9</v>
      </c>
      <c r="E5" s="5">
        <v>1</v>
      </c>
      <c r="F5" s="4" t="s">
        <v>10</v>
      </c>
      <c r="G5" s="5">
        <v>1.23</v>
      </c>
      <c r="H5" s="4" t="s">
        <v>11</v>
      </c>
    </row>
    <row r="6" spans="3:8" ht="16.5" thickBot="1">
      <c r="C6" s="3" t="s">
        <v>60</v>
      </c>
      <c r="D6" s="4">
        <v>0</v>
      </c>
      <c r="E6" s="4" t="s">
        <v>12</v>
      </c>
      <c r="F6" s="4" t="s">
        <v>13</v>
      </c>
      <c r="G6" s="5">
        <v>9.25</v>
      </c>
      <c r="H6" s="4" t="s">
        <v>14</v>
      </c>
    </row>
    <row r="7" spans="3:8" ht="16.5" thickBot="1">
      <c r="C7" s="3" t="s">
        <v>61</v>
      </c>
      <c r="D7" s="4">
        <v>0</v>
      </c>
      <c r="E7" s="4" t="s">
        <v>12</v>
      </c>
      <c r="F7" s="4" t="s">
        <v>15</v>
      </c>
      <c r="G7" s="5">
        <v>9.04</v>
      </c>
      <c r="H7" s="4" t="s">
        <v>16</v>
      </c>
    </row>
    <row r="8" spans="3:8" ht="32.25" thickBot="1">
      <c r="C8" s="3" t="s">
        <v>17</v>
      </c>
      <c r="D8" s="4" t="s">
        <v>18</v>
      </c>
      <c r="E8" s="5">
        <v>0.29</v>
      </c>
      <c r="F8" s="4" t="s">
        <v>19</v>
      </c>
      <c r="G8" s="5">
        <v>1.93</v>
      </c>
      <c r="H8" s="4" t="s">
        <v>20</v>
      </c>
    </row>
    <row r="9" spans="3:8" ht="15.75">
      <c r="C9" s="8"/>
      <c r="D9" s="9"/>
      <c r="E9" s="10"/>
      <c r="F9" s="9"/>
      <c r="G9" s="10"/>
      <c r="H9" s="9"/>
    </row>
    <row r="10" spans="1:5" ht="12.75">
      <c r="A10" s="7" t="s">
        <v>33</v>
      </c>
      <c r="E10" s="11" t="s">
        <v>49</v>
      </c>
    </row>
    <row r="11" ht="12.75">
      <c r="A11" s="7"/>
    </row>
    <row r="12" spans="1:25" ht="12.75">
      <c r="A12" s="32"/>
      <c r="B12" s="14" t="s">
        <v>34</v>
      </c>
      <c r="C12" s="14"/>
      <c r="D12" s="15"/>
      <c r="E12" s="13" t="s">
        <v>35</v>
      </c>
      <c r="F12" s="14"/>
      <c r="G12" s="15"/>
      <c r="H12" s="13" t="s">
        <v>36</v>
      </c>
      <c r="I12" s="14"/>
      <c r="J12" s="15"/>
      <c r="K12" s="13" t="s">
        <v>37</v>
      </c>
      <c r="L12" s="14"/>
      <c r="M12" s="15"/>
      <c r="N12" s="13" t="s">
        <v>38</v>
      </c>
      <c r="O12" s="14"/>
      <c r="P12" s="15"/>
      <c r="Q12" s="13" t="s">
        <v>39</v>
      </c>
      <c r="R12" s="14"/>
      <c r="S12" s="15"/>
      <c r="T12" s="13" t="s">
        <v>40</v>
      </c>
      <c r="U12" s="14"/>
      <c r="V12" s="15"/>
      <c r="W12" s="13" t="s">
        <v>41</v>
      </c>
      <c r="X12" s="14"/>
      <c r="Y12" s="15"/>
    </row>
    <row r="13" spans="1:25" ht="12.75">
      <c r="A13" s="33"/>
      <c r="B13" s="17" t="str">
        <f>D3</f>
        <v>1920s</v>
      </c>
      <c r="C13" s="17" t="str">
        <f>F3</f>
        <v>1960s</v>
      </c>
      <c r="D13" s="18" t="str">
        <f>H3</f>
        <v>2000s</v>
      </c>
      <c r="E13" s="29" t="s">
        <v>28</v>
      </c>
      <c r="F13" s="27"/>
      <c r="G13" s="28"/>
      <c r="H13" s="29" t="s">
        <v>25</v>
      </c>
      <c r="I13" s="30"/>
      <c r="J13" s="31"/>
      <c r="K13" s="29" t="s">
        <v>26</v>
      </c>
      <c r="L13" s="30"/>
      <c r="M13" s="31"/>
      <c r="N13" s="29" t="s">
        <v>44</v>
      </c>
      <c r="O13" s="30"/>
      <c r="P13" s="31"/>
      <c r="Q13" s="29" t="s">
        <v>45</v>
      </c>
      <c r="R13" s="30"/>
      <c r="S13" s="31"/>
      <c r="T13" s="29" t="s">
        <v>21</v>
      </c>
      <c r="U13" s="30"/>
      <c r="V13" s="31"/>
      <c r="W13" s="29" t="s">
        <v>22</v>
      </c>
      <c r="X13" s="17"/>
      <c r="Y13" s="18"/>
    </row>
    <row r="14" spans="1:25" ht="12.75">
      <c r="A14" s="34" t="str">
        <f>C4</f>
        <v>‘cogitate’</v>
      </c>
      <c r="B14" s="25">
        <v>51</v>
      </c>
      <c r="C14" s="25">
        <v>108</v>
      </c>
      <c r="D14" s="26">
        <v>119</v>
      </c>
      <c r="E14" s="24">
        <f aca="true" t="shared" si="0" ref="E14:G17">B14/B$18</f>
        <v>0.7727272727272727</v>
      </c>
      <c r="F14" s="25">
        <f t="shared" si="0"/>
        <v>0.5966850828729282</v>
      </c>
      <c r="G14" s="26">
        <f t="shared" si="0"/>
        <v>0.5666666666666667</v>
      </c>
      <c r="H14" s="24">
        <f aca="true" t="shared" si="1" ref="H14:J17">(E14+$C$22/(B$18*2))/(1+$C$22/B$18)</f>
        <v>0.7577266329970059</v>
      </c>
      <c r="I14" s="25">
        <f t="shared" si="1"/>
        <v>0.5946757377397955</v>
      </c>
      <c r="J14" s="26">
        <f t="shared" si="1"/>
        <v>0.5654690680646101</v>
      </c>
      <c r="K14" s="24">
        <f aca="true" t="shared" si="2" ref="K14:M17">$C$21*SQRT(E14*(1-E14)/B$18+$C$22/(4*B$18^2))/(1+$C$22/B$18)</f>
        <v>0.09942093365548543</v>
      </c>
      <c r="L14" s="25">
        <f t="shared" si="2"/>
        <v>0.0707485419130194</v>
      </c>
      <c r="M14" s="26">
        <f t="shared" si="2"/>
        <v>0.06642732188881387</v>
      </c>
      <c r="N14" s="24">
        <f aca="true" t="shared" si="3" ref="N14:P17">H14-K14</f>
        <v>0.6583056993415205</v>
      </c>
      <c r="O14" s="25">
        <f t="shared" si="3"/>
        <v>0.5239271958267762</v>
      </c>
      <c r="P14" s="26">
        <f t="shared" si="3"/>
        <v>0.4990417461757962</v>
      </c>
      <c r="Q14" s="24">
        <f aca="true" t="shared" si="4" ref="Q14:S17">H14+K14</f>
        <v>0.8571475666524914</v>
      </c>
      <c r="R14" s="25">
        <f t="shared" si="4"/>
        <v>0.6654242796528149</v>
      </c>
      <c r="S14" s="26">
        <f t="shared" si="4"/>
        <v>0.6318963899534239</v>
      </c>
      <c r="T14" s="24">
        <f aca="true" t="shared" si="5" ref="T14:V17">E14-N14</f>
        <v>0.1144215733857522</v>
      </c>
      <c r="U14" s="25">
        <f t="shared" si="5"/>
        <v>0.07275788704615205</v>
      </c>
      <c r="V14" s="26">
        <f t="shared" si="5"/>
        <v>0.06762492049087043</v>
      </c>
      <c r="W14" s="24">
        <f aca="true" t="shared" si="6" ref="W14:Y17">Q14-E14</f>
        <v>0.08442029392521866</v>
      </c>
      <c r="X14" s="25">
        <f t="shared" si="6"/>
        <v>0.06873919677988671</v>
      </c>
      <c r="Y14" s="26">
        <f t="shared" si="6"/>
        <v>0.06522972328675725</v>
      </c>
    </row>
    <row r="15" spans="1:25" ht="12.75">
      <c r="A15" s="33" t="str">
        <f>C5</f>
        <v>‘intend’</v>
      </c>
      <c r="B15" s="19">
        <v>15</v>
      </c>
      <c r="C15" s="19">
        <v>65</v>
      </c>
      <c r="D15" s="20">
        <v>57</v>
      </c>
      <c r="E15" s="16">
        <f t="shared" si="0"/>
        <v>0.22727272727272727</v>
      </c>
      <c r="F15" s="19">
        <f t="shared" si="0"/>
        <v>0.35911602209944754</v>
      </c>
      <c r="G15" s="20">
        <f t="shared" si="0"/>
        <v>0.2714285714285714</v>
      </c>
      <c r="H15" s="16">
        <f t="shared" si="1"/>
        <v>0.24227336700299404</v>
      </c>
      <c r="I15" s="19">
        <f t="shared" si="1"/>
        <v>0.3620439250077265</v>
      </c>
      <c r="J15" s="20">
        <f t="shared" si="1"/>
        <v>0.2755346237784797</v>
      </c>
      <c r="K15" s="16">
        <f t="shared" si="2"/>
        <v>0.09942093365548543</v>
      </c>
      <c r="L15" s="19">
        <f t="shared" si="2"/>
        <v>0.06922189265316886</v>
      </c>
      <c r="M15" s="20">
        <f t="shared" si="2"/>
        <v>0.059743854681505004</v>
      </c>
      <c r="N15" s="16">
        <f t="shared" si="3"/>
        <v>0.1428524333475086</v>
      </c>
      <c r="O15" s="19">
        <f t="shared" si="3"/>
        <v>0.2928220323545576</v>
      </c>
      <c r="P15" s="20">
        <f t="shared" si="3"/>
        <v>0.2157907690969747</v>
      </c>
      <c r="Q15" s="16">
        <f t="shared" si="4"/>
        <v>0.3416943006584795</v>
      </c>
      <c r="R15" s="19">
        <f t="shared" si="4"/>
        <v>0.43126581766089533</v>
      </c>
      <c r="S15" s="20">
        <f t="shared" si="4"/>
        <v>0.3352784784599847</v>
      </c>
      <c r="T15" s="16">
        <f t="shared" si="5"/>
        <v>0.08442029392521866</v>
      </c>
      <c r="U15" s="19">
        <f t="shared" si="5"/>
        <v>0.06629398974488993</v>
      </c>
      <c r="V15" s="20">
        <f t="shared" si="5"/>
        <v>0.05563780233159671</v>
      </c>
      <c r="W15" s="16">
        <f t="shared" si="6"/>
        <v>0.11442157338575223</v>
      </c>
      <c r="X15" s="19">
        <f t="shared" si="6"/>
        <v>0.0721497955614478</v>
      </c>
      <c r="Y15" s="20">
        <f t="shared" si="6"/>
        <v>0.0638499070314133</v>
      </c>
    </row>
    <row r="16" spans="1:25" ht="12.75">
      <c r="A16" s="33" t="str">
        <f>C6</f>
        <v>quotative</v>
      </c>
      <c r="B16" s="19">
        <v>0</v>
      </c>
      <c r="C16" s="19">
        <v>6</v>
      </c>
      <c r="D16" s="20">
        <v>26</v>
      </c>
      <c r="E16" s="16">
        <f t="shared" si="0"/>
        <v>0</v>
      </c>
      <c r="F16" s="19">
        <f t="shared" si="0"/>
        <v>0.03314917127071823</v>
      </c>
      <c r="G16" s="20">
        <f t="shared" si="0"/>
        <v>0.12380952380952381</v>
      </c>
      <c r="H16" s="16">
        <f t="shared" si="1"/>
        <v>0.02750117283882241</v>
      </c>
      <c r="I16" s="19">
        <f t="shared" si="1"/>
        <v>0.0428514377707014</v>
      </c>
      <c r="J16" s="20">
        <f t="shared" si="1"/>
        <v>0.13056740163541458</v>
      </c>
      <c r="K16" s="16">
        <f t="shared" si="2"/>
        <v>0.02750117283882241</v>
      </c>
      <c r="L16" s="19">
        <f t="shared" si="2"/>
        <v>0.027572000921925584</v>
      </c>
      <c r="M16" s="20">
        <f t="shared" si="2"/>
        <v>0.04465886690303477</v>
      </c>
      <c r="N16" s="16">
        <f t="shared" si="3"/>
        <v>0</v>
      </c>
      <c r="O16" s="19">
        <f t="shared" si="3"/>
        <v>0.015279436848775814</v>
      </c>
      <c r="P16" s="20">
        <f t="shared" si="3"/>
        <v>0.0859085347323798</v>
      </c>
      <c r="Q16" s="16">
        <f t="shared" si="4"/>
        <v>0.05500234567764482</v>
      </c>
      <c r="R16" s="19">
        <f t="shared" si="4"/>
        <v>0.07042343869262699</v>
      </c>
      <c r="S16" s="20">
        <f t="shared" si="4"/>
        <v>0.17522626853844936</v>
      </c>
      <c r="T16" s="16">
        <f t="shared" si="5"/>
        <v>0</v>
      </c>
      <c r="U16" s="19">
        <f t="shared" si="5"/>
        <v>0.017869734421942417</v>
      </c>
      <c r="V16" s="20">
        <f t="shared" si="5"/>
        <v>0.03790098907714401</v>
      </c>
      <c r="W16" s="16">
        <f t="shared" si="6"/>
        <v>0.05500234567764482</v>
      </c>
      <c r="X16" s="19">
        <f t="shared" si="6"/>
        <v>0.03727426742190876</v>
      </c>
      <c r="Y16" s="20">
        <f t="shared" si="6"/>
        <v>0.051416744728925545</v>
      </c>
    </row>
    <row r="17" spans="1:25" ht="12.75">
      <c r="A17" s="35" t="str">
        <f>C7</f>
        <v>interpretative</v>
      </c>
      <c r="B17" s="22">
        <v>0</v>
      </c>
      <c r="C17" s="22">
        <v>2</v>
      </c>
      <c r="D17" s="23">
        <v>8</v>
      </c>
      <c r="E17" s="21">
        <f t="shared" si="0"/>
        <v>0</v>
      </c>
      <c r="F17" s="22">
        <f t="shared" si="0"/>
        <v>0.011049723756906077</v>
      </c>
      <c r="G17" s="23">
        <f t="shared" si="0"/>
        <v>0.0380952380952381</v>
      </c>
      <c r="H17" s="21">
        <f t="shared" si="1"/>
        <v>0.02750117283882241</v>
      </c>
      <c r="I17" s="22">
        <f t="shared" si="1"/>
        <v>0.021211269144462412</v>
      </c>
      <c r="J17" s="23">
        <f t="shared" si="1"/>
        <v>0.04639288555234447</v>
      </c>
      <c r="K17" s="21">
        <f t="shared" si="2"/>
        <v>0.02750117283882241</v>
      </c>
      <c r="L17" s="22">
        <f t="shared" si="2"/>
        <v>0.018175780479319725</v>
      </c>
      <c r="M17" s="23">
        <f t="shared" si="2"/>
        <v>0.0269652153336528</v>
      </c>
      <c r="N17" s="21">
        <f t="shared" si="3"/>
        <v>0</v>
      </c>
      <c r="O17" s="22">
        <f t="shared" si="3"/>
        <v>0.003035488665142687</v>
      </c>
      <c r="P17" s="23">
        <f t="shared" si="3"/>
        <v>0.01942767021869167</v>
      </c>
      <c r="Q17" s="21">
        <f t="shared" si="4"/>
        <v>0.05500234567764482</v>
      </c>
      <c r="R17" s="22">
        <f t="shared" si="4"/>
        <v>0.03938704962378214</v>
      </c>
      <c r="S17" s="23">
        <f t="shared" si="4"/>
        <v>0.07335810088599727</v>
      </c>
      <c r="T17" s="21">
        <f t="shared" si="5"/>
        <v>0</v>
      </c>
      <c r="U17" s="22">
        <f t="shared" si="5"/>
        <v>0.00801423509176339</v>
      </c>
      <c r="V17" s="23">
        <f t="shared" si="5"/>
        <v>0.01866756787654643</v>
      </c>
      <c r="W17" s="21">
        <f t="shared" si="6"/>
        <v>0.05500234567764482</v>
      </c>
      <c r="X17" s="22">
        <f t="shared" si="6"/>
        <v>0.02833732586687606</v>
      </c>
      <c r="Y17" s="23">
        <f t="shared" si="6"/>
        <v>0.03526286279075917</v>
      </c>
    </row>
    <row r="18" spans="1:25" ht="12.75">
      <c r="A18" s="35" t="str">
        <f>C8</f>
        <v>Total</v>
      </c>
      <c r="B18" s="22">
        <f>SUM(B14:B17)</f>
        <v>66</v>
      </c>
      <c r="C18" s="22">
        <f>SUM(C14:C17)</f>
        <v>181</v>
      </c>
      <c r="D18" s="23">
        <f>SUM(D14:D17)</f>
        <v>210</v>
      </c>
      <c r="E18" s="21"/>
      <c r="F18" s="22"/>
      <c r="G18" s="23"/>
      <c r="H18" s="21"/>
      <c r="I18" s="22"/>
      <c r="J18" s="23"/>
      <c r="K18" s="21"/>
      <c r="L18" s="22"/>
      <c r="M18" s="23"/>
      <c r="N18" s="21"/>
      <c r="O18" s="22"/>
      <c r="P18" s="23"/>
      <c r="Q18" s="21"/>
      <c r="R18" s="22"/>
      <c r="S18" s="23"/>
      <c r="T18" s="21"/>
      <c r="U18" s="22"/>
      <c r="V18" s="23"/>
      <c r="W18" s="21"/>
      <c r="X18" s="22"/>
      <c r="Y18" s="23"/>
    </row>
    <row r="19" spans="5:23" ht="12.75">
      <c r="E19" s="11" t="s">
        <v>28</v>
      </c>
      <c r="F19" s="7"/>
      <c r="G19" s="7"/>
      <c r="H19" s="11" t="s">
        <v>25</v>
      </c>
      <c r="I19" s="7"/>
      <c r="J19" s="7"/>
      <c r="K19" s="11" t="s">
        <v>26</v>
      </c>
      <c r="L19" s="11"/>
      <c r="M19" s="11"/>
      <c r="N19" s="11" t="s">
        <v>29</v>
      </c>
      <c r="O19" s="11"/>
      <c r="P19" s="11"/>
      <c r="Q19" s="11" t="s">
        <v>30</v>
      </c>
      <c r="R19" s="11"/>
      <c r="S19" s="11"/>
      <c r="T19" s="11" t="s">
        <v>46</v>
      </c>
      <c r="U19" s="11"/>
      <c r="V19" s="11"/>
      <c r="W19" s="11" t="s">
        <v>47</v>
      </c>
    </row>
    <row r="21" spans="2:5" ht="12.75">
      <c r="B21" s="12" t="s">
        <v>24</v>
      </c>
      <c r="C21">
        <v>1.95996</v>
      </c>
      <c r="E21" s="11" t="s">
        <v>48</v>
      </c>
    </row>
    <row r="22" spans="2:3" ht="12.75">
      <c r="B22" s="12" t="s">
        <v>43</v>
      </c>
      <c r="C22">
        <f>C21^2</f>
        <v>3.8414432015999997</v>
      </c>
    </row>
    <row r="23" spans="5:25" ht="12.75">
      <c r="E23" s="24"/>
      <c r="F23" s="25"/>
      <c r="G23" s="25"/>
      <c r="H23" s="24"/>
      <c r="I23" s="25"/>
      <c r="J23" s="26"/>
      <c r="K23" s="25"/>
      <c r="L23" s="25"/>
      <c r="M23" s="25"/>
      <c r="N23" s="13" t="s">
        <v>38</v>
      </c>
      <c r="O23" s="14"/>
      <c r="P23" s="15"/>
      <c r="Q23" s="14" t="s">
        <v>39</v>
      </c>
      <c r="R23" s="14"/>
      <c r="S23" s="14"/>
      <c r="T23" s="13" t="s">
        <v>40</v>
      </c>
      <c r="U23" s="14"/>
      <c r="V23" s="15"/>
      <c r="W23" s="14" t="s">
        <v>41</v>
      </c>
      <c r="X23" s="14"/>
      <c r="Y23" s="26"/>
    </row>
    <row r="24" spans="5:25" ht="12.75">
      <c r="E24" s="16"/>
      <c r="F24" s="19"/>
      <c r="G24" s="19"/>
      <c r="H24" s="16"/>
      <c r="I24" s="19"/>
      <c r="J24" s="20"/>
      <c r="K24" s="19"/>
      <c r="L24" s="19"/>
      <c r="M24" s="19"/>
      <c r="N24" s="29" t="s">
        <v>44</v>
      </c>
      <c r="O24" s="30"/>
      <c r="P24" s="31"/>
      <c r="Q24" s="30" t="s">
        <v>45</v>
      </c>
      <c r="R24" s="30"/>
      <c r="S24" s="30"/>
      <c r="T24" s="29" t="s">
        <v>21</v>
      </c>
      <c r="U24" s="30"/>
      <c r="V24" s="31"/>
      <c r="W24" s="30" t="s">
        <v>22</v>
      </c>
      <c r="X24" s="17"/>
      <c r="Y24" s="20"/>
    </row>
    <row r="25" spans="5:25" ht="12.75">
      <c r="E25" s="24">
        <f>2*(B$18+$C$22)</f>
        <v>139.6828864032</v>
      </c>
      <c r="F25" s="25">
        <f>2*(C$18+$C$22)</f>
        <v>369.6828864032</v>
      </c>
      <c r="G25" s="25">
        <f>2*(D$18+$C$22)</f>
        <v>427.6828864032</v>
      </c>
      <c r="H25" s="24">
        <f aca="true" t="shared" si="7" ref="H25:J28">$C$22-1/B$18+4*B$18*E14*(1-E14)</f>
        <v>50.18992805008485</v>
      </c>
      <c r="I25" s="25">
        <f t="shared" si="7"/>
        <v>178.06796253861657</v>
      </c>
      <c r="J25" s="26">
        <f t="shared" si="7"/>
        <v>210.10334796350477</v>
      </c>
      <c r="K25" s="25">
        <f aca="true" t="shared" si="8" ref="K25:M28">2-4*E14</f>
        <v>-1.0909090909090908</v>
      </c>
      <c r="L25" s="25">
        <f t="shared" si="8"/>
        <v>-0.38674033149171283</v>
      </c>
      <c r="M25" s="25">
        <f t="shared" si="8"/>
        <v>-0.2666666666666666</v>
      </c>
      <c r="N25" s="24">
        <f aca="true" t="shared" si="9" ref="N25:P28">MAX(0,H14-($C$21*SQRT(H25-K25)+1)/E$25)</f>
        <v>0.650087112364749</v>
      </c>
      <c r="O25" s="25">
        <f t="shared" si="9"/>
        <v>0.5211464868399946</v>
      </c>
      <c r="P25" s="26">
        <f t="shared" si="9"/>
        <v>0.49666217644825095</v>
      </c>
      <c r="Q25" s="25">
        <f aca="true" t="shared" si="10" ref="Q25:S28">MIN(1,H14+($C$21*SQRT(H25+K25)+1)/E$25)</f>
        <v>0.8632053767040798</v>
      </c>
      <c r="R25" s="25">
        <f t="shared" si="10"/>
        <v>0.6680513343503078</v>
      </c>
      <c r="S25" s="25">
        <f t="shared" si="10"/>
        <v>0.6341916499567024</v>
      </c>
      <c r="T25" s="24">
        <f aca="true" t="shared" si="11" ref="T25:V28">E14-N25</f>
        <v>0.12264016036252368</v>
      </c>
      <c r="U25" s="25">
        <f t="shared" si="11"/>
        <v>0.07553859603293356</v>
      </c>
      <c r="V25" s="26">
        <f t="shared" si="11"/>
        <v>0.0700044902184157</v>
      </c>
      <c r="W25" s="25">
        <f aca="true" t="shared" si="12" ref="W25:Y28">Q25-E14</f>
        <v>0.09047810397680711</v>
      </c>
      <c r="X25" s="25">
        <f t="shared" si="12"/>
        <v>0.07136625147737963</v>
      </c>
      <c r="Y25" s="26">
        <f t="shared" si="12"/>
        <v>0.06752498329003576</v>
      </c>
    </row>
    <row r="26" spans="5:25" ht="12.75">
      <c r="E26" s="16"/>
      <c r="F26" s="19"/>
      <c r="G26" s="19"/>
      <c r="H26" s="16">
        <f t="shared" si="7"/>
        <v>50.189928050084845</v>
      </c>
      <c r="I26" s="19">
        <f t="shared" si="7"/>
        <v>170.46575259386518</v>
      </c>
      <c r="J26" s="20">
        <f t="shared" si="7"/>
        <v>169.9509670111238</v>
      </c>
      <c r="K26" s="19">
        <f t="shared" si="8"/>
        <v>1.0909090909090908</v>
      </c>
      <c r="L26" s="19">
        <f t="shared" si="8"/>
        <v>0.5635359116022098</v>
      </c>
      <c r="M26" s="19">
        <f t="shared" si="8"/>
        <v>0.9142857142857144</v>
      </c>
      <c r="N26" s="16">
        <f t="shared" si="9"/>
        <v>0.13679462329592013</v>
      </c>
      <c r="O26" s="19">
        <f t="shared" si="9"/>
        <v>0.29023264481032796</v>
      </c>
      <c r="P26" s="20">
        <f t="shared" si="9"/>
        <v>0.2136143416233786</v>
      </c>
      <c r="Q26" s="19">
        <f t="shared" si="10"/>
        <v>0.34991288763525097</v>
      </c>
      <c r="R26" s="19">
        <f t="shared" si="10"/>
        <v>0.4340840396949932</v>
      </c>
      <c r="S26" s="19">
        <f t="shared" si="10"/>
        <v>0.337776306783407</v>
      </c>
      <c r="T26" s="16">
        <f t="shared" si="11"/>
        <v>0.09047810397680714</v>
      </c>
      <c r="U26" s="19">
        <f t="shared" si="11"/>
        <v>0.06888337728911959</v>
      </c>
      <c r="V26" s="20">
        <f t="shared" si="11"/>
        <v>0.057814229805192796</v>
      </c>
      <c r="W26" s="19">
        <f t="shared" si="12"/>
        <v>0.1226401603625237</v>
      </c>
      <c r="X26" s="19">
        <f t="shared" si="12"/>
        <v>0.07496801759554567</v>
      </c>
      <c r="Y26" s="20">
        <f t="shared" si="12"/>
        <v>0.06634773535483557</v>
      </c>
    </row>
    <row r="27" spans="4:25" ht="12.75">
      <c r="D27" s="11"/>
      <c r="E27" s="16"/>
      <c r="F27" s="19"/>
      <c r="G27" s="19"/>
      <c r="H27" s="16">
        <f t="shared" si="7"/>
        <v>3.8262916864484846</v>
      </c>
      <c r="I27" s="19">
        <f t="shared" si="7"/>
        <v>27.04033822922431</v>
      </c>
      <c r="J27" s="20">
        <f t="shared" si="7"/>
        <v>94.96049082064762</v>
      </c>
      <c r="K27" s="19">
        <f t="shared" si="8"/>
        <v>2</v>
      </c>
      <c r="L27" s="19">
        <f t="shared" si="8"/>
        <v>1.867403314917127</v>
      </c>
      <c r="M27" s="19">
        <f t="shared" si="8"/>
        <v>1.5047619047619047</v>
      </c>
      <c r="N27" s="16">
        <f t="shared" si="9"/>
        <v>0.0013798841744324247</v>
      </c>
      <c r="O27" s="19">
        <f t="shared" si="9"/>
        <v>0.013546223663505035</v>
      </c>
      <c r="P27" s="20">
        <f t="shared" si="9"/>
        <v>0.08392671390108164</v>
      </c>
      <c r="Q27" s="19">
        <f t="shared" si="10"/>
        <v>0.06852907011817037</v>
      </c>
      <c r="R27" s="19">
        <f t="shared" si="10"/>
        <v>0.0740617146930145</v>
      </c>
      <c r="S27" s="19">
        <f t="shared" si="10"/>
        <v>0.17791576669571957</v>
      </c>
      <c r="T27" s="16">
        <f t="shared" si="11"/>
        <v>-0.0013798841744324247</v>
      </c>
      <c r="U27" s="19">
        <f t="shared" si="11"/>
        <v>0.019602947607213195</v>
      </c>
      <c r="V27" s="20">
        <f t="shared" si="11"/>
        <v>0.039882809908442174</v>
      </c>
      <c r="W27" s="19">
        <f t="shared" si="12"/>
        <v>0.06852907011817037</v>
      </c>
      <c r="X27" s="19">
        <f t="shared" si="12"/>
        <v>0.04091254342229626</v>
      </c>
      <c r="Y27" s="20">
        <f t="shared" si="12"/>
        <v>0.054106242886195755</v>
      </c>
    </row>
    <row r="28" spans="4:25" ht="12.75">
      <c r="D28" s="36"/>
      <c r="E28" s="21"/>
      <c r="F28" s="22"/>
      <c r="G28" s="22"/>
      <c r="H28" s="21">
        <f t="shared" si="7"/>
        <v>3.8262916864484846</v>
      </c>
      <c r="I28" s="22">
        <f t="shared" si="7"/>
        <v>11.747520549666298</v>
      </c>
      <c r="J28" s="23">
        <f t="shared" si="7"/>
        <v>34.61763367779048</v>
      </c>
      <c r="K28" s="22">
        <f t="shared" si="8"/>
        <v>2</v>
      </c>
      <c r="L28" s="22">
        <f t="shared" si="8"/>
        <v>1.9558011049723758</v>
      </c>
      <c r="M28" s="22">
        <f t="shared" si="8"/>
        <v>1.8476190476190477</v>
      </c>
      <c r="N28" s="21">
        <f t="shared" si="9"/>
        <v>0.0013798841744324247</v>
      </c>
      <c r="O28" s="22">
        <f t="shared" si="9"/>
        <v>0.001916211531383008</v>
      </c>
      <c r="P28" s="23">
        <f t="shared" si="9"/>
        <v>0.017820756553801786</v>
      </c>
      <c r="Q28" s="22">
        <f t="shared" si="10"/>
        <v>0.06852907011817037</v>
      </c>
      <c r="R28" s="22">
        <f t="shared" si="10"/>
        <v>0.043542244723630476</v>
      </c>
      <c r="S28" s="22">
        <f t="shared" si="10"/>
        <v>0.07640462133284007</v>
      </c>
      <c r="T28" s="21">
        <f t="shared" si="11"/>
        <v>-0.0013798841744324247</v>
      </c>
      <c r="U28" s="22">
        <f t="shared" si="11"/>
        <v>0.009133512225523069</v>
      </c>
      <c r="V28" s="23">
        <f t="shared" si="11"/>
        <v>0.020274481541436313</v>
      </c>
      <c r="W28" s="22">
        <f t="shared" si="12"/>
        <v>0.06852907011817037</v>
      </c>
      <c r="X28" s="22">
        <f t="shared" si="12"/>
        <v>0.0324925209667244</v>
      </c>
      <c r="Y28" s="23">
        <f t="shared" si="12"/>
        <v>0.03830938323760197</v>
      </c>
    </row>
    <row r="29" spans="5:25" ht="12.75">
      <c r="E29" s="42" t="s">
        <v>52</v>
      </c>
      <c r="F29" s="38"/>
      <c r="G29" s="38"/>
      <c r="H29" s="37" t="s">
        <v>51</v>
      </c>
      <c r="I29" s="38"/>
      <c r="J29" s="40"/>
      <c r="K29" s="41" t="s">
        <v>50</v>
      </c>
      <c r="L29" s="39"/>
      <c r="M29" s="22"/>
      <c r="N29" s="21"/>
      <c r="O29" s="22"/>
      <c r="P29" s="23"/>
      <c r="Q29" s="22"/>
      <c r="R29" s="22"/>
      <c r="S29" s="22"/>
      <c r="T29" s="21"/>
      <c r="U29" s="22"/>
      <c r="V29" s="23"/>
      <c r="W29" s="22"/>
      <c r="X29" s="22"/>
      <c r="Y29" s="23"/>
    </row>
    <row r="31" ht="12.75">
      <c r="A31" s="7" t="s">
        <v>42</v>
      </c>
    </row>
    <row r="33" spans="21:25" ht="12.75">
      <c r="U33" s="43"/>
      <c r="V33" s="43"/>
      <c r="W33" s="43"/>
      <c r="X33" s="43"/>
      <c r="Y33" s="43"/>
    </row>
    <row r="34" spans="21:25" ht="12.75">
      <c r="U34" s="43"/>
      <c r="V34" s="43"/>
      <c r="W34" s="43"/>
      <c r="X34" s="43"/>
      <c r="Y34" s="43"/>
    </row>
    <row r="36" ht="12.75">
      <c r="X36" s="43"/>
    </row>
    <row r="37" spans="21:24" ht="12.75">
      <c r="U37" s="43"/>
      <c r="X37" s="43"/>
    </row>
    <row r="58" ht="12.75">
      <c r="A58" s="7" t="s">
        <v>32</v>
      </c>
    </row>
    <row r="60" ht="12.75">
      <c r="A60" t="s">
        <v>77</v>
      </c>
    </row>
    <row r="61" ht="12.75">
      <c r="A61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G11" sqref="G11"/>
    </sheetView>
  </sheetViews>
  <sheetFormatPr defaultColWidth="9.140625" defaultRowHeight="12.75"/>
  <cols>
    <col min="1" max="1" width="15.140625" style="0" customWidth="1"/>
    <col min="2" max="2" width="11.8515625" style="0" customWidth="1"/>
  </cols>
  <sheetData>
    <row r="1" ht="15.75">
      <c r="A1" s="6" t="s">
        <v>74</v>
      </c>
    </row>
    <row r="2" spans="1:13" ht="12.75">
      <c r="A2" t="s">
        <v>76</v>
      </c>
      <c r="M2" t="s">
        <v>75</v>
      </c>
    </row>
    <row r="4" spans="2:24" ht="12.75">
      <c r="B4" s="24"/>
      <c r="C4" s="13" t="s">
        <v>35</v>
      </c>
      <c r="D4" s="25"/>
      <c r="E4" s="26"/>
      <c r="F4" s="13" t="s">
        <v>59</v>
      </c>
      <c r="G4" s="25"/>
      <c r="H4" s="25"/>
      <c r="I4" s="24"/>
      <c r="J4" s="25"/>
      <c r="K4" s="26"/>
      <c r="M4" s="24" t="s">
        <v>56</v>
      </c>
      <c r="N4" s="25"/>
      <c r="O4" s="25"/>
      <c r="P4" s="26"/>
      <c r="Q4" s="24" t="s">
        <v>57</v>
      </c>
      <c r="R4" s="25"/>
      <c r="S4" s="25"/>
      <c r="T4" s="26"/>
      <c r="U4" s="24" t="s">
        <v>58</v>
      </c>
      <c r="V4" s="25"/>
      <c r="W4" s="25"/>
      <c r="X4" s="26"/>
    </row>
    <row r="5" spans="2:24" ht="12.75">
      <c r="B5" s="16"/>
      <c r="C5" s="29" t="s">
        <v>28</v>
      </c>
      <c r="D5" s="30"/>
      <c r="E5" s="31"/>
      <c r="F5" s="29" t="s">
        <v>54</v>
      </c>
      <c r="G5" s="30"/>
      <c r="H5" s="30"/>
      <c r="I5" s="29" t="s">
        <v>55</v>
      </c>
      <c r="J5" s="30"/>
      <c r="K5" s="20"/>
      <c r="M5" s="29" t="s">
        <v>53</v>
      </c>
      <c r="N5" s="30" t="s">
        <v>67</v>
      </c>
      <c r="O5" s="30" t="s">
        <v>68</v>
      </c>
      <c r="P5" s="31"/>
      <c r="Q5" s="29" t="s">
        <v>53</v>
      </c>
      <c r="R5" s="30" t="s">
        <v>67</v>
      </c>
      <c r="S5" s="30" t="s">
        <v>68</v>
      </c>
      <c r="T5" s="20"/>
      <c r="U5" s="29" t="s">
        <v>53</v>
      </c>
      <c r="V5" s="30" t="s">
        <v>67</v>
      </c>
      <c r="W5" s="30" t="s">
        <v>68</v>
      </c>
      <c r="X5" s="20"/>
    </row>
    <row r="6" spans="2:24" ht="12.75">
      <c r="B6" s="34" t="str">
        <f>Wilson!A14</f>
        <v>‘cogitate’</v>
      </c>
      <c r="C6" s="50">
        <f>Wilson!E14</f>
        <v>0.7727272727272727</v>
      </c>
      <c r="D6" s="51">
        <f>Wilson!F14</f>
        <v>0.5966850828729282</v>
      </c>
      <c r="E6" s="52">
        <f>Wilson!G14</f>
        <v>0.5666666666666667</v>
      </c>
      <c r="F6" s="50">
        <f>Wilson!T14^2</f>
        <v>0.013092296456071078</v>
      </c>
      <c r="G6" s="51">
        <f>Wilson!U14^2</f>
        <v>0.00529371012742062</v>
      </c>
      <c r="H6" s="51">
        <f>Wilson!V14^2</f>
        <v>0.004573129871396547</v>
      </c>
      <c r="I6" s="50">
        <f>Wilson!W14^2</f>
        <v>0.007126786026420311</v>
      </c>
      <c r="J6" s="51">
        <f>Wilson!X14^2</f>
        <v>0.004725077173943988</v>
      </c>
      <c r="K6" s="52">
        <f>Wilson!Y14^2</f>
        <v>0.004254916800066921</v>
      </c>
      <c r="M6" s="50">
        <f>D6-C6</f>
        <v>-0.1760421898543445</v>
      </c>
      <c r="N6" s="51">
        <f>-SQRT(F6+J6)</f>
        <v>-0.13348173519255382</v>
      </c>
      <c r="O6" s="51">
        <f>SQRT(G6+I6)</f>
        <v>0.11144727970588125</v>
      </c>
      <c r="P6" s="26" t="str">
        <f>IF(M6&lt;N6,"- sig",IF(M6&gt;O6,"+ sig","ns"))</f>
        <v>- sig</v>
      </c>
      <c r="Q6" s="50">
        <f>E6-D6</f>
        <v>-0.030018416206261556</v>
      </c>
      <c r="R6" s="51">
        <f>-SQRT(G6+K6)</f>
        <v>-0.09771707592579477</v>
      </c>
      <c r="S6" s="51">
        <f>SQRT(H6+J6)</f>
        <v>0.09642721112497518</v>
      </c>
      <c r="T6" s="26" t="str">
        <f>IF(Q6&lt;R6,"- sig",IF(Q6&gt;S6,"+ sig","ns"))</f>
        <v>ns</v>
      </c>
      <c r="U6" s="50">
        <f>E6-C6</f>
        <v>-0.20606060606060606</v>
      </c>
      <c r="V6" s="25">
        <f>-SQRT(F6+K6)</f>
        <v>-0.13170881996334946</v>
      </c>
      <c r="W6" s="51">
        <f>SQRT(H6+I6)</f>
        <v>0.10816614950074195</v>
      </c>
      <c r="X6" s="26" t="str">
        <f>IF(U6&lt;V6,"- sig",IF(U6&gt;W6,"+ sig","ns"))</f>
        <v>- sig</v>
      </c>
    </row>
    <row r="7" spans="2:24" ht="12.75">
      <c r="B7" s="33" t="str">
        <f>Wilson!A15</f>
        <v>‘intend’</v>
      </c>
      <c r="C7" s="44">
        <f>Wilson!E15</f>
        <v>0.22727272727272727</v>
      </c>
      <c r="D7" s="45">
        <f>Wilson!F15</f>
        <v>0.35911602209944754</v>
      </c>
      <c r="E7" s="46">
        <f>Wilson!G15</f>
        <v>0.2714285714285714</v>
      </c>
      <c r="F7" s="44">
        <f>Wilson!T15^2</f>
        <v>0.007126786026420311</v>
      </c>
      <c r="G7" s="45">
        <f>Wilson!U15^2</f>
        <v>0.004394893076295571</v>
      </c>
      <c r="H7" s="45">
        <f>Wilson!V15^2</f>
        <v>0.003095565048289828</v>
      </c>
      <c r="I7" s="44">
        <f>Wilson!W15^2</f>
        <v>0.013092296456071083</v>
      </c>
      <c r="J7" s="45">
        <f>Wilson!X15^2</f>
        <v>0.005205592999558712</v>
      </c>
      <c r="K7" s="46">
        <f>Wilson!Y15^2</f>
        <v>0.0040768106279201214</v>
      </c>
      <c r="M7" s="44">
        <f>D7-C7</f>
        <v>0.13184329482672028</v>
      </c>
      <c r="N7" s="45">
        <f>-SQRT(F7+J7)</f>
        <v>-0.11105124504470457</v>
      </c>
      <c r="O7" s="45">
        <f>SQRT(G7+I7)</f>
        <v>0.13223913767250092</v>
      </c>
      <c r="P7" s="20" t="str">
        <f>IF(M7&lt;N7,"- sig",IF(M7&gt;O7,"+ sig","ns"))</f>
        <v>ns</v>
      </c>
      <c r="Q7" s="44">
        <f>E7-D7</f>
        <v>-0.08768745067087613</v>
      </c>
      <c r="R7" s="45">
        <f>-SQRT(G7+K7)</f>
        <v>-0.09204185843525593</v>
      </c>
      <c r="S7" s="45">
        <f>SQRT(H7+J7)</f>
        <v>0.09111069118302495</v>
      </c>
      <c r="T7" s="20" t="str">
        <f>IF(Q7&lt;R7,"- sig",IF(Q7&gt;S7,"+ sig","ns"))</f>
        <v>ns</v>
      </c>
      <c r="U7" s="44">
        <f>E7-C7</f>
        <v>0.04415584415584414</v>
      </c>
      <c r="V7" s="19">
        <f>-SQRT(F7+K7)</f>
        <v>-0.105847043673125</v>
      </c>
      <c r="W7" s="45">
        <f>SQRT(H7+I7)</f>
        <v>0.12723152716351757</v>
      </c>
      <c r="X7" s="20" t="str">
        <f>IF(U7&lt;V7,"- sig",IF(U7&gt;W7,"+ sig","ns"))</f>
        <v>ns</v>
      </c>
    </row>
    <row r="8" spans="2:24" ht="12.75">
      <c r="B8" s="33" t="str">
        <f>Wilson!A16</f>
        <v>quotative</v>
      </c>
      <c r="C8" s="44">
        <f>Wilson!E16</f>
        <v>0</v>
      </c>
      <c r="D8" s="45">
        <f>Wilson!F16</f>
        <v>0.03314917127071823</v>
      </c>
      <c r="E8" s="46">
        <f>Wilson!G16</f>
        <v>0.12380952380952381</v>
      </c>
      <c r="F8" s="44">
        <f>Wilson!T16^2</f>
        <v>0</v>
      </c>
      <c r="G8" s="45">
        <f>Wilson!U16^2</f>
        <v>0.0003193274083107537</v>
      </c>
      <c r="H8" s="45">
        <f>Wilson!V16^2</f>
        <v>0.0014364849730257895</v>
      </c>
      <c r="I8" s="44">
        <f>Wilson!W16^2</f>
        <v>0.003025258030043134</v>
      </c>
      <c r="J8" s="45">
        <f>Wilson!X16^2</f>
        <v>0.0013893710118399686</v>
      </c>
      <c r="K8" s="46">
        <f>Wilson!Y16^2</f>
        <v>0.0026436816385194926</v>
      </c>
      <c r="M8" s="44">
        <f>D8-C8</f>
        <v>0.03314917127071823</v>
      </c>
      <c r="N8" s="45">
        <f>-SQRT(F8+J8)</f>
        <v>-0.03727426742190876</v>
      </c>
      <c r="O8" s="45">
        <f>SQRT(G8+I8)</f>
        <v>0.0578323909098862</v>
      </c>
      <c r="P8" s="20" t="str">
        <f>IF(M8&lt;N8,"- sig",IF(M8&gt;O8,"+ sig","ns"))</f>
        <v>ns</v>
      </c>
      <c r="Q8" s="44">
        <f>E8-D8</f>
        <v>0.09066035253880558</v>
      </c>
      <c r="R8" s="45">
        <f>-SQRT(G8+K8)</f>
        <v>-0.05443352870088661</v>
      </c>
      <c r="S8" s="45">
        <f>SQRT(H8+J8)</f>
        <v>0.05315878088204956</v>
      </c>
      <c r="T8" s="20" t="str">
        <f>IF(Q8&lt;R8,"- sig",IF(Q8&gt;S8,"+ sig","ns"))</f>
        <v>+ sig</v>
      </c>
      <c r="U8" s="44">
        <f>E8-C8</f>
        <v>0.12380952380952381</v>
      </c>
      <c r="V8" s="19">
        <f>-SQRT(F8+K8)</f>
        <v>-0.051416744728925545</v>
      </c>
      <c r="W8" s="45">
        <f>SQRT(H8+I8)</f>
        <v>0.06679627985950208</v>
      </c>
      <c r="X8" s="20" t="str">
        <f>IF(U8&lt;V8,"- sig",IF(U8&gt;W8,"+ sig","ns"))</f>
        <v>+ sig</v>
      </c>
    </row>
    <row r="9" spans="2:24" ht="12.75">
      <c r="B9" s="35" t="str">
        <f>Wilson!A17</f>
        <v>interpretative</v>
      </c>
      <c r="C9" s="47">
        <f>Wilson!E17</f>
        <v>0</v>
      </c>
      <c r="D9" s="48">
        <f>Wilson!F17</f>
        <v>0.011049723756906077</v>
      </c>
      <c r="E9" s="49">
        <f>Wilson!G17</f>
        <v>0.0380952380952381</v>
      </c>
      <c r="F9" s="47">
        <f>Wilson!T17^2</f>
        <v>0</v>
      </c>
      <c r="G9" s="48">
        <f>Wilson!U17^2</f>
        <v>6.422796410605175E-05</v>
      </c>
      <c r="H9" s="48">
        <f>Wilson!V17^2</f>
        <v>0.00034847809042546816</v>
      </c>
      <c r="I9" s="47">
        <f>Wilson!W17^2</f>
        <v>0.003025258030043134</v>
      </c>
      <c r="J9" s="48">
        <f>Wilson!X17^2</f>
        <v>0.000803004037285523</v>
      </c>
      <c r="K9" s="49">
        <f>Wilson!Y17^2</f>
        <v>0.0012434694921999079</v>
      </c>
      <c r="M9" s="47">
        <f>D9-C9</f>
        <v>0.011049723756906077</v>
      </c>
      <c r="N9" s="48">
        <f>-SQRT(F9+J9)</f>
        <v>-0.02833732586687606</v>
      </c>
      <c r="O9" s="48">
        <f>SQRT(G9+I9)</f>
        <v>0.05558314487458573</v>
      </c>
      <c r="P9" s="23" t="str">
        <f>IF(M9&lt;N9,"- sig",IF(M9&gt;O9,"+ sig","ns"))</f>
        <v>ns</v>
      </c>
      <c r="Q9" s="47">
        <f>E9-D9</f>
        <v>0.027045514338332022</v>
      </c>
      <c r="R9" s="48">
        <f>-SQRT(G9+K9)</f>
        <v>-0.036162099722028856</v>
      </c>
      <c r="S9" s="48">
        <f>SQRT(H9+J9)</f>
        <v>0.03393349566005529</v>
      </c>
      <c r="T9" s="23" t="str">
        <f>IF(Q9&lt;R9,"- sig",IF(Q9&gt;S9,"+ sig","ns"))</f>
        <v>ns</v>
      </c>
      <c r="U9" s="47">
        <f>E9-C9</f>
        <v>0.0380952380952381</v>
      </c>
      <c r="V9" s="22">
        <f>-SQRT(F9+K9)</f>
        <v>-0.03526286279075917</v>
      </c>
      <c r="W9" s="48">
        <f>SQRT(H9+I9)</f>
        <v>0.05808387143147917</v>
      </c>
      <c r="X9" s="23" t="str">
        <f>IF(U9&lt;V9,"- sig",IF(U9&gt;W9,"+ sig","ns"))</f>
        <v>ns</v>
      </c>
    </row>
    <row r="11" spans="1:5" ht="12.75">
      <c r="A11" s="7" t="s">
        <v>73</v>
      </c>
      <c r="C11" s="62" t="s">
        <v>64</v>
      </c>
      <c r="D11" s="63" t="s">
        <v>62</v>
      </c>
      <c r="E11" s="65" t="s">
        <v>63</v>
      </c>
    </row>
    <row r="12" spans="3:5" ht="12.75">
      <c r="C12" s="59">
        <f>U6/$C6</f>
        <v>-0.26666666666666666</v>
      </c>
      <c r="D12" s="60">
        <f>-V6/$C6</f>
        <v>0.170446708187864</v>
      </c>
      <c r="E12" s="61">
        <f>W6/$C6</f>
        <v>0.13997972288331312</v>
      </c>
    </row>
    <row r="13" spans="3:5" ht="12.75">
      <c r="C13" s="53">
        <f>U7/$C7</f>
        <v>0.19428571428571423</v>
      </c>
      <c r="D13" s="54">
        <f>-V7/$C7</f>
        <v>0.46572699216175</v>
      </c>
      <c r="E13" s="55">
        <f>W7/$C7</f>
        <v>0.5598187195194774</v>
      </c>
    </row>
    <row r="14" spans="3:5" ht="12.75">
      <c r="C14" s="53" t="e">
        <f>U8/$C8</f>
        <v>#DIV/0!</v>
      </c>
      <c r="D14" s="54" t="e">
        <f>V8/$C8</f>
        <v>#DIV/0!</v>
      </c>
      <c r="E14" s="55" t="e">
        <f>W8/$C8</f>
        <v>#DIV/0!</v>
      </c>
    </row>
    <row r="15" spans="3:5" ht="12.75">
      <c r="C15" s="56" t="e">
        <f>U9/$C9</f>
        <v>#DIV/0!</v>
      </c>
      <c r="D15" s="57" t="e">
        <f>V9/$C9</f>
        <v>#DIV/0!</v>
      </c>
      <c r="E15" s="58" t="e">
        <f>W9/$C9</f>
        <v>#DIV/0!</v>
      </c>
    </row>
    <row r="17" spans="1:10" ht="12.75">
      <c r="A17" s="7" t="s">
        <v>72</v>
      </c>
      <c r="C17" s="62" t="s">
        <v>65</v>
      </c>
      <c r="D17" s="63" t="s">
        <v>66</v>
      </c>
      <c r="E17" s="63" t="s">
        <v>53</v>
      </c>
      <c r="F17" s="63" t="s">
        <v>63</v>
      </c>
      <c r="G17" s="63" t="s">
        <v>69</v>
      </c>
      <c r="H17" s="63" t="s">
        <v>70</v>
      </c>
      <c r="I17" s="64" t="s">
        <v>71</v>
      </c>
      <c r="J17" s="65" t="s">
        <v>68</v>
      </c>
    </row>
    <row r="18" spans="3:10" ht="12.75">
      <c r="C18" s="50">
        <f>C6</f>
        <v>0.7727272727272727</v>
      </c>
      <c r="D18" s="51">
        <f>E6</f>
        <v>0.5666666666666667</v>
      </c>
      <c r="E18" s="51">
        <f>D18-C18</f>
        <v>-0.20606060606060606</v>
      </c>
      <c r="F18" s="51">
        <f>MIN(C18,D18)</f>
        <v>0.5666666666666667</v>
      </c>
      <c r="G18" s="51">
        <f>MAX(E18,0)</f>
        <v>0</v>
      </c>
      <c r="H18" s="51">
        <f>MAX(-E18,0)</f>
        <v>0.20606060606060606</v>
      </c>
      <c r="I18" s="51">
        <f>-V6</f>
        <v>0.13170881996334946</v>
      </c>
      <c r="J18" s="52">
        <f>W6</f>
        <v>0.10816614950074195</v>
      </c>
    </row>
    <row r="19" spans="3:10" ht="12.75">
      <c r="C19" s="44">
        <f>C7</f>
        <v>0.22727272727272727</v>
      </c>
      <c r="D19" s="45">
        <f>E7</f>
        <v>0.2714285714285714</v>
      </c>
      <c r="E19" s="45">
        <f>D19-C19</f>
        <v>0.04415584415584414</v>
      </c>
      <c r="F19" s="45">
        <f>MIN(C19,D19)</f>
        <v>0.22727272727272727</v>
      </c>
      <c r="G19" s="45">
        <f>MAX(E19,0)</f>
        <v>0.04415584415584414</v>
      </c>
      <c r="H19" s="45">
        <f>MAX(-E19,0)</f>
        <v>0</v>
      </c>
      <c r="I19" s="45">
        <f>-V7</f>
        <v>0.105847043673125</v>
      </c>
      <c r="J19" s="46">
        <f>W7</f>
        <v>0.12723152716351757</v>
      </c>
    </row>
    <row r="20" spans="3:10" ht="12.75">
      <c r="C20" s="44">
        <f>C8</f>
        <v>0</v>
      </c>
      <c r="D20" s="45">
        <f>E8</f>
        <v>0.12380952380952381</v>
      </c>
      <c r="E20" s="45">
        <f>D20-C20</f>
        <v>0.12380952380952381</v>
      </c>
      <c r="F20" s="45">
        <f>MIN(C20,D20)</f>
        <v>0</v>
      </c>
      <c r="G20" s="45">
        <f>MAX(E20,0)</f>
        <v>0.12380952380952381</v>
      </c>
      <c r="H20" s="45">
        <f>MAX(-E20,0)</f>
        <v>0</v>
      </c>
      <c r="I20" s="45">
        <f>-V8</f>
        <v>0.051416744728925545</v>
      </c>
      <c r="J20" s="46">
        <f>W8</f>
        <v>0.06679627985950208</v>
      </c>
    </row>
    <row r="21" spans="3:10" ht="12.75">
      <c r="C21" s="47">
        <f>C9</f>
        <v>0</v>
      </c>
      <c r="D21" s="48">
        <f>E9</f>
        <v>0.0380952380952381</v>
      </c>
      <c r="E21" s="48">
        <f>D21-C21</f>
        <v>0.0380952380952381</v>
      </c>
      <c r="F21" s="48">
        <f>MIN(C21,D21)</f>
        <v>0</v>
      </c>
      <c r="G21" s="48">
        <f>MAX(E21,0)</f>
        <v>0.0380952380952381</v>
      </c>
      <c r="H21" s="48">
        <f>MAX(-E21,0)</f>
        <v>0</v>
      </c>
      <c r="I21" s="48">
        <f>-V9</f>
        <v>0.03526286279075917</v>
      </c>
      <c r="J21" s="49">
        <f>W9</f>
        <v>0.05808387143147917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B23" sqref="B23"/>
    </sheetView>
  </sheetViews>
  <sheetFormatPr defaultColWidth="9.140625" defaultRowHeight="12.75"/>
  <cols>
    <col min="2" max="2" width="17.28125" style="0" bestFit="1" customWidth="1"/>
    <col min="9" max="9" width="9.28125" style="0" customWidth="1"/>
    <col min="10" max="10" width="8.28125" style="0" customWidth="1"/>
    <col min="11" max="11" width="8.8515625" style="0" customWidth="1"/>
    <col min="13" max="13" width="7.8515625" style="0" customWidth="1"/>
    <col min="15" max="15" width="9.421875" style="0" customWidth="1"/>
  </cols>
  <sheetData>
    <row r="1" ht="15.75">
      <c r="A1" s="6" t="s">
        <v>78</v>
      </c>
    </row>
    <row r="2" ht="12.75">
      <c r="A2" t="s">
        <v>76</v>
      </c>
    </row>
    <row r="4" spans="2:13" ht="12.75">
      <c r="B4" s="24"/>
      <c r="C4" s="13" t="s">
        <v>34</v>
      </c>
      <c r="D4" s="25"/>
      <c r="E4" s="26"/>
      <c r="F4" s="13" t="s">
        <v>87</v>
      </c>
      <c r="G4" s="25"/>
      <c r="H4" s="26"/>
      <c r="L4" s="12" t="s">
        <v>24</v>
      </c>
      <c r="M4">
        <f>Wilson!C21</f>
        <v>1.95996</v>
      </c>
    </row>
    <row r="5" spans="2:13" ht="12.75">
      <c r="B5" s="16"/>
      <c r="C5" s="84" t="s">
        <v>0</v>
      </c>
      <c r="D5" s="17" t="s">
        <v>2</v>
      </c>
      <c r="E5" s="18" t="s">
        <v>3</v>
      </c>
      <c r="F5" s="29" t="s">
        <v>28</v>
      </c>
      <c r="G5" s="30"/>
      <c r="H5" s="31"/>
      <c r="L5" s="12" t="s">
        <v>43</v>
      </c>
      <c r="M5">
        <f>M4^2</f>
        <v>3.8414432015999997</v>
      </c>
    </row>
    <row r="6" spans="2:12" ht="12.75">
      <c r="B6" s="24" t="str">
        <f>Wilson!A14</f>
        <v>‘cogitate’</v>
      </c>
      <c r="C6" s="66">
        <f>Wilson!B14</f>
        <v>51</v>
      </c>
      <c r="D6" s="67">
        <f>Wilson!C14</f>
        <v>108</v>
      </c>
      <c r="E6" s="68">
        <f>Wilson!D14</f>
        <v>119</v>
      </c>
      <c r="F6" s="51">
        <f>Wilson!E14</f>
        <v>0.7727272727272727</v>
      </c>
      <c r="G6" s="51">
        <f>Wilson!F14</f>
        <v>0.5966850828729282</v>
      </c>
      <c r="H6" s="52">
        <f>Wilson!G14</f>
        <v>0.5666666666666667</v>
      </c>
      <c r="L6" s="12"/>
    </row>
    <row r="7" spans="2:8" ht="12.75">
      <c r="B7" s="16" t="str">
        <f>Wilson!A15</f>
        <v>‘intend’</v>
      </c>
      <c r="C7" s="69">
        <f>Wilson!B15</f>
        <v>15</v>
      </c>
      <c r="D7" s="70">
        <f>Wilson!C15</f>
        <v>65</v>
      </c>
      <c r="E7" s="71">
        <f>Wilson!D15</f>
        <v>57</v>
      </c>
      <c r="F7" s="45">
        <f>Wilson!E15</f>
        <v>0.22727272727272727</v>
      </c>
      <c r="G7" s="45">
        <f>Wilson!F15</f>
        <v>0.35911602209944754</v>
      </c>
      <c r="H7" s="46">
        <f>Wilson!G15</f>
        <v>0.2714285714285714</v>
      </c>
    </row>
    <row r="8" spans="2:8" ht="12.75">
      <c r="B8" s="16" t="str">
        <f>Wilson!A16</f>
        <v>quotative</v>
      </c>
      <c r="C8" s="69">
        <f>Wilson!B16</f>
        <v>0</v>
      </c>
      <c r="D8" s="70">
        <f>Wilson!C16</f>
        <v>6</v>
      </c>
      <c r="E8" s="71">
        <f>Wilson!D16</f>
        <v>26</v>
      </c>
      <c r="F8" s="45">
        <f>Wilson!E16</f>
        <v>0</v>
      </c>
      <c r="G8" s="45">
        <f>Wilson!F16</f>
        <v>0.03314917127071823</v>
      </c>
      <c r="H8" s="46">
        <f>Wilson!G16</f>
        <v>0.12380952380952381</v>
      </c>
    </row>
    <row r="9" spans="2:8" ht="12.75">
      <c r="B9" s="21" t="str">
        <f>Wilson!A17</f>
        <v>interpretative</v>
      </c>
      <c r="C9" s="72">
        <f>Wilson!B17</f>
        <v>0</v>
      </c>
      <c r="D9" s="73">
        <f>Wilson!C17</f>
        <v>2</v>
      </c>
      <c r="E9" s="74">
        <f>Wilson!D17</f>
        <v>8</v>
      </c>
      <c r="F9" s="48">
        <f>Wilson!E17</f>
        <v>0</v>
      </c>
      <c r="G9" s="48">
        <f>Wilson!F17</f>
        <v>0.011049723756906077</v>
      </c>
      <c r="H9" s="49">
        <f>Wilson!G17</f>
        <v>0.0380952380952381</v>
      </c>
    </row>
    <row r="11" ht="15.75">
      <c r="B11" s="85" t="s">
        <v>91</v>
      </c>
    </row>
    <row r="12" spans="2:18" ht="12.75">
      <c r="B12" s="24"/>
      <c r="C12" s="13" t="s">
        <v>85</v>
      </c>
      <c r="D12" s="14"/>
      <c r="E12" s="15"/>
      <c r="F12" s="14" t="s">
        <v>84</v>
      </c>
      <c r="G12" s="14"/>
      <c r="H12" s="14"/>
      <c r="I12" s="13" t="s">
        <v>89</v>
      </c>
      <c r="J12" s="14"/>
      <c r="K12" s="15"/>
      <c r="L12" s="17"/>
      <c r="M12" s="13" t="s">
        <v>82</v>
      </c>
      <c r="N12" s="15"/>
      <c r="O12" s="14"/>
      <c r="P12" s="14"/>
      <c r="Q12" s="25"/>
      <c r="R12" s="26"/>
    </row>
    <row r="13" spans="2:18" ht="12.75">
      <c r="B13" s="16"/>
      <c r="C13" s="29" t="s">
        <v>86</v>
      </c>
      <c r="D13" s="30"/>
      <c r="E13" s="31"/>
      <c r="F13" s="30" t="s">
        <v>65</v>
      </c>
      <c r="G13" s="30"/>
      <c r="H13" s="30"/>
      <c r="I13" s="29" t="s">
        <v>88</v>
      </c>
      <c r="J13" s="17"/>
      <c r="K13" s="18"/>
      <c r="L13" s="17"/>
      <c r="M13" s="84" t="str">
        <f>C5</f>
        <v>1920s</v>
      </c>
      <c r="N13" s="41"/>
      <c r="O13" s="17" t="str">
        <f>D5</f>
        <v>1960s</v>
      </c>
      <c r="P13" s="17"/>
      <c r="Q13" s="19" t="str">
        <f>E5</f>
        <v>2000s</v>
      </c>
      <c r="R13" s="20"/>
    </row>
    <row r="14" spans="2:18" ht="12.75">
      <c r="B14" s="82" t="s">
        <v>79</v>
      </c>
      <c r="C14" s="66">
        <f>C6+C7</f>
        <v>66</v>
      </c>
      <c r="D14" s="67">
        <f>D6+D7</f>
        <v>173</v>
      </c>
      <c r="E14" s="68">
        <f>E6+E7</f>
        <v>176</v>
      </c>
      <c r="F14" s="51">
        <f>C6/C14</f>
        <v>0.7727272727272727</v>
      </c>
      <c r="G14" s="51">
        <f>D6/(D6+D7)</f>
        <v>0.6242774566473989</v>
      </c>
      <c r="H14" s="51">
        <f>E6/(E6+E7)</f>
        <v>0.6761363636363636</v>
      </c>
      <c r="I14" s="50">
        <f>SQRT(1/(4*C14))</f>
        <v>0.06154574548966637</v>
      </c>
      <c r="J14" s="51">
        <f>SQRT(1/(4*D14))</f>
        <v>0.038014296063485276</v>
      </c>
      <c r="K14" s="52">
        <f>SQRT(1/(4*E14))</f>
        <v>0.037688918072220454</v>
      </c>
      <c r="L14" s="81"/>
      <c r="M14" s="80">
        <f>IF(C14=0,"no data",CHIDIST(((F14-0.5)/I14)^2,1))</f>
        <v>9.366941388425525E-06</v>
      </c>
      <c r="N14" s="20" t="str">
        <f>IF(M14&gt;0.05,"ns",IF(C6&gt;C7,"sig+","sig-"))</f>
        <v>sig+</v>
      </c>
      <c r="O14" s="80">
        <f>IF(D14=0,"no data",CHIDIST(((G14-0.5)/J14)^2,1))</f>
        <v>0.0010784081195492187</v>
      </c>
      <c r="P14" s="26" t="str">
        <f>IF(O14&gt;0.05,"ns",IF(D6&gt;D7,"sig+","sig-"))</f>
        <v>sig+</v>
      </c>
      <c r="Q14" s="83">
        <f>IF(E14=0,"no data",CHIDIST(((H14-0.5)/K14)^2,1))</f>
        <v>2.9621669861377607E-06</v>
      </c>
      <c r="R14" s="26" t="str">
        <f>IF(Q14&gt;0.05,"ns",IF(E6&gt;E7,"sig+","sig-"))</f>
        <v>sig+</v>
      </c>
    </row>
    <row r="15" spans="2:18" ht="12.75">
      <c r="B15" s="75" t="s">
        <v>80</v>
      </c>
      <c r="C15" s="69">
        <f>C7+C8</f>
        <v>15</v>
      </c>
      <c r="D15" s="70">
        <f>D7+D8</f>
        <v>71</v>
      </c>
      <c r="E15" s="71">
        <f>E7+E8</f>
        <v>83</v>
      </c>
      <c r="F15" s="45">
        <f>C7/(C7+C8)</f>
        <v>1</v>
      </c>
      <c r="G15" s="45">
        <f>D7/(D7+D8)</f>
        <v>0.9154929577464789</v>
      </c>
      <c r="H15" s="45">
        <f>E7/(E7+E8)</f>
        <v>0.6867469879518072</v>
      </c>
      <c r="I15" s="44">
        <f>SQRT(1/(4*C15))</f>
        <v>0.12909944487358055</v>
      </c>
      <c r="J15" s="45">
        <f>SQRT(1/(4*D15))</f>
        <v>0.05933908290969267</v>
      </c>
      <c r="K15" s="46">
        <f>SQRT(1/(4*E15))</f>
        <v>0.05488212999484517</v>
      </c>
      <c r="L15" s="81"/>
      <c r="M15" s="78">
        <f>IF(C15=0,"no data",CHIDIST(((F15-0.5)/I15)^2,1))</f>
        <v>0.00010751117870222261</v>
      </c>
      <c r="N15" s="20" t="str">
        <f>IF(M15&gt;0.05,"ns",IF(C7&gt;C8,"sig+","sig-"))</f>
        <v>sig+</v>
      </c>
      <c r="O15" s="78">
        <f>IF(D15=0,"no data",CHIDIST(((G15-0.5)/J15)^2,1))</f>
        <v>2.5231285466604715E-12</v>
      </c>
      <c r="P15" s="20" t="str">
        <f>IF(O15&gt;0.05,"ns",IF(D7&gt;D8,"sig+","sig-"))</f>
        <v>sig+</v>
      </c>
      <c r="Q15" s="76">
        <f>IF(E15=0,"no data",CHIDIST(((H15-0.5)/K15)^2,1))</f>
        <v>0.000667254405717401</v>
      </c>
      <c r="R15" s="20" t="str">
        <f>IF(Q15&gt;0.05,"ns",IF(E7&gt;E8,"sig+","sig-"))</f>
        <v>sig+</v>
      </c>
    </row>
    <row r="16" spans="2:18" ht="12.75">
      <c r="B16" s="21" t="s">
        <v>81</v>
      </c>
      <c r="C16" s="72">
        <f>C8+C9</f>
        <v>0</v>
      </c>
      <c r="D16" s="73">
        <f>D8+D9</f>
        <v>8</v>
      </c>
      <c r="E16" s="74">
        <f>E8+E9</f>
        <v>34</v>
      </c>
      <c r="F16" s="48" t="e">
        <f>C8/(C8+C9)</f>
        <v>#DIV/0!</v>
      </c>
      <c r="G16" s="48">
        <f>D8/(D8+D9)</f>
        <v>0.75</v>
      </c>
      <c r="H16" s="48">
        <f>E8/(E8+E9)</f>
        <v>0.7647058823529411</v>
      </c>
      <c r="I16" s="47" t="e">
        <f>SQRT(1/(4*C16))</f>
        <v>#DIV/0!</v>
      </c>
      <c r="J16" s="48">
        <f>SQRT(1/(4*D16))</f>
        <v>0.1767766952966369</v>
      </c>
      <c r="K16" s="49">
        <f>SQRT(1/(4*E16))</f>
        <v>0.08574929257125442</v>
      </c>
      <c r="L16" s="19"/>
      <c r="M16" s="79" t="str">
        <f>IF(C16=0,"no data",CHIDIST(((F16-0.5)/I16)^2,1))</f>
        <v>no data</v>
      </c>
      <c r="N16" s="23" t="str">
        <f>IF(M16&gt;0.05,"ns",IF(C8&gt;C9,"sig+","sig-"))</f>
        <v>ns</v>
      </c>
      <c r="O16" s="79">
        <f>IF(D16=0,"no data",CHIDIST(((G16-0.5)/J16)^2,1))</f>
        <v>0.1572992648254449</v>
      </c>
      <c r="P16" s="23" t="str">
        <f>IF(O16&gt;0.05,"ns",IF(D8&gt;D9,"sig+","sig-"))</f>
        <v>ns</v>
      </c>
      <c r="Q16" s="77">
        <f>IF(E16=0,"no data",CHIDIST(((H16-0.5)/K16)^2,1))</f>
        <v>0.002022049226827751</v>
      </c>
      <c r="R16" s="23" t="str">
        <f>IF(Q16&gt;0.05,"ns",IF(E8&gt;E9,"sig+","sig-"))</f>
        <v>sig+</v>
      </c>
    </row>
    <row r="19" ht="15.75">
      <c r="B19" s="6" t="s">
        <v>92</v>
      </c>
    </row>
    <row r="20" spans="3:23" ht="12.75">
      <c r="C20" s="62" t="s">
        <v>90</v>
      </c>
      <c r="D20" s="63"/>
      <c r="E20" s="63"/>
      <c r="F20" s="62" t="s">
        <v>25</v>
      </c>
      <c r="G20" s="63"/>
      <c r="H20" s="65"/>
      <c r="I20" s="63" t="s">
        <v>26</v>
      </c>
      <c r="J20" s="63"/>
      <c r="K20" s="63"/>
      <c r="L20" s="62" t="s">
        <v>44</v>
      </c>
      <c r="M20" s="63"/>
      <c r="N20" s="65"/>
      <c r="O20" s="63" t="s">
        <v>45</v>
      </c>
      <c r="P20" s="63"/>
      <c r="Q20" s="25"/>
      <c r="R20" s="24" t="s">
        <v>21</v>
      </c>
      <c r="S20" s="25"/>
      <c r="T20" s="26"/>
      <c r="U20" s="25" t="s">
        <v>22</v>
      </c>
      <c r="V20" s="25"/>
      <c r="W20" s="26"/>
    </row>
    <row r="21" spans="3:23" ht="12.75">
      <c r="C21" s="50">
        <f>$M$5/C14</f>
        <v>0.05820368487272727</v>
      </c>
      <c r="D21" s="51">
        <f>$M$5/D14</f>
        <v>0.02220487399768786</v>
      </c>
      <c r="E21" s="51">
        <f>$M$5/E14</f>
        <v>0.021826381827272725</v>
      </c>
      <c r="F21" s="50">
        <f>(F14+C21/2)/(1+C21)</f>
        <v>0.7577266329970059</v>
      </c>
      <c r="G21" s="51">
        <f>(G14+D21/2)/(1+D21)</f>
        <v>0.6215778361155417</v>
      </c>
      <c r="H21" s="52">
        <f>(H14+E21/2)/(1+E21)</f>
        <v>0.6723740615518159</v>
      </c>
      <c r="I21" s="51">
        <f>$M$4*SQRT((F14*(1-F14)+C21/4)/C14)/(1+C21)</f>
        <v>0.09942093365548543</v>
      </c>
      <c r="J21" s="51">
        <f>$M$4*SQRT((G14*(1-G14)+D21/4)/D14)/(1+D21)</f>
        <v>0.07143121150824029</v>
      </c>
      <c r="K21" s="51">
        <f>$M$4*SQRT((H14*(1-H14)+E21/4)/E14)/(1+E21)</f>
        <v>0.06849465948007909</v>
      </c>
      <c r="L21" s="50">
        <f>F21-I21</f>
        <v>0.6583056993415205</v>
      </c>
      <c r="M21" s="51">
        <f>G21-J21</f>
        <v>0.5501466246073015</v>
      </c>
      <c r="N21" s="52">
        <f>H21-K21</f>
        <v>0.6038794020717368</v>
      </c>
      <c r="O21" s="51">
        <f>F21+I21</f>
        <v>0.8571475666524914</v>
      </c>
      <c r="P21" s="51">
        <f aca="true" t="shared" si="0" ref="P21:Q23">G21+J21</f>
        <v>0.693009047623782</v>
      </c>
      <c r="Q21" s="51">
        <f>H21+K21</f>
        <v>0.7408687210318949</v>
      </c>
      <c r="R21" s="50">
        <f>F14-L21</f>
        <v>0.1144215733857522</v>
      </c>
      <c r="S21" s="51">
        <f>G14-M21</f>
        <v>0.0741308320400974</v>
      </c>
      <c r="T21" s="52">
        <f>H14-N21</f>
        <v>0.0722569615646268</v>
      </c>
      <c r="U21" s="51">
        <f>O21-F14</f>
        <v>0.08442029392521866</v>
      </c>
      <c r="V21" s="51">
        <f>P21-G14</f>
        <v>0.06873159097638315</v>
      </c>
      <c r="W21" s="52">
        <f>Q21-H14</f>
        <v>0.06473235739553129</v>
      </c>
    </row>
    <row r="22" spans="3:23" ht="12.75">
      <c r="C22" s="44">
        <f>$M$5/C15</f>
        <v>0.25609621344</v>
      </c>
      <c r="D22" s="45">
        <f>$M$5/D15</f>
        <v>0.05410483382535211</v>
      </c>
      <c r="E22" s="45">
        <f>$M$5/E15</f>
        <v>0.04628244821204819</v>
      </c>
      <c r="F22" s="44">
        <f>(F15+C22/2)/(1+C22)</f>
        <v>0.8980586794626808</v>
      </c>
      <c r="G22" s="45">
        <f>(G15+D22/2)/(1+D22)</f>
        <v>0.8941666373340237</v>
      </c>
      <c r="H22" s="46">
        <f>(H15+E22/2)/(1+E22)</f>
        <v>0.6784862092171499</v>
      </c>
      <c r="I22" s="45">
        <f>$M$4*SQRT((F15*(1-F15)+C22/4)/C15)/(1+C22)</f>
        <v>0.10194132053731923</v>
      </c>
      <c r="J22" s="45">
        <f>$M$4*SQRT((G15*(1-G15)+D22/4)/D15)/(1+D22)</f>
        <v>0.06652679572601948</v>
      </c>
      <c r="K22" s="45">
        <f>$M$4*SQRT((H15*(1-H15)+E22/4)/E15)/(1+E22)</f>
        <v>0.09789969026291853</v>
      </c>
      <c r="L22" s="44">
        <f>F22-I22</f>
        <v>0.7961173589253616</v>
      </c>
      <c r="M22" s="45">
        <f>G22-J22</f>
        <v>0.8276398416080042</v>
      </c>
      <c r="N22" s="46">
        <f>H22-K22</f>
        <v>0.5805865189542313</v>
      </c>
      <c r="O22" s="45">
        <f>F22+I22</f>
        <v>1</v>
      </c>
      <c r="P22" s="45">
        <f t="shared" si="0"/>
        <v>0.9606934330600432</v>
      </c>
      <c r="Q22" s="45">
        <f>H22+K22</f>
        <v>0.7763858994800684</v>
      </c>
      <c r="R22" s="44">
        <f>F15-L22</f>
        <v>0.20388264107463838</v>
      </c>
      <c r="S22" s="45">
        <f>G15-M22</f>
        <v>0.08785311613847469</v>
      </c>
      <c r="T22" s="46">
        <f>H15-N22</f>
        <v>0.10616046899757592</v>
      </c>
      <c r="U22" s="45">
        <f>O22-F15</f>
        <v>0</v>
      </c>
      <c r="V22" s="45">
        <f>P22-G15</f>
        <v>0.0452004753135643</v>
      </c>
      <c r="W22" s="46">
        <f>Q22-H15</f>
        <v>0.0896389115282612</v>
      </c>
    </row>
    <row r="23" spans="3:23" ht="12.75">
      <c r="C23" s="47" t="e">
        <f>$M$5/C16</f>
        <v>#DIV/0!</v>
      </c>
      <c r="D23" s="48">
        <f>$M$5/D16</f>
        <v>0.48018040019999997</v>
      </c>
      <c r="E23" s="48">
        <f>$M$5/E16</f>
        <v>0.11298362357647058</v>
      </c>
      <c r="F23" s="47" t="e">
        <f>(F16+C23/2)/(1+C23)</f>
        <v>#DIV/0!</v>
      </c>
      <c r="G23" s="48">
        <f>(G16+D23/2)/(1+D23)</f>
        <v>0.6688983315589238</v>
      </c>
      <c r="H23" s="49">
        <f>(H16+E23/2)/(1+E23)</f>
        <v>0.7378344808905032</v>
      </c>
      <c r="I23" s="48" t="e">
        <f>$M$4*SQRT((F16*(1-F16)+C23/4)/C16)/(1+C23)</f>
        <v>#DIV/0!</v>
      </c>
      <c r="J23" s="48">
        <f>$M$4*SQRT((G16*(1-G16)+D23/4)/D16)/(1+D23)</f>
        <v>0.25962228709171614</v>
      </c>
      <c r="K23" s="48">
        <f>$M$4*SQRT((H16*(1-H16)+E23/4)/E16)/(1+E23)</f>
        <v>0.13779550068132332</v>
      </c>
      <c r="L23" s="47" t="e">
        <f>F23-I23</f>
        <v>#DIV/0!</v>
      </c>
      <c r="M23" s="48">
        <f>G23-J23</f>
        <v>0.4092760444672076</v>
      </c>
      <c r="N23" s="49">
        <f>H23-K23</f>
        <v>0.6000389802091799</v>
      </c>
      <c r="O23" s="48" t="e">
        <f>F23+I23</f>
        <v>#DIV/0!</v>
      </c>
      <c r="P23" s="48">
        <f t="shared" si="0"/>
        <v>0.9285206186506398</v>
      </c>
      <c r="Q23" s="48">
        <f>H23+K23</f>
        <v>0.8756299815718265</v>
      </c>
      <c r="R23" s="47" t="e">
        <f>F16-L23</f>
        <v>#DIV/0!</v>
      </c>
      <c r="S23" s="48">
        <f>G16-M23</f>
        <v>0.3407239555327924</v>
      </c>
      <c r="T23" s="49">
        <f>H16-N23</f>
        <v>0.16466690214376123</v>
      </c>
      <c r="U23" s="48" t="e">
        <f>O23-F16</f>
        <v>#DIV/0!</v>
      </c>
      <c r="V23" s="48">
        <f>P23-G16</f>
        <v>0.17852061865063984</v>
      </c>
      <c r="W23" s="49">
        <f>Q23-H16</f>
        <v>0.11092409921888535</v>
      </c>
    </row>
    <row r="31" ht="12.75">
      <c r="B31" t="s">
        <v>83</v>
      </c>
    </row>
    <row r="33" ht="12.75">
      <c r="B33" t="s">
        <v>93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2012-04-03T07:26:18Z</dcterms:created>
  <dcterms:modified xsi:type="dcterms:W3CDTF">2012-07-06T14:03:10Z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