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4240" windowHeight="6780" activeTab="1"/>
  </bookViews>
  <sheets>
    <sheet name="analysis of trend (seq)" sheetId="1" r:id="rId1"/>
    <sheet name="seq" sheetId="2" r:id="rId2"/>
    <sheet name="seq+cj" sheetId="3" r:id="rId3"/>
    <sheet name="embed" sheetId="4" r:id="rId4"/>
  </sheets>
  <definedNames/>
  <calcPr fullCalcOnLoad="1"/>
</workbook>
</file>

<file path=xl/sharedStrings.xml><?xml version="1.0" encoding="utf-8"?>
<sst xmlns="http://schemas.openxmlformats.org/spreadsheetml/2006/main" count="324" uniqueCount="106">
  <si>
    <t>expected</t>
  </si>
  <si>
    <t>lower bound</t>
  </si>
  <si>
    <t>exactly x</t>
  </si>
  <si>
    <t>upper bound</t>
  </si>
  <si>
    <t>observed</t>
  </si>
  <si>
    <t>sig level</t>
  </si>
  <si>
    <t>significant (0.05)</t>
  </si>
  <si>
    <t>title</t>
  </si>
  <si>
    <t>x linguistic events</t>
  </si>
  <si>
    <r>
      <t>probability margin</t>
    </r>
    <r>
      <rPr>
        <b/>
        <i/>
        <sz val="10"/>
        <rFont val="Arial"/>
        <family val="2"/>
      </rPr>
      <t xml:space="preserve"> e</t>
    </r>
  </si>
  <si>
    <r>
      <t xml:space="preserve">at least x </t>
    </r>
    <r>
      <rPr>
        <b/>
        <i/>
        <sz val="10"/>
        <rFont val="Arial"/>
        <family val="2"/>
      </rPr>
      <t>F</t>
    </r>
  </si>
  <si>
    <r>
      <t xml:space="preserve">probability </t>
    </r>
    <r>
      <rPr>
        <b/>
        <i/>
        <sz val="10"/>
        <rFont val="Arial"/>
        <family val="2"/>
      </rPr>
      <t>p</t>
    </r>
  </si>
  <si>
    <t>binomial significance</t>
  </si>
  <si>
    <r>
      <t xml:space="preserve">s.dev. </t>
    </r>
    <r>
      <rPr>
        <b/>
        <i/>
        <sz val="10"/>
        <rFont val="Symbol"/>
        <family val="1"/>
      </rPr>
      <t>s</t>
    </r>
  </si>
  <si>
    <r>
      <t xml:space="preserve">mean </t>
    </r>
    <r>
      <rPr>
        <b/>
        <i/>
        <sz val="10"/>
        <rFont val="Symbol"/>
        <family val="1"/>
      </rPr>
      <t>m</t>
    </r>
  </si>
  <si>
    <t>binomial</t>
  </si>
  <si>
    <t>data</t>
  </si>
  <si>
    <r>
      <t xml:space="preserve">y: </t>
    </r>
    <r>
      <rPr>
        <b/>
        <i/>
        <sz val="10"/>
        <rFont val="Arial"/>
        <family val="2"/>
      </rPr>
      <t>F</t>
    </r>
    <r>
      <rPr>
        <b/>
        <sz val="10"/>
        <rFont val="Arial"/>
        <family val="2"/>
      </rPr>
      <t>(</t>
    </r>
    <r>
      <rPr>
        <b/>
        <i/>
        <sz val="10"/>
        <rFont val="Arial"/>
        <family val="2"/>
      </rPr>
      <t>x</t>
    </r>
    <r>
      <rPr>
        <b/>
        <sz val="10"/>
        <rFont val="Arial"/>
        <family val="2"/>
      </rPr>
      <t>)</t>
    </r>
  </si>
  <si>
    <r>
      <t xml:space="preserve">n: </t>
    </r>
    <r>
      <rPr>
        <b/>
        <i/>
        <sz val="10"/>
        <rFont val="Arial"/>
        <family val="2"/>
      </rPr>
      <t>F</t>
    </r>
    <r>
      <rPr>
        <b/>
        <sz val="10"/>
        <rFont val="Arial"/>
        <family val="2"/>
      </rPr>
      <t>(</t>
    </r>
    <r>
      <rPr>
        <b/>
        <i/>
        <sz val="10"/>
        <rFont val="Arial"/>
        <family val="2"/>
      </rPr>
      <t>x</t>
    </r>
    <r>
      <rPr>
        <b/>
        <sz val="10"/>
        <rFont val="Arial"/>
        <family val="2"/>
      </rPr>
      <t>-1)-</t>
    </r>
    <r>
      <rPr>
        <b/>
        <i/>
        <sz val="10"/>
        <rFont val="Arial"/>
        <family val="2"/>
      </rPr>
      <t>F</t>
    </r>
    <r>
      <rPr>
        <b/>
        <sz val="10"/>
        <rFont val="Arial"/>
        <family val="2"/>
      </rPr>
      <t>(</t>
    </r>
    <r>
      <rPr>
        <b/>
        <i/>
        <sz val="10"/>
        <rFont val="Arial"/>
        <family val="2"/>
      </rPr>
      <t>x</t>
    </r>
    <r>
      <rPr>
        <b/>
        <sz val="10"/>
        <rFont val="Arial"/>
        <family val="2"/>
      </rPr>
      <t>)</t>
    </r>
  </si>
  <si>
    <r>
      <t xml:space="preserve">n: </t>
    </r>
    <r>
      <rPr>
        <b/>
        <i/>
        <sz val="10"/>
        <rFont val="Arial"/>
        <family val="2"/>
      </rPr>
      <t>F</t>
    </r>
    <r>
      <rPr>
        <b/>
        <sz val="10"/>
        <rFont val="Arial"/>
        <family val="2"/>
      </rPr>
      <t>(</t>
    </r>
    <r>
      <rPr>
        <b/>
        <i/>
        <sz val="10"/>
        <rFont val="Arial"/>
        <family val="2"/>
      </rPr>
      <t>x</t>
    </r>
    <r>
      <rPr>
        <b/>
        <sz val="10"/>
        <rFont val="Arial"/>
        <family val="2"/>
      </rPr>
      <t>-1)-</t>
    </r>
    <r>
      <rPr>
        <b/>
        <i/>
        <sz val="10"/>
        <rFont val="Arial"/>
        <family val="2"/>
      </rPr>
      <t>E</t>
    </r>
    <r>
      <rPr>
        <b/>
        <sz val="10"/>
        <rFont val="Arial"/>
        <family val="2"/>
      </rPr>
      <t>(</t>
    </r>
    <r>
      <rPr>
        <b/>
        <i/>
        <sz val="10"/>
        <rFont val="Arial"/>
        <family val="2"/>
      </rPr>
      <t>y</t>
    </r>
    <r>
      <rPr>
        <b/>
        <sz val="10"/>
        <rFont val="Arial"/>
        <family val="2"/>
      </rPr>
      <t>)</t>
    </r>
  </si>
  <si>
    <r>
      <t xml:space="preserve">y: </t>
    </r>
    <r>
      <rPr>
        <b/>
        <i/>
        <sz val="10"/>
        <rFont val="Arial"/>
        <family val="2"/>
      </rPr>
      <t>F</t>
    </r>
    <r>
      <rPr>
        <b/>
        <sz val="10"/>
        <rFont val="Arial"/>
        <family val="2"/>
      </rPr>
      <t>(</t>
    </r>
    <r>
      <rPr>
        <b/>
        <i/>
        <sz val="10"/>
        <rFont val="Arial"/>
        <family val="2"/>
      </rPr>
      <t>x</t>
    </r>
    <r>
      <rPr>
        <b/>
        <sz val="10"/>
        <rFont val="Arial"/>
        <family val="2"/>
      </rPr>
      <t>-1)²/</t>
    </r>
    <r>
      <rPr>
        <b/>
        <i/>
        <sz val="10"/>
        <rFont val="Arial"/>
        <family val="2"/>
      </rPr>
      <t>F</t>
    </r>
    <r>
      <rPr>
        <b/>
        <sz val="10"/>
        <rFont val="Arial"/>
        <family val="2"/>
      </rPr>
      <t>(</t>
    </r>
    <r>
      <rPr>
        <b/>
        <i/>
        <sz val="10"/>
        <rFont val="Arial"/>
        <family val="2"/>
      </rPr>
      <t>x</t>
    </r>
    <r>
      <rPr>
        <b/>
        <sz val="10"/>
        <rFont val="Arial"/>
        <family val="2"/>
      </rPr>
      <t>-2)</t>
    </r>
  </si>
  <si>
    <r>
      <t xml:space="preserve">total </t>
    </r>
    <r>
      <rPr>
        <b/>
        <sz val="10"/>
        <rFont val="Symbol"/>
        <family val="1"/>
      </rPr>
      <t>c</t>
    </r>
    <r>
      <rPr>
        <b/>
        <sz val="10"/>
        <rFont val="Arial"/>
        <family val="2"/>
      </rPr>
      <t>²</t>
    </r>
  </si>
  <si>
    <r>
      <t>c</t>
    </r>
    <r>
      <rPr>
        <b/>
        <sz val="10"/>
        <rFont val="Arial"/>
        <family val="2"/>
      </rPr>
      <t>²(y)</t>
    </r>
  </si>
  <si>
    <r>
      <t>c</t>
    </r>
    <r>
      <rPr>
        <b/>
        <sz val="10"/>
        <rFont val="Arial"/>
        <family val="2"/>
      </rPr>
      <t>²(n)</t>
    </r>
  </si>
  <si>
    <t>chi-square</t>
  </si>
  <si>
    <t>probability of representativeness</t>
  </si>
  <si>
    <t>chi-square significance</t>
  </si>
  <si>
    <r>
      <t>np</t>
    </r>
    <r>
      <rPr>
        <sz val="10"/>
        <rFont val="Arial"/>
        <family val="0"/>
      </rPr>
      <t xml:space="preserve"> = </t>
    </r>
    <r>
      <rPr>
        <i/>
        <sz val="10"/>
        <rFont val="Arial"/>
        <family val="2"/>
      </rPr>
      <t>F</t>
    </r>
  </si>
  <si>
    <r>
      <t>p</t>
    </r>
    <r>
      <rPr>
        <sz val="10"/>
        <rFont val="Arial"/>
        <family val="2"/>
      </rPr>
      <t>(</t>
    </r>
    <r>
      <rPr>
        <i/>
        <sz val="10"/>
        <rFont val="Arial"/>
        <family val="2"/>
      </rPr>
      <t>x</t>
    </r>
    <r>
      <rPr>
        <sz val="10"/>
        <rFont val="Arial"/>
        <family val="2"/>
      </rPr>
      <t xml:space="preserve">) = </t>
    </r>
    <r>
      <rPr>
        <i/>
        <sz val="10"/>
        <rFont val="Arial"/>
        <family val="2"/>
      </rPr>
      <t>F</t>
    </r>
    <r>
      <rPr>
        <sz val="10"/>
        <rFont val="Arial"/>
        <family val="0"/>
      </rPr>
      <t>(</t>
    </r>
    <r>
      <rPr>
        <i/>
        <sz val="10"/>
        <rFont val="Arial"/>
        <family val="2"/>
      </rPr>
      <t>x</t>
    </r>
    <r>
      <rPr>
        <sz val="10"/>
        <rFont val="Arial"/>
        <family val="0"/>
      </rPr>
      <t>)/</t>
    </r>
    <r>
      <rPr>
        <i/>
        <sz val="10"/>
        <rFont val="Arial"/>
        <family val="2"/>
      </rPr>
      <t>F</t>
    </r>
    <r>
      <rPr>
        <sz val="10"/>
        <rFont val="Arial"/>
        <family val="0"/>
      </rPr>
      <t>(</t>
    </r>
    <r>
      <rPr>
        <i/>
        <sz val="10"/>
        <rFont val="Arial"/>
        <family val="2"/>
      </rPr>
      <t>x</t>
    </r>
    <r>
      <rPr>
        <sz val="10"/>
        <rFont val="Arial"/>
        <family val="0"/>
      </rPr>
      <t>-1)</t>
    </r>
  </si>
  <si>
    <r>
      <t xml:space="preserve">¬ </t>
    </r>
    <r>
      <rPr>
        <b/>
        <sz val="10"/>
        <rFont val="Arial"/>
        <family val="0"/>
      </rPr>
      <t>Enter data in this row</t>
    </r>
  </si>
  <si>
    <r>
      <t>¯</t>
    </r>
    <r>
      <rPr>
        <b/>
        <sz val="10"/>
        <rFont val="Arial"/>
        <family val="0"/>
      </rPr>
      <t xml:space="preserve"> extend sequence as required</t>
    </r>
  </si>
  <si>
    <t>chi-square contributions</t>
  </si>
  <si>
    <r>
      <t xml:space="preserve">compares observations of event at </t>
    </r>
    <r>
      <rPr>
        <i/>
        <sz val="10"/>
        <rFont val="Arial"/>
        <family val="2"/>
      </rPr>
      <t>x</t>
    </r>
    <r>
      <rPr>
        <sz val="10"/>
        <rFont val="Arial"/>
        <family val="0"/>
      </rPr>
      <t xml:space="preserve">-1 and </t>
    </r>
    <r>
      <rPr>
        <i/>
        <sz val="10"/>
        <rFont val="Arial"/>
        <family val="2"/>
      </rPr>
      <t>x</t>
    </r>
  </si>
  <si>
    <t>Comments</t>
  </si>
  <si>
    <r>
      <t xml:space="preserve">Any recursively extensible linguistic phenomenon found in a corpus can be analysed provided that it exhibits </t>
    </r>
    <r>
      <rPr>
        <b/>
        <sz val="10"/>
        <rFont val="Arial"/>
        <family val="2"/>
      </rPr>
      <t xml:space="preserve">at least two </t>
    </r>
    <r>
      <rPr>
        <sz val="10"/>
        <rFont val="Arial"/>
        <family val="0"/>
      </rPr>
      <t>levels of addition.</t>
    </r>
  </si>
  <si>
    <r>
      <t xml:space="preserve">We need one additional event to find a probability </t>
    </r>
    <r>
      <rPr>
        <i/>
        <sz val="10"/>
        <rFont val="Arial"/>
        <family val="2"/>
      </rPr>
      <t>p</t>
    </r>
    <r>
      <rPr>
        <sz val="10"/>
        <rFont val="Arial"/>
        <family val="2"/>
      </rPr>
      <t>(</t>
    </r>
    <r>
      <rPr>
        <i/>
        <sz val="10"/>
        <rFont val="Arial"/>
        <family val="2"/>
      </rPr>
      <t>x</t>
    </r>
    <r>
      <rPr>
        <sz val="10"/>
        <rFont val="Arial"/>
        <family val="2"/>
      </rPr>
      <t xml:space="preserve">) = </t>
    </r>
    <r>
      <rPr>
        <i/>
        <sz val="10"/>
        <rFont val="Arial"/>
        <family val="2"/>
      </rPr>
      <t>F</t>
    </r>
    <r>
      <rPr>
        <sz val="10"/>
        <rFont val="Arial"/>
        <family val="2"/>
      </rPr>
      <t>(</t>
    </r>
    <r>
      <rPr>
        <i/>
        <sz val="10"/>
        <rFont val="Arial"/>
        <family val="2"/>
      </rPr>
      <t>x</t>
    </r>
    <r>
      <rPr>
        <sz val="10"/>
        <rFont val="Arial"/>
        <family val="2"/>
      </rPr>
      <t>)/</t>
    </r>
    <r>
      <rPr>
        <i/>
        <sz val="10"/>
        <rFont val="Arial"/>
        <family val="2"/>
      </rPr>
      <t>F</t>
    </r>
    <r>
      <rPr>
        <sz val="10"/>
        <rFont val="Arial"/>
        <family val="2"/>
      </rPr>
      <t>(</t>
    </r>
    <r>
      <rPr>
        <i/>
        <sz val="10"/>
        <rFont val="Arial"/>
        <family val="2"/>
      </rPr>
      <t>x</t>
    </r>
    <r>
      <rPr>
        <sz val="10"/>
        <rFont val="Arial"/>
        <family val="2"/>
      </rPr>
      <t>-1).</t>
    </r>
  </si>
  <si>
    <r>
      <t>p</t>
    </r>
    <r>
      <rPr>
        <sz val="10"/>
        <rFont val="Arial"/>
        <family val="0"/>
      </rPr>
      <t>(</t>
    </r>
    <r>
      <rPr>
        <i/>
        <sz val="10"/>
        <rFont val="Arial"/>
        <family val="2"/>
      </rPr>
      <t>x</t>
    </r>
    <r>
      <rPr>
        <sz val="10"/>
        <rFont val="Arial"/>
        <family val="0"/>
      </rPr>
      <t>)+</t>
    </r>
    <r>
      <rPr>
        <i/>
        <sz val="10"/>
        <rFont val="Arial"/>
        <family val="2"/>
      </rPr>
      <t>e</t>
    </r>
    <r>
      <rPr>
        <sz val="10"/>
        <rFont val="Arial"/>
        <family val="0"/>
      </rPr>
      <t>(</t>
    </r>
    <r>
      <rPr>
        <i/>
        <sz val="10"/>
        <rFont val="Arial"/>
        <family val="2"/>
      </rPr>
      <t>x</t>
    </r>
    <r>
      <rPr>
        <sz val="10"/>
        <rFont val="Arial"/>
        <family val="0"/>
      </rPr>
      <t>)</t>
    </r>
  </si>
  <si>
    <r>
      <t>p</t>
    </r>
    <r>
      <rPr>
        <sz val="10"/>
        <rFont val="Arial"/>
        <family val="0"/>
      </rPr>
      <t>(</t>
    </r>
    <r>
      <rPr>
        <i/>
        <sz val="10"/>
        <rFont val="Arial"/>
        <family val="2"/>
      </rPr>
      <t>x</t>
    </r>
    <r>
      <rPr>
        <sz val="10"/>
        <rFont val="Arial"/>
        <family val="0"/>
      </rPr>
      <t>)-</t>
    </r>
    <r>
      <rPr>
        <i/>
        <sz val="10"/>
        <rFont val="Arial"/>
        <family val="2"/>
      </rPr>
      <t>e</t>
    </r>
    <r>
      <rPr>
        <sz val="10"/>
        <rFont val="Arial"/>
        <family val="0"/>
      </rPr>
      <t>(</t>
    </r>
    <r>
      <rPr>
        <i/>
        <sz val="10"/>
        <rFont val="Arial"/>
        <family val="2"/>
      </rPr>
      <t>x</t>
    </r>
    <r>
      <rPr>
        <sz val="10"/>
        <rFont val="Arial"/>
        <family val="0"/>
      </rPr>
      <t>)</t>
    </r>
  </si>
  <si>
    <t>Wilson</t>
  </si>
  <si>
    <t>z(crit)</t>
  </si>
  <si>
    <r>
      <t>z</t>
    </r>
    <r>
      <rPr>
        <sz val="10"/>
        <rFont val="Symbol"/>
        <family val="1"/>
      </rPr>
      <t>s</t>
    </r>
    <r>
      <rPr>
        <sz val="10"/>
        <rFont val="Arial"/>
        <family val="0"/>
      </rPr>
      <t xml:space="preserve"> scaled by </t>
    </r>
    <r>
      <rPr>
        <i/>
        <sz val="10"/>
        <rFont val="Arial"/>
        <family val="2"/>
      </rPr>
      <t>F</t>
    </r>
    <r>
      <rPr>
        <sz val="10"/>
        <rFont val="Arial"/>
        <family val="0"/>
      </rPr>
      <t>(</t>
    </r>
    <r>
      <rPr>
        <i/>
        <sz val="10"/>
        <rFont val="Arial"/>
        <family val="2"/>
      </rPr>
      <t>x</t>
    </r>
    <r>
      <rPr>
        <sz val="10"/>
        <rFont val="Arial"/>
        <family val="0"/>
      </rPr>
      <t>-1)</t>
    </r>
  </si>
  <si>
    <t>Gaussian</t>
  </si>
  <si>
    <t>approximation</t>
  </si>
  <si>
    <r>
      <t>(</t>
    </r>
    <r>
      <rPr>
        <i/>
        <sz val="10"/>
        <rFont val="Arial"/>
        <family val="2"/>
      </rPr>
      <t>p</t>
    </r>
    <r>
      <rPr>
        <sz val="10"/>
        <rFont val="Arial"/>
        <family val="0"/>
      </rPr>
      <t xml:space="preserve"> + </t>
    </r>
    <r>
      <rPr>
        <i/>
        <sz val="10"/>
        <rFont val="Arial"/>
        <family val="2"/>
      </rPr>
      <t>z</t>
    </r>
    <r>
      <rPr>
        <sz val="10"/>
        <rFont val="Arial"/>
        <family val="0"/>
      </rPr>
      <t>²/2</t>
    </r>
    <r>
      <rPr>
        <i/>
        <sz val="10"/>
        <rFont val="Arial"/>
        <family val="2"/>
      </rPr>
      <t>n</t>
    </r>
    <r>
      <rPr>
        <sz val="10"/>
        <rFont val="Arial"/>
        <family val="0"/>
      </rPr>
      <t>)/(1+</t>
    </r>
    <r>
      <rPr>
        <i/>
        <sz val="10"/>
        <rFont val="Arial"/>
        <family val="2"/>
      </rPr>
      <t>z</t>
    </r>
    <r>
      <rPr>
        <sz val="10"/>
        <rFont val="Arial"/>
        <family val="0"/>
      </rPr>
      <t>²/</t>
    </r>
    <r>
      <rPr>
        <i/>
        <sz val="10"/>
        <rFont val="Arial"/>
        <family val="2"/>
      </rPr>
      <t>n</t>
    </r>
    <r>
      <rPr>
        <sz val="10"/>
        <rFont val="Arial"/>
        <family val="0"/>
      </rPr>
      <t>)</t>
    </r>
  </si>
  <si>
    <r>
      <t>s = Ö</t>
    </r>
    <r>
      <rPr>
        <i/>
        <sz val="10"/>
        <rFont val="Arial"/>
        <family val="2"/>
      </rPr>
      <t>np</t>
    </r>
    <r>
      <rPr>
        <sz val="10"/>
        <rFont val="Arial"/>
        <family val="0"/>
      </rPr>
      <t>(1-</t>
    </r>
    <r>
      <rPr>
        <i/>
        <sz val="10"/>
        <rFont val="Arial"/>
        <family val="2"/>
      </rPr>
      <t>p</t>
    </r>
    <r>
      <rPr>
        <sz val="10"/>
        <rFont val="Arial"/>
        <family val="0"/>
      </rPr>
      <t>)</t>
    </r>
  </si>
  <si>
    <r>
      <t>z</t>
    </r>
    <r>
      <rPr>
        <sz val="10"/>
        <rFont val="Symbol"/>
        <family val="1"/>
      </rPr>
      <t>Ö[</t>
    </r>
    <r>
      <rPr>
        <i/>
        <sz val="10"/>
        <rFont val="Arial"/>
        <family val="2"/>
      </rPr>
      <t>p</t>
    </r>
    <r>
      <rPr>
        <sz val="10"/>
        <rFont val="Arial"/>
        <family val="0"/>
      </rPr>
      <t>(1-</t>
    </r>
    <r>
      <rPr>
        <i/>
        <sz val="10"/>
        <rFont val="Arial"/>
        <family val="2"/>
      </rPr>
      <t>p</t>
    </r>
    <r>
      <rPr>
        <sz val="10"/>
        <rFont val="Arial"/>
        <family val="0"/>
      </rPr>
      <t>)/</t>
    </r>
    <r>
      <rPr>
        <i/>
        <sz val="10"/>
        <rFont val="Arial"/>
        <family val="2"/>
      </rPr>
      <t>n</t>
    </r>
    <r>
      <rPr>
        <sz val="10"/>
        <rFont val="Arial"/>
        <family val="0"/>
      </rPr>
      <t xml:space="preserve"> + </t>
    </r>
    <r>
      <rPr>
        <i/>
        <sz val="10"/>
        <rFont val="Arial"/>
        <family val="2"/>
      </rPr>
      <t>z</t>
    </r>
    <r>
      <rPr>
        <sz val="10"/>
        <rFont val="Arial"/>
        <family val="0"/>
      </rPr>
      <t>²/4</t>
    </r>
    <r>
      <rPr>
        <i/>
        <sz val="10"/>
        <rFont val="Arial"/>
        <family val="2"/>
      </rPr>
      <t>n</t>
    </r>
    <r>
      <rPr>
        <sz val="10"/>
        <rFont val="Arial"/>
        <family val="0"/>
      </rPr>
      <t>²]/(1+</t>
    </r>
    <r>
      <rPr>
        <i/>
        <sz val="10"/>
        <rFont val="Arial"/>
        <family val="2"/>
      </rPr>
      <t>z</t>
    </r>
    <r>
      <rPr>
        <sz val="10"/>
        <rFont val="Arial"/>
        <family val="0"/>
      </rPr>
      <t>²/</t>
    </r>
    <r>
      <rPr>
        <i/>
        <sz val="10"/>
        <rFont val="Arial"/>
        <family val="2"/>
      </rPr>
      <t>n</t>
    </r>
    <r>
      <rPr>
        <sz val="10"/>
        <rFont val="Arial"/>
        <family val="0"/>
      </rPr>
      <t>)</t>
    </r>
  </si>
  <si>
    <t>(for plot)</t>
  </si>
  <si>
    <t>g.o.f.</t>
  </si>
  <si>
    <t>z.s+</t>
  </si>
  <si>
    <t>z.s-</t>
  </si>
  <si>
    <t>population proportion tests (simple)</t>
  </si>
  <si>
    <t>Wilson (1927)</t>
  </si>
  <si>
    <t>References</t>
  </si>
  <si>
    <r>
      <t xml:space="preserve">We need two additional events to see if that probability </t>
    </r>
    <r>
      <rPr>
        <i/>
        <sz val="10"/>
        <rFont val="Arial"/>
        <family val="2"/>
      </rPr>
      <t>changes</t>
    </r>
    <r>
      <rPr>
        <sz val="10"/>
        <rFont val="Arial"/>
        <family val="2"/>
      </rPr>
      <t xml:space="preserve"> between </t>
    </r>
    <r>
      <rPr>
        <i/>
        <sz val="10"/>
        <rFont val="Arial"/>
        <family val="2"/>
      </rPr>
      <t>x</t>
    </r>
    <r>
      <rPr>
        <sz val="10"/>
        <rFont val="Arial"/>
        <family val="2"/>
      </rPr>
      <t xml:space="preserve"> = 1 and </t>
    </r>
    <r>
      <rPr>
        <i/>
        <sz val="10"/>
        <rFont val="Arial"/>
        <family val="2"/>
      </rPr>
      <t>x</t>
    </r>
    <r>
      <rPr>
        <sz val="10"/>
        <rFont val="Arial"/>
        <family val="2"/>
      </rPr>
      <t xml:space="preserve"> = 2.</t>
    </r>
  </si>
  <si>
    <t>WILSON, E.B. 1927. Probable inference, the law of succession, and statistical inference. Journal of the American Statistical Association 22: 209-212.</t>
  </si>
  <si>
    <t>Companion datasheet for</t>
  </si>
  <si>
    <r>
      <t xml:space="preserve">* NPs with </t>
    </r>
    <r>
      <rPr>
        <i/>
        <sz val="10"/>
        <rFont val="Arial"/>
        <family val="2"/>
      </rPr>
      <t>x</t>
    </r>
    <r>
      <rPr>
        <sz val="10"/>
        <rFont val="Arial"/>
        <family val="2"/>
      </rPr>
      <t xml:space="preserve"> = {0, 1, 2, 3, 4, 5...} adjective phrases before the noun,</t>
    </r>
  </si>
  <si>
    <r>
      <t xml:space="preserve">* VPs with </t>
    </r>
    <r>
      <rPr>
        <i/>
        <sz val="10"/>
        <rFont val="Arial"/>
        <family val="2"/>
      </rPr>
      <t>x</t>
    </r>
    <r>
      <rPr>
        <sz val="10"/>
        <rFont val="Arial"/>
        <family val="2"/>
      </rPr>
      <t xml:space="preserve"> adverb phrases before the verb,</t>
    </r>
  </si>
  <si>
    <r>
      <t xml:space="preserve">* NPs containing </t>
    </r>
    <r>
      <rPr>
        <i/>
        <sz val="10"/>
        <rFont val="Arial"/>
        <family val="2"/>
      </rPr>
      <t>x</t>
    </r>
    <r>
      <rPr>
        <sz val="10"/>
        <rFont val="Arial"/>
        <family val="2"/>
      </rPr>
      <t xml:space="preserve"> postmodifying clauses (i.e. modifying the same head),</t>
    </r>
  </si>
  <si>
    <r>
      <t xml:space="preserve">* NP chains of </t>
    </r>
    <r>
      <rPr>
        <i/>
        <sz val="10"/>
        <rFont val="Arial"/>
        <family val="2"/>
      </rPr>
      <t>x</t>
    </r>
    <r>
      <rPr>
        <sz val="10"/>
        <rFont val="Arial"/>
        <family val="2"/>
      </rPr>
      <t xml:space="preserve"> embedded postmodifying clauses (i.e. modifying subsequent heads),</t>
    </r>
  </si>
  <si>
    <r>
      <t xml:space="preserve">* NPs with </t>
    </r>
    <r>
      <rPr>
        <i/>
        <sz val="10"/>
        <rFont val="Arial"/>
        <family val="2"/>
      </rPr>
      <t>x</t>
    </r>
    <r>
      <rPr>
        <sz val="10"/>
        <rFont val="Arial"/>
        <family val="2"/>
      </rPr>
      <t xml:space="preserve"> co-ordinated adjectives before the noun, etc.</t>
    </r>
  </si>
  <si>
    <r>
      <t>adjusted</t>
    </r>
    <r>
      <rPr>
        <b/>
        <i/>
        <sz val="10"/>
        <rFont val="Arial"/>
        <family val="2"/>
      </rPr>
      <t xml:space="preserve"> p'</t>
    </r>
  </si>
  <si>
    <t>written</t>
  </si>
  <si>
    <t>all</t>
  </si>
  <si>
    <t>spoken</t>
  </si>
  <si>
    <t>separability tests</t>
  </si>
  <si>
    <t>population proportion tests</t>
  </si>
  <si>
    <t>w-</t>
  </si>
  <si>
    <t>w+</t>
  </si>
  <si>
    <t>p1-p2</t>
  </si>
  <si>
    <t>Difference in probabilities</t>
  </si>
  <si>
    <t>(paired 2x1 separability test, Wilson)</t>
  </si>
  <si>
    <t>EMBED ^ report here</t>
  </si>
  <si>
    <t>Note: current data extracted for written and spoken using a simplified method (hence totals do not sum to the above)</t>
  </si>
  <si>
    <t>p(3)&lt;p(1)</t>
  </si>
  <si>
    <t>diff</t>
  </si>
  <si>
    <t>wd-</t>
  </si>
  <si>
    <t>wd+</t>
  </si>
  <si>
    <t>embed vs seq</t>
  </si>
  <si>
    <t>point test</t>
  </si>
  <si>
    <t>gradient test</t>
  </si>
  <si>
    <t>diff seq</t>
  </si>
  <si>
    <t>diff embed</t>
  </si>
  <si>
    <t>written vs spoken (seq)</t>
  </si>
  <si>
    <t>difference in gradients</t>
  </si>
  <si>
    <t>Sources</t>
  </si>
  <si>
    <t>Data from ICE-GB R2</t>
  </si>
  <si>
    <t>Search options: normal, skip over punctuation and pauses, discourse markers (except connectives)</t>
  </si>
  <si>
    <t>ICECUP IV, 'embed.ipj'</t>
  </si>
  <si>
    <t>WALLIS, S.A. 2018, Comparing χ² tables for separability of distribution and effect: Meta-tests for comparing homogeneity and goodness of fit test outcomes. Journal of Quantitative Linguistics. 10.1080/09296174.2018.1496537</t>
  </si>
  <si>
    <t>WALLIS, S.A. 2013, Binomial confidence intervals and contingency tests: Mathematical fundamentals and the evaluation of alternative methods. Journal of Quantitative Linguistics, 20(3), 178-208.</t>
  </si>
  <si>
    <r>
      <t xml:space="preserve">WALLIS, S.A. 2019, Investigating the additive probability of repeated language production decisions, </t>
    </r>
    <r>
      <rPr>
        <i/>
        <sz val="10"/>
        <rFont val="Arial"/>
        <family val="2"/>
      </rPr>
      <t>International Journal of Corpus Linguistics</t>
    </r>
  </si>
  <si>
    <t>See also http://corplingstats.wordpress.com/2012/12/04/linguistic-interaction</t>
  </si>
  <si>
    <t>Wallis (2013)</t>
  </si>
  <si>
    <t>Wallis (2018)</t>
  </si>
  <si>
    <t>Principal statistical evaluation is a subset test - each additional term creates a subset of the first set, so we use a goodness of fit test (Wallis 2013).</t>
  </si>
  <si>
    <t>To compare results from different trends we selectively employ either point tests (one point is different from another) or gradient tests (one gradient is different from another). See Wallis (2018).</t>
  </si>
  <si>
    <t>Example phenomena capable of analysis include:</t>
  </si>
  <si>
    <t>common)</t>
  </si>
  <si>
    <r>
      <t>(</t>
    </r>
    <r>
      <rPr>
        <b/>
        <sz val="10"/>
        <rFont val="Arial"/>
        <family val="2"/>
      </rPr>
      <t>erroneous</t>
    </r>
    <r>
      <rPr>
        <sz val="10"/>
        <rFont val="Arial"/>
        <family val="0"/>
      </rPr>
      <t xml:space="preserve"> but</t>
    </r>
  </si>
  <si>
    <r>
      <t xml:space="preserve">¬ </t>
    </r>
    <r>
      <rPr>
        <b/>
        <sz val="10"/>
        <rFont val="Arial"/>
        <family val="0"/>
      </rPr>
      <t>Enter data into either row (but then recalculate the other)</t>
    </r>
  </si>
  <si>
    <t xml:space="preserve">¬ </t>
  </si>
  <si>
    <r>
      <t xml:space="preserve">¬ </t>
    </r>
    <r>
      <rPr>
        <b/>
        <sz val="10"/>
        <rFont val="Arial"/>
        <family val="0"/>
      </rPr>
      <t>Data by subtraction</t>
    </r>
  </si>
  <si>
    <r>
      <t xml:space="preserve">¬ </t>
    </r>
    <r>
      <rPr>
        <b/>
        <sz val="10"/>
        <rFont val="Arial"/>
        <family val="0"/>
      </rPr>
      <t>Enter data in this row (from ICECUP IV)</t>
    </r>
  </si>
  <si>
    <r>
      <t xml:space="preserve">exactly x </t>
    </r>
    <r>
      <rPr>
        <b/>
        <i/>
        <sz val="10"/>
        <rFont val="Arial"/>
        <family val="2"/>
      </rPr>
      <t>F'</t>
    </r>
  </si>
  <si>
    <r>
      <t xml:space="preserve">¬ </t>
    </r>
    <r>
      <rPr>
        <b/>
        <sz val="10"/>
        <rFont val="Arial"/>
        <family val="0"/>
      </rPr>
      <t>Data from seq tab</t>
    </r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</si>
</sst>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"/>
    <numFmt numFmtId="165" formatCode="#,##0.0000"/>
    <numFmt numFmtId="166" formatCode="#,##0.00000000000000"/>
    <numFmt numFmtId="167" formatCode="0.0000%"/>
    <numFmt numFmtId="168" formatCode="#,##0.000000000"/>
    <numFmt numFmtId="169" formatCode="0.0000_ ;[Red]\-0.0000\ "/>
    <numFmt numFmtId="170" formatCode="#,##0.000000000000000"/>
    <numFmt numFmtId="171" formatCode="#,##0.0000_ ;[Red]\-#,##0.0000\ "/>
    <numFmt numFmtId="172" formatCode="0.00000000"/>
  </numFmts>
  <fonts count="29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0"/>
      <name val="Symbol"/>
      <family val="1"/>
    </font>
    <font>
      <b/>
      <sz val="10"/>
      <name val="Symbol"/>
      <family val="1"/>
    </font>
    <font>
      <sz val="10"/>
      <name val="Symbol"/>
      <family val="1"/>
    </font>
    <font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8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8" borderId="0" applyNumberFormat="0" applyBorder="0" applyAlignment="0" applyProtection="0"/>
    <xf numFmtId="0" fontId="26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15" fillId="17" borderId="0" applyNumberFormat="0" applyBorder="0" applyAlignment="0" applyProtection="0"/>
    <xf numFmtId="0" fontId="19" fillId="9" borderId="1" applyNumberFormat="0" applyAlignment="0" applyProtection="0"/>
    <xf numFmtId="0" fontId="21" fillId="1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7" fillId="3" borderId="1" applyNumberFormat="0" applyAlignment="0" applyProtection="0"/>
    <xf numFmtId="0" fontId="20" fillId="0" borderId="6" applyNumberFormat="0" applyFill="0" applyAlignment="0" applyProtection="0"/>
    <xf numFmtId="0" fontId="16" fillId="10" borderId="0" applyNumberFormat="0" applyBorder="0" applyAlignment="0" applyProtection="0"/>
    <xf numFmtId="0" fontId="0" fillId="5" borderId="7" applyNumberFormat="0" applyFont="0" applyAlignment="0" applyProtection="0"/>
    <xf numFmtId="0" fontId="18" fillId="9" borderId="8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3" fontId="0" fillId="0" borderId="0" xfId="0" applyNumberFormat="1" applyAlignment="1">
      <alignment/>
    </xf>
    <xf numFmtId="165" fontId="0" fillId="0" borderId="0" xfId="0" applyNumberFormat="1" applyAlignment="1">
      <alignment/>
    </xf>
    <xf numFmtId="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Border="1" applyAlignment="1">
      <alignment/>
    </xf>
    <xf numFmtId="165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6" fillId="0" borderId="0" xfId="0" applyFont="1" applyAlignment="1">
      <alignment/>
    </xf>
    <xf numFmtId="165" fontId="5" fillId="0" borderId="0" xfId="0" applyNumberFormat="1" applyFont="1" applyAlignment="1">
      <alignment/>
    </xf>
    <xf numFmtId="165" fontId="6" fillId="0" borderId="0" xfId="0" applyNumberFormat="1" applyFont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" fillId="0" borderId="11" xfId="0" applyFont="1" applyBorder="1" applyAlignment="1">
      <alignment/>
    </xf>
    <xf numFmtId="0" fontId="0" fillId="0" borderId="11" xfId="0" applyBorder="1" applyAlignment="1">
      <alignment/>
    </xf>
    <xf numFmtId="165" fontId="1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165" fontId="0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165" fontId="9" fillId="0" borderId="0" xfId="0" applyNumberFormat="1" applyFont="1" applyAlignment="1">
      <alignment/>
    </xf>
    <xf numFmtId="3" fontId="1" fillId="0" borderId="0" xfId="0" applyNumberFormat="1" applyFont="1" applyFill="1" applyAlignment="1">
      <alignment/>
    </xf>
    <xf numFmtId="0" fontId="1" fillId="10" borderId="0" xfId="0" applyFont="1" applyFill="1" applyAlignment="1">
      <alignment/>
    </xf>
    <xf numFmtId="3" fontId="0" fillId="10" borderId="0" xfId="0" applyNumberFormat="1" applyFill="1" applyAlignment="1">
      <alignment/>
    </xf>
    <xf numFmtId="164" fontId="0" fillId="0" borderId="0" xfId="0" applyNumberFormat="1" applyAlignment="1">
      <alignment/>
    </xf>
    <xf numFmtId="3" fontId="1" fillId="10" borderId="0" xfId="0" applyNumberFormat="1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seq, written vs. spoken 
Probability p (Wilson intervals)</a:t>
            </a:r>
          </a:p>
        </c:rich>
      </c:tx>
      <c:layout>
        <c:manualLayout>
          <c:xMode val="factor"/>
          <c:yMode val="factor"/>
          <c:x val="0.00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25"/>
          <c:y val="0.10375"/>
          <c:w val="0.94075"/>
          <c:h val="0.858"/>
        </c:manualLayout>
      </c:layout>
      <c:scatterChart>
        <c:scatterStyle val="lineMarker"/>
        <c:varyColors val="0"/>
        <c:ser>
          <c:idx val="0"/>
          <c:order val="0"/>
          <c:tx>
            <c:strRef>
              <c:f>seq!$A$4</c:f>
              <c:strCache>
                <c:ptCount val="1"/>
                <c:pt idx="0">
                  <c:v>written</c:v>
                </c:pt>
              </c:strCache>
            </c:strRef>
          </c:tx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seq!$D$19:$H$19</c:f>
                <c:numCache>
                  <c:ptCount val="3"/>
                  <c:pt idx="0">
                    <c:v>0.001364403975343798</c:v>
                  </c:pt>
                  <c:pt idx="1">
                    <c:v>0.00310152477158565</c:v>
                  </c:pt>
                  <c:pt idx="2">
                    <c:v>0.09641827436225328</c:v>
                  </c:pt>
                </c:numCache>
              </c:numRef>
            </c:plus>
            <c:minus>
              <c:numRef>
                <c:f>seq!$D$20:$H$20</c:f>
                <c:numCache>
                  <c:ptCount val="3"/>
                  <c:pt idx="0">
                    <c:v>0.001327620218240822</c:v>
                  </c:pt>
                  <c:pt idx="1">
                    <c:v>0.0022495923630460523</c:v>
                  </c:pt>
                  <c:pt idx="2">
                    <c:v>0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seq!$D$5:$F$5</c:f>
              <c:numCache/>
            </c:numRef>
          </c:xVal>
          <c:yVal>
            <c:numRef>
              <c:f>seq!$D$9:$F$9</c:f>
              <c:numCache/>
            </c:numRef>
          </c:yVal>
          <c:smooth val="0"/>
        </c:ser>
        <c:ser>
          <c:idx val="1"/>
          <c:order val="1"/>
          <c:tx>
            <c:strRef>
              <c:f>seq!$A$26</c:f>
              <c:strCache>
                <c:ptCount val="1"/>
                <c:pt idx="0">
                  <c:v>spoken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seq!$D$41:$H$41</c:f>
                <c:numCache>
                  <c:ptCount val="3"/>
                  <c:pt idx="0">
                    <c:v>0.0014716391775124395</c:v>
                  </c:pt>
                  <c:pt idx="1">
                    <c:v>0.0042489823921620495</c:v>
                  </c:pt>
                  <c:pt idx="2">
                    <c:v>0.056713829665880455</c:v>
                  </c:pt>
                </c:numCache>
              </c:numRef>
            </c:plus>
            <c:minus>
              <c:numRef>
                <c:f>seq!$D$42:$H$42</c:f>
                <c:numCache>
                  <c:ptCount val="3"/>
                  <c:pt idx="0">
                    <c:v>0.0014371194014013507</c:v>
                  </c:pt>
                  <c:pt idx="1">
                    <c:v>0.0036026808985734054</c:v>
                  </c:pt>
                  <c:pt idx="2">
                    <c:v>0.03213969850392254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seq!$D$27:$F$27</c:f>
              <c:numCache/>
            </c:numRef>
          </c:xVal>
          <c:yVal>
            <c:numRef>
              <c:f>seq!$D$31:$F$31</c:f>
              <c:numCache/>
            </c:numRef>
          </c:yVal>
          <c:smooth val="0"/>
        </c:ser>
        <c:axId val="35751626"/>
        <c:axId val="53329179"/>
      </c:scatterChart>
      <c:valAx>
        <c:axId val="357516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329179"/>
        <c:crosses val="autoZero"/>
        <c:crossBetween val="midCat"/>
        <c:dispUnits/>
        <c:majorUnit val="1"/>
      </c:valAx>
      <c:valAx>
        <c:axId val="53329179"/>
        <c:scaling>
          <c:orientation val="minMax"/>
          <c:max val="0.1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751626"/>
        <c:crosses val="autoZero"/>
        <c:crossBetween val="midCat"/>
        <c:dispUnits/>
        <c:majorUnit val="0.0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embed, all
Probability p (Wilson intervals)</a:t>
            </a:r>
          </a:p>
        </c:rich>
      </c:tx>
      <c:layout>
        <c:manualLayout>
          <c:xMode val="factor"/>
          <c:yMode val="factor"/>
          <c:x val="0.00675"/>
          <c:y val="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25"/>
          <c:y val="0.1045"/>
          <c:w val="0.94075"/>
          <c:h val="0.8565"/>
        </c:manualLayout>
      </c:layout>
      <c:scatterChart>
        <c:scatterStyle val="lineMarker"/>
        <c:varyColors val="0"/>
        <c:ser>
          <c:idx val="0"/>
          <c:order val="0"/>
          <c:tx>
            <c:strRef>
              <c:f>'analysis of trend (seq)'!$B$6</c:f>
              <c:strCache>
                <c:ptCount val="1"/>
                <c:pt idx="0">
                  <c:v>probability p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embed!$D$14:$H$14</c:f>
                <c:numCache>
                  <c:ptCount val="3"/>
                  <c:pt idx="0">
                    <c:v>0.0010439883961731703</c:v>
                  </c:pt>
                  <c:pt idx="1">
                    <c:v>0.0031493462019394594</c:v>
                  </c:pt>
                  <c:pt idx="2">
                    <c:v>0.02680239335276208</c:v>
                  </c:pt>
                </c:numCache>
              </c:numRef>
            </c:plus>
            <c:minus>
              <c:numRef>
                <c:f>embed!$D$15:$H$15</c:f>
                <c:numCache>
                  <c:ptCount val="3"/>
                  <c:pt idx="0">
                    <c:v>0.0010252631357763578</c:v>
                  </c:pt>
                  <c:pt idx="1">
                    <c:v>0.002778046117729829</c:v>
                  </c:pt>
                  <c:pt idx="2">
                    <c:v>0.010747815405260566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'analysis of trend (seq)'!$D$2:$F$2</c:f>
              <c:numCache>
                <c:ptCount val="3"/>
                <c:pt idx="0">
                  <c:v>1</c:v>
                </c:pt>
                <c:pt idx="1">
                  <c:v>2</c:v>
                </c:pt>
                <c:pt idx="2">
                  <c:v>3</c:v>
                </c:pt>
              </c:numCache>
            </c:numRef>
          </c:xVal>
          <c:yVal>
            <c:numRef>
              <c:f>embed!$D$4:$F$4</c:f>
              <c:numCache/>
            </c:numRef>
          </c:yVal>
          <c:smooth val="0"/>
        </c:ser>
        <c:axId val="58425284"/>
        <c:axId val="56065509"/>
      </c:scatterChart>
      <c:valAx>
        <c:axId val="584252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065509"/>
        <c:crosses val="autoZero"/>
        <c:crossBetween val="midCat"/>
        <c:dispUnits/>
        <c:majorUnit val="1"/>
      </c:valAx>
      <c:valAx>
        <c:axId val="56065509"/>
        <c:scaling>
          <c:orientation val="minMax"/>
          <c:max val="0.1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425284"/>
        <c:crosses val="autoZero"/>
        <c:crossBetween val="midCat"/>
        <c:dispUnits/>
        <c:majorUnit val="0.0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Frequency F</a:t>
            </a:r>
          </a:p>
        </c:rich>
      </c:tx>
      <c:layout>
        <c:manualLayout>
          <c:xMode val="factor"/>
          <c:yMode val="factor"/>
          <c:x val="0.00675"/>
          <c:y val="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25"/>
          <c:y val="0.11175"/>
          <c:w val="0.9405"/>
          <c:h val="0.849"/>
        </c:manualLayout>
      </c:layout>
      <c:scatterChart>
        <c:scatterStyle val="lineMarker"/>
        <c:varyColors val="0"/>
        <c:ser>
          <c:idx val="0"/>
          <c:order val="0"/>
          <c:tx>
            <c:strRef>
              <c:f>'analysis of trend (seq)'!$B$4</c:f>
              <c:strCache>
                <c:ptCount val="1"/>
                <c:pt idx="0">
                  <c:v>at least x F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'analysis of trend (seq)'!$C$2:$G$2</c:f>
              <c:numCach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xVal>
          <c:yVal>
            <c:numRef>
              <c:f>embed!$C$1:$G$1</c:f>
              <c:numCache/>
            </c:numRef>
          </c:yVal>
          <c:smooth val="0"/>
        </c:ser>
        <c:axId val="34827534"/>
        <c:axId val="45012351"/>
      </c:scatterChart>
      <c:valAx>
        <c:axId val="348275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012351"/>
        <c:crosses val="autoZero"/>
        <c:crossBetween val="midCat"/>
        <c:dispUnits/>
        <c:majorUnit val="1"/>
      </c:valAx>
      <c:valAx>
        <c:axId val="45012351"/>
        <c:scaling>
          <c:orientation val="minMax"/>
          <c:max val="20000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827534"/>
        <c:crosses val="autoZero"/>
        <c:crossBetween val="midCat"/>
        <c:dispUnits/>
        <c:majorUnit val="5000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embed, all, spoken vs. written cobined
Probability p (Wilson intervals)</a:t>
            </a:r>
          </a:p>
        </c:rich>
      </c:tx>
      <c:layout>
        <c:manualLayout>
          <c:xMode val="factor"/>
          <c:yMode val="factor"/>
          <c:x val="0.00675"/>
          <c:y val="0.00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0025"/>
          <c:w val="0.94075"/>
          <c:h val="0.86225"/>
        </c:manualLayout>
      </c:layout>
      <c:scatterChart>
        <c:scatterStyle val="lineMarker"/>
        <c:varyColors val="0"/>
        <c:ser>
          <c:idx val="3"/>
          <c:order val="0"/>
          <c:tx>
            <c:strRef>
              <c:f>'analysis of trend (seq)'!$B$6</c:f>
              <c:strCache>
                <c:ptCount val="1"/>
                <c:pt idx="0">
                  <c:v>probability p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embed!$D$14:$G$14</c:f>
                <c:numCache>
                  <c:ptCount val="3"/>
                  <c:pt idx="0">
                    <c:v>0.0010439883961731703</c:v>
                  </c:pt>
                  <c:pt idx="1">
                    <c:v>0.0031493462019394594</c:v>
                  </c:pt>
                  <c:pt idx="2">
                    <c:v>0.02680239335276208</c:v>
                  </c:pt>
                </c:numCache>
              </c:numRef>
            </c:plus>
            <c:minus>
              <c:numRef>
                <c:f>embed!$D$15:$G$15</c:f>
                <c:numCache>
                  <c:ptCount val="3"/>
                  <c:pt idx="0">
                    <c:v>0.0010252631357763578</c:v>
                  </c:pt>
                  <c:pt idx="1">
                    <c:v>0.002778046117729829</c:v>
                  </c:pt>
                  <c:pt idx="2">
                    <c:v>0.010747815405260566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'analysis of trend (seq)'!$D$2:$F$2</c:f>
              <c:numCache>
                <c:ptCount val="3"/>
                <c:pt idx="0">
                  <c:v>1</c:v>
                </c:pt>
                <c:pt idx="1">
                  <c:v>2</c:v>
                </c:pt>
                <c:pt idx="2">
                  <c:v>3</c:v>
                </c:pt>
              </c:numCache>
            </c:numRef>
          </c:xVal>
          <c:yVal>
            <c:numRef>
              <c:f>embed!$D$4:$F$4</c:f>
              <c:numCache/>
            </c:numRef>
          </c:yVal>
          <c:smooth val="0"/>
        </c:ser>
        <c:ser>
          <c:idx val="0"/>
          <c:order val="1"/>
          <c:tx>
            <c:strRef>
              <c:f>'analysis of trend (seq)'!$B$6</c:f>
              <c:strCache>
                <c:ptCount val="1"/>
                <c:pt idx="0">
                  <c:v>probability p</c:v>
                </c:pt>
              </c:strCache>
            </c:strRef>
          </c:tx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embed!$D$37:$H$37</c:f>
                <c:numCache>
                  <c:ptCount val="3"/>
                  <c:pt idx="0">
                    <c:v>0.0014852502921783076</c:v>
                  </c:pt>
                  <c:pt idx="1">
                    <c:v>0.004973501091777012</c:v>
                  </c:pt>
                  <c:pt idx="2">
                    <c:v>0.03847543743777172</c:v>
                  </c:pt>
                </c:numCache>
              </c:numRef>
            </c:plus>
            <c:minus>
              <c:numRef>
                <c:f>embed!$D$38:$H$38</c:f>
                <c:numCache>
                  <c:ptCount val="3"/>
                  <c:pt idx="0">
                    <c:v>0.0014443330869579655</c:v>
                  </c:pt>
                  <c:pt idx="1">
                    <c:v>0.004101678403402459</c:v>
                  </c:pt>
                  <c:pt idx="2">
                    <c:v>0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embed!$D$23:$F$23</c:f>
              <c:numCache/>
            </c:numRef>
          </c:xVal>
          <c:yVal>
            <c:numRef>
              <c:f>embed!$D$27:$F$27</c:f>
              <c:numCache/>
            </c:numRef>
          </c:yVal>
          <c:smooth val="0"/>
        </c:ser>
        <c:ser>
          <c:idx val="1"/>
          <c:order val="2"/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embed!$D$59:$H$59</c:f>
                <c:numCache>
                  <c:ptCount val="3"/>
                  <c:pt idx="0">
                    <c:v>0.0014716102375567875</c:v>
                  </c:pt>
                  <c:pt idx="1">
                    <c:v>0.0042489823921620495</c:v>
                  </c:pt>
                  <c:pt idx="2">
                    <c:v>0.04534619347810254</c:v>
                  </c:pt>
                </c:numCache>
              </c:numRef>
            </c:plus>
            <c:minus>
              <c:numRef>
                <c:f>embed!$D$60:$H$60</c:f>
                <c:numCache>
                  <c:ptCount val="3"/>
                  <c:pt idx="0">
                    <c:v>0.0014370910713443442</c:v>
                  </c:pt>
                  <c:pt idx="1">
                    <c:v>0.0036026808985734054</c:v>
                  </c:pt>
                  <c:pt idx="2">
                    <c:v>0.01859736044340499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embed!$D$45:$F$45</c:f>
              <c:numCache/>
            </c:numRef>
          </c:xVal>
          <c:yVal>
            <c:numRef>
              <c:f>embed!$D$49:$F$49</c:f>
              <c:numCache/>
            </c:numRef>
          </c:yVal>
          <c:smooth val="0"/>
        </c:ser>
        <c:axId val="2457976"/>
        <c:axId val="22121785"/>
      </c:scatterChart>
      <c:valAx>
        <c:axId val="24579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121785"/>
        <c:crosses val="autoZero"/>
        <c:crossBetween val="midCat"/>
        <c:dispUnits/>
        <c:majorUnit val="1"/>
      </c:valAx>
      <c:valAx>
        <c:axId val="22121785"/>
        <c:scaling>
          <c:orientation val="minMax"/>
          <c:max val="0.1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57976"/>
        <c:crosses val="autoZero"/>
        <c:crossBetween val="midCat"/>
        <c:dispUnits/>
        <c:majorUnit val="0.0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seq (all)
Probability p (Wilson intervals)</a:t>
            </a:r>
          </a:p>
        </c:rich>
      </c:tx>
      <c:layout>
        <c:manualLayout>
          <c:xMode val="factor"/>
          <c:yMode val="factor"/>
          <c:x val="0.00675"/>
          <c:y val="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25"/>
          <c:y val="0.10925"/>
          <c:w val="0.94075"/>
          <c:h val="0.850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'analysis of trend (seq)'!$B$6</c:f>
              <c:strCache>
                <c:ptCount val="1"/>
                <c:pt idx="0">
                  <c:v>probability p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'analysis of trend (seq)'!$D$16:$H$16</c:f>
                <c:numCache>
                  <c:ptCount val="3"/>
                  <c:pt idx="0">
                    <c:v>0.0010017007858941639</c:v>
                  </c:pt>
                  <c:pt idx="1">
                    <c:v>0.0026778410945822273</c:v>
                  </c:pt>
                  <c:pt idx="2">
                    <c:v>0.0453452711203929</c:v>
                  </c:pt>
                </c:numCache>
              </c:numRef>
            </c:plus>
            <c:minus>
              <c:numRef>
                <c:f>'analysis of trend (seq)'!$D$17:$H$17</c:f>
                <c:numCache>
                  <c:ptCount val="3"/>
                  <c:pt idx="0">
                    <c:v>0.0009838899778433223</c:v>
                  </c:pt>
                  <c:pt idx="1">
                    <c:v>0.0023101121668336016</c:v>
                  </c:pt>
                  <c:pt idx="2">
                    <c:v>0.025283420979480692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'analysis of trend (seq)'!$D$2:$F$2</c:f>
              <c:numCache>
                <c:ptCount val="3"/>
                <c:pt idx="0">
                  <c:v>1</c:v>
                </c:pt>
                <c:pt idx="1">
                  <c:v>2</c:v>
                </c:pt>
                <c:pt idx="2">
                  <c:v>3</c:v>
                </c:pt>
              </c:numCache>
            </c:numRef>
          </c:xVal>
          <c:yVal>
            <c:numRef>
              <c:f>'analysis of trend (seq)'!$D$6:$F$6</c:f>
              <c:numCache>
                <c:ptCount val="3"/>
                <c:pt idx="0">
                  <c:v>0.05228247136554753</c:v>
                </c:pt>
                <c:pt idx="1">
                  <c:v>0.01653956620778449</c:v>
                </c:pt>
                <c:pt idx="2">
                  <c:v>0.05389221556886228</c:v>
                </c:pt>
              </c:numCache>
            </c:numRef>
          </c:yVal>
          <c:smooth val="0"/>
        </c:ser>
        <c:axId val="10200564"/>
        <c:axId val="24696213"/>
      </c:scatterChart>
      <c:valAx>
        <c:axId val="102005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696213"/>
        <c:crosses val="autoZero"/>
        <c:crossBetween val="midCat"/>
        <c:dispUnits/>
        <c:majorUnit val="1"/>
      </c:valAx>
      <c:valAx>
        <c:axId val="24696213"/>
        <c:scaling>
          <c:orientation val="minMax"/>
          <c:max val="0.1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200564"/>
        <c:crosses val="autoZero"/>
        <c:crossBetween val="midCat"/>
        <c:dispUnits/>
        <c:majorUnit val="0.0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Frequency F</a:t>
            </a:r>
          </a:p>
        </c:rich>
      </c:tx>
      <c:layout>
        <c:manualLayout>
          <c:xMode val="factor"/>
          <c:yMode val="factor"/>
          <c:x val="0.00675"/>
          <c:y val="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25"/>
          <c:y val="0.11175"/>
          <c:w val="0.9405"/>
          <c:h val="0.849"/>
        </c:manualLayout>
      </c:layout>
      <c:scatterChart>
        <c:scatterStyle val="lineMarker"/>
        <c:varyColors val="0"/>
        <c:ser>
          <c:idx val="0"/>
          <c:order val="0"/>
          <c:tx>
            <c:strRef>
              <c:f>'analysis of trend (seq)'!$B$4</c:f>
              <c:strCache>
                <c:ptCount val="1"/>
                <c:pt idx="0">
                  <c:v>at least x F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'analysis of trend (seq)'!$C$2:$G$2</c:f>
              <c:numCach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xVal>
          <c:yVal>
            <c:numRef>
              <c:f>'analysis of trend (seq)'!$C$4:$G$4</c:f>
              <c:numCache>
                <c:ptCount val="5"/>
                <c:pt idx="0">
                  <c:v>193124</c:v>
                </c:pt>
                <c:pt idx="1">
                  <c:v>10097</c:v>
                </c:pt>
                <c:pt idx="2">
                  <c:v>167</c:v>
                </c:pt>
                <c:pt idx="3">
                  <c:v>9</c:v>
                </c:pt>
                <c:pt idx="4">
                  <c:v>0</c:v>
                </c:pt>
              </c:numCache>
            </c:numRef>
          </c:yVal>
          <c:smooth val="0"/>
        </c:ser>
        <c:axId val="20939326"/>
        <c:axId val="54236207"/>
      </c:scatterChart>
      <c:valAx>
        <c:axId val="209393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236207"/>
        <c:crosses val="autoZero"/>
        <c:crossBetween val="midCat"/>
        <c:dispUnits/>
        <c:majorUnit val="1"/>
      </c:valAx>
      <c:valAx>
        <c:axId val="54236207"/>
        <c:scaling>
          <c:orientation val="minMax"/>
          <c:max val="20000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939326"/>
        <c:crosses val="autoZero"/>
        <c:crossBetween val="midCat"/>
        <c:dispUnits/>
        <c:majorUnit val="5000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embed vs seq vs seq+cj 
Probability p (Wilson intervals)</a:t>
            </a:r>
          </a:p>
        </c:rich>
      </c:tx>
      <c:layout>
        <c:manualLayout>
          <c:xMode val="factor"/>
          <c:yMode val="factor"/>
          <c:x val="0.00675"/>
          <c:y val="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25"/>
          <c:y val="0.10375"/>
          <c:w val="0.94075"/>
          <c:h val="0.85825"/>
        </c:manualLayout>
      </c:layout>
      <c:scatterChart>
        <c:scatterStyle val="lineMarker"/>
        <c:varyColors val="0"/>
        <c:ser>
          <c:idx val="0"/>
          <c:order val="0"/>
          <c:tx>
            <c:v>seq+cj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'seq+cj'!$D$14:$H$14</c:f>
                <c:numCache>
                  <c:ptCount val="4"/>
                  <c:pt idx="0">
                    <c:v>0.0010017007858941639</c:v>
                  </c:pt>
                  <c:pt idx="1">
                    <c:v>0.003928335221873123</c:v>
                  </c:pt>
                  <c:pt idx="2">
                    <c:v>0.03266545825704545</c:v>
                  </c:pt>
                  <c:pt idx="3">
                    <c:v>0.16160138533671237</c:v>
                  </c:pt>
                </c:numCache>
              </c:numRef>
            </c:plus>
            <c:minus>
              <c:numRef>
                <c:f>'seq+cj'!$D$15:$H$15</c:f>
                <c:numCache>
                  <c:ptCount val="4"/>
                  <c:pt idx="0">
                    <c:v>0.0009838899778433223</c:v>
                  </c:pt>
                  <c:pt idx="1">
                    <c:v>0.0035772544746084526</c:v>
                  </c:pt>
                  <c:pt idx="2">
                    <c:v>0.02463057736415619</c:v>
                  </c:pt>
                  <c:pt idx="3">
                    <c:v>0.10791247192417808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'analysis of trend (seq)'!$D$2:$G$2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'seq+cj'!$D$4:$G$4</c:f>
              <c:numCache>
                <c:ptCount val="4"/>
                <c:pt idx="0">
                  <c:v>0.05228247136554753</c:v>
                </c:pt>
                <c:pt idx="1">
                  <c:v>0.03842725562048133</c:v>
                </c:pt>
                <c:pt idx="2">
                  <c:v>0.09020618556701031</c:v>
                </c:pt>
                <c:pt idx="3">
                  <c:v>0.22857142857142856</c:v>
                </c:pt>
              </c:numCache>
            </c:numRef>
          </c:yVal>
          <c:smooth val="0"/>
        </c:ser>
        <c:ser>
          <c:idx val="1"/>
          <c:order val="1"/>
          <c:tx>
            <c:v>seq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'analysis of trend (seq)'!$D$16:$G$16</c:f>
                <c:numCache>
                  <c:ptCount val="4"/>
                  <c:pt idx="0">
                    <c:v>0.0010017007858941639</c:v>
                  </c:pt>
                  <c:pt idx="1">
                    <c:v>0.0026778410945822273</c:v>
                  </c:pt>
                  <c:pt idx="2">
                    <c:v>0.0453452711203929</c:v>
                  </c:pt>
                  <c:pt idx="3">
                    <c:v>0.29914419596711445</c:v>
                  </c:pt>
                </c:numCache>
              </c:numRef>
            </c:plus>
            <c:minus>
              <c:numRef>
                <c:f>'analysis of trend (seq)'!$D$17:$G$17</c:f>
                <c:numCache>
                  <c:ptCount val="4"/>
                  <c:pt idx="0">
                    <c:v>0.0009838899778433223</c:v>
                  </c:pt>
                  <c:pt idx="1">
                    <c:v>0.0023101121668336016</c:v>
                  </c:pt>
                  <c:pt idx="2">
                    <c:v>0.025283420979480692</c:v>
                  </c:pt>
                  <c:pt idx="3">
                    <c:v>0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seq!$D$27:$G$27</c:f>
              <c:numCache/>
            </c:numRef>
          </c:xVal>
          <c:yVal>
            <c:numRef>
              <c:f>'analysis of trend (seq)'!$D$6:$F$6</c:f>
              <c:numCache>
                <c:ptCount val="3"/>
                <c:pt idx="0">
                  <c:v>0.05228247136554753</c:v>
                </c:pt>
                <c:pt idx="1">
                  <c:v>0.01653956620778449</c:v>
                </c:pt>
                <c:pt idx="2">
                  <c:v>0.05389221556886228</c:v>
                </c:pt>
              </c:numCache>
            </c:numRef>
          </c:yVal>
          <c:smooth val="0"/>
        </c:ser>
        <c:ser>
          <c:idx val="2"/>
          <c:order val="2"/>
          <c:tx>
            <c:v>embed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2"/>
            <c:spPr>
              <a:ln w="127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errBars>
            <c:errDir val="y"/>
            <c:errBarType val="both"/>
            <c:errValType val="cust"/>
            <c:plus>
              <c:numRef>
                <c:f>embed!$D$14:$G$14</c:f>
                <c:numCache>
                  <c:ptCount val="4"/>
                  <c:pt idx="0">
                    <c:v>0.0010439883961731703</c:v>
                  </c:pt>
                  <c:pt idx="1">
                    <c:v>0.0031493462019394594</c:v>
                  </c:pt>
                  <c:pt idx="2">
                    <c:v>0.02680239335276208</c:v>
                  </c:pt>
                  <c:pt idx="3">
                    <c:v>0.4898898203861473</c:v>
                  </c:pt>
                </c:numCache>
              </c:numRef>
            </c:plus>
            <c:minus>
              <c:numRef>
                <c:f>embed!$D$15:$G$15</c:f>
                <c:numCache>
                  <c:ptCount val="4"/>
                  <c:pt idx="0">
                    <c:v>0.0010252631357763578</c:v>
                  </c:pt>
                  <c:pt idx="1">
                    <c:v>0.002778046117729829</c:v>
                  </c:pt>
                  <c:pt idx="2">
                    <c:v>0.010747815405260566</c:v>
                  </c:pt>
                  <c:pt idx="3">
                    <c:v>0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seq!$D$5:$G$5</c:f>
              <c:numCache/>
            </c:numRef>
          </c:xVal>
          <c:yVal>
            <c:numRef>
              <c:f>embed!$D$4:$F$4</c:f>
              <c:numCache>
                <c:ptCount val="3"/>
                <c:pt idx="0">
                  <c:v>0.05390461516606839</c:v>
                </c:pt>
                <c:pt idx="1">
                  <c:v>0.023008311372390025</c:v>
                </c:pt>
                <c:pt idx="2">
                  <c:v>0.01762114537444934</c:v>
                </c:pt>
              </c:numCache>
            </c:numRef>
          </c:yVal>
          <c:smooth val="0"/>
        </c:ser>
        <c:axId val="18363816"/>
        <c:axId val="31056617"/>
      </c:scatterChart>
      <c:valAx>
        <c:axId val="183638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056617"/>
        <c:crosses val="autoZero"/>
        <c:crossBetween val="midCat"/>
        <c:dispUnits/>
        <c:majorUnit val="1"/>
      </c:valAx>
      <c:valAx>
        <c:axId val="31056617"/>
        <c:scaling>
          <c:orientation val="minMax"/>
          <c:max val="0.3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363816"/>
        <c:crosses val="autoZero"/>
        <c:crossBetween val="midCat"/>
        <c:dispUnits/>
        <c:majorUnit val="0.0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seq(+cj), written vs. spoken 
Probability p (Wilson intervals)</a:t>
            </a:r>
          </a:p>
        </c:rich>
      </c:tx>
      <c:layout>
        <c:manualLayout>
          <c:xMode val="factor"/>
          <c:yMode val="factor"/>
          <c:x val="0.00675"/>
          <c:y val="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04"/>
          <c:w val="0.94075"/>
          <c:h val="0.85775"/>
        </c:manualLayout>
      </c:layout>
      <c:scatterChart>
        <c:scatterStyle val="lineMarker"/>
        <c:varyColors val="0"/>
        <c:ser>
          <c:idx val="3"/>
          <c:order val="0"/>
          <c:tx>
            <c:v>written (seq+cj)</c:v>
          </c:tx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'seq+cj'!$D$37:$G$37</c:f>
                <c:numCache>
                  <c:ptCount val="4"/>
                  <c:pt idx="0">
                    <c:v>0.0013644320669447473</c:v>
                  </c:pt>
                  <c:pt idx="1">
                    <c:v>0.005408047189914407</c:v>
                  </c:pt>
                  <c:pt idx="2">
                    <c:v>0.05052256232445563</c:v>
                  </c:pt>
                  <c:pt idx="3">
                    <c:v>0.3968354237383739</c:v>
                  </c:pt>
                </c:numCache>
              </c:numRef>
            </c:plus>
            <c:minus>
              <c:numRef>
                <c:f>'seq+cj'!$D$38:$G$38</c:f>
                <c:numCache>
                  <c:ptCount val="4"/>
                  <c:pt idx="0">
                    <c:v>0.0013276476129070807</c:v>
                  </c:pt>
                  <c:pt idx="1">
                    <c:v>0.004593240276242358</c:v>
                  </c:pt>
                  <c:pt idx="2">
                    <c:v>0.02464361003885395</c:v>
                  </c:pt>
                  <c:pt idx="3">
                    <c:v>0.13661321019314462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'seq+cj'!$D$23:$G$23</c:f>
              <c:numCache>
                <c:ptCount val="4"/>
                <c:pt idx="0">
                  <c:v>1.1</c:v>
                </c:pt>
                <c:pt idx="1">
                  <c:v>2.1</c:v>
                </c:pt>
                <c:pt idx="2">
                  <c:v>3.1</c:v>
                </c:pt>
                <c:pt idx="3">
                  <c:v>4.1</c:v>
                </c:pt>
              </c:numCache>
            </c:numRef>
          </c:xVal>
          <c:yVal>
            <c:numRef>
              <c:f>'seq+cj'!$D$27:$G$27</c:f>
              <c:numCache>
                <c:ptCount val="4"/>
                <c:pt idx="0">
                  <c:v>0.04682662947584181</c:v>
                </c:pt>
                <c:pt idx="1">
                  <c:v>0.029557761732851986</c:v>
                </c:pt>
                <c:pt idx="2">
                  <c:v>0.04580152671755725</c:v>
                </c:pt>
                <c:pt idx="3">
                  <c:v>0.16666666666666666</c:v>
                </c:pt>
              </c:numCache>
            </c:numRef>
          </c:yVal>
          <c:smooth val="0"/>
        </c:ser>
        <c:ser>
          <c:idx val="0"/>
          <c:order val="1"/>
          <c:tx>
            <c:v>written (seq)</c:v>
          </c:tx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seq!$D$19:$H$19</c:f>
                <c:numCache>
                  <c:ptCount val="4"/>
                  <c:pt idx="0">
                    <c:v>0.001364403975343798</c:v>
                  </c:pt>
                  <c:pt idx="1">
                    <c:v>0.00310152477158565</c:v>
                  </c:pt>
                  <c:pt idx="2">
                    <c:v>0.09641827436225328</c:v>
                  </c:pt>
                  <c:pt idx="3">
                    <c:v>NaN</c:v>
                  </c:pt>
                </c:numCache>
              </c:numRef>
            </c:plus>
            <c:minus>
              <c:numRef>
                <c:f>seq!$D$20:$H$20</c:f>
                <c:numCache>
                  <c:ptCount val="4"/>
                  <c:pt idx="0">
                    <c:v>0.001327620218240822</c:v>
                  </c:pt>
                  <c:pt idx="1">
                    <c:v>0.0022495923630460523</c:v>
                  </c:pt>
                  <c:pt idx="2">
                    <c:v>0</c:v>
                  </c:pt>
                  <c:pt idx="3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seq!$D$5:$F$5</c:f>
              <c:numCache/>
            </c:numRef>
          </c:xVal>
          <c:yVal>
            <c:numRef>
              <c:f>seq!$D$9:$F$9</c:f>
              <c:numCache/>
            </c:numRef>
          </c:yVal>
          <c:smooth val="0"/>
        </c:ser>
        <c:ser>
          <c:idx val="2"/>
          <c:order val="2"/>
          <c:tx>
            <c:v>spoken (seq+cj)</c:v>
          </c:tx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'seq+cj'!$D$59:$H$59</c:f>
                <c:numCache>
                  <c:ptCount val="4"/>
                  <c:pt idx="0">
                    <c:v>0.0014716102375567875</c:v>
                  </c:pt>
                  <c:pt idx="1">
                    <c:v>0.005734158654090344</c:v>
                  </c:pt>
                  <c:pt idx="2">
                    <c:v>0.04451933091031041</c:v>
                  </c:pt>
                  <c:pt idx="3">
                    <c:v>0.17969631794924135</c:v>
                  </c:pt>
                </c:numCache>
              </c:numRef>
            </c:plus>
            <c:minus>
              <c:numRef>
                <c:f>'seq+cj'!$D$60:$H$60</c:f>
                <c:numCache>
                  <c:ptCount val="4"/>
                  <c:pt idx="0">
                    <c:v>0.0014370910713443442</c:v>
                  </c:pt>
                  <c:pt idx="1">
                    <c:v>0.005118001150208235</c:v>
                  </c:pt>
                  <c:pt idx="2">
                    <c:v>0.03311584120402165</c:v>
                  </c:pt>
                  <c:pt idx="3">
                    <c:v>0.11919491525689169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'seq+cj'!$D$45:$G$45</c:f>
              <c:numCache>
                <c:ptCount val="4"/>
                <c:pt idx="0">
                  <c:v>0.9</c:v>
                </c:pt>
                <c:pt idx="1">
                  <c:v>1.9</c:v>
                </c:pt>
                <c:pt idx="2">
                  <c:v>2.9</c:v>
                </c:pt>
                <c:pt idx="3">
                  <c:v>3.9</c:v>
                </c:pt>
              </c:numCache>
            </c:numRef>
          </c:xVal>
          <c:yVal>
            <c:numRef>
              <c:f>'seq+cj'!$D$49:$G$49</c:f>
              <c:numCache>
                <c:ptCount val="4"/>
                <c:pt idx="0">
                  <c:v>0.05752612285102105</c:v>
                </c:pt>
                <c:pt idx="1">
                  <c:v>0.04536628420123566</c:v>
                </c:pt>
                <c:pt idx="2">
                  <c:v>0.11284046692607004</c:v>
                </c:pt>
                <c:pt idx="3">
                  <c:v>0.2413793103448276</c:v>
                </c:pt>
              </c:numCache>
            </c:numRef>
          </c:yVal>
          <c:smooth val="0"/>
        </c:ser>
        <c:ser>
          <c:idx val="1"/>
          <c:order val="3"/>
          <c:tx>
            <c:v>spoken (seq)</c:v>
          </c:tx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seq!$D$41:$H$41</c:f>
                <c:numCache>
                  <c:ptCount val="4"/>
                  <c:pt idx="0">
                    <c:v>0.0014716391775124395</c:v>
                  </c:pt>
                  <c:pt idx="1">
                    <c:v>0.0042489823921620495</c:v>
                  </c:pt>
                  <c:pt idx="2">
                    <c:v>0.056713829665880455</c:v>
                  </c:pt>
                  <c:pt idx="3">
                    <c:v>0.29914419596711445</c:v>
                  </c:pt>
                </c:numCache>
              </c:numRef>
            </c:plus>
            <c:minus>
              <c:numRef>
                <c:f>seq!$D$42:$H$42</c:f>
                <c:numCache>
                  <c:ptCount val="4"/>
                  <c:pt idx="0">
                    <c:v>0.0014371194014013507</c:v>
                  </c:pt>
                  <c:pt idx="1">
                    <c:v>0.0036026808985734054</c:v>
                  </c:pt>
                  <c:pt idx="2">
                    <c:v>0.03213969850392254</c:v>
                  </c:pt>
                  <c:pt idx="3">
                    <c:v>0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seq!$D$27:$F$27</c:f>
              <c:numCache/>
            </c:numRef>
          </c:xVal>
          <c:yVal>
            <c:numRef>
              <c:f>seq!$D$31:$F$31</c:f>
              <c:numCache/>
            </c:numRef>
          </c:yVal>
          <c:smooth val="0"/>
        </c:ser>
        <c:axId val="11074098"/>
        <c:axId val="32558019"/>
      </c:scatterChart>
      <c:valAx>
        <c:axId val="110740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558019"/>
        <c:crosses val="autoZero"/>
        <c:crossBetween val="midCat"/>
        <c:dispUnits/>
        <c:majorUnit val="1"/>
      </c:valAx>
      <c:valAx>
        <c:axId val="32558019"/>
        <c:scaling>
          <c:orientation val="minMax"/>
          <c:max val="0.3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074098"/>
        <c:crosses val="autoZero"/>
        <c:crossBetween val="midCat"/>
        <c:dispUnits/>
        <c:majorUnit val="0.0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seq+cj, spoken vs. written
Probability p (Wilson intervals)</a:t>
            </a:r>
          </a:p>
        </c:rich>
      </c:tx>
      <c:layout>
        <c:manualLayout>
          <c:xMode val="factor"/>
          <c:yMode val="factor"/>
          <c:x val="0.005"/>
          <c:y val="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25"/>
          <c:y val="0.101"/>
          <c:w val="0.94075"/>
          <c:h val="0.8615"/>
        </c:manualLayout>
      </c:layout>
      <c:scatterChart>
        <c:scatterStyle val="lineMarker"/>
        <c:varyColors val="0"/>
        <c:ser>
          <c:idx val="0"/>
          <c:order val="0"/>
          <c:tx>
            <c:strRef>
              <c:f>'analysis of trend (seq)'!$B$6</c:f>
              <c:strCache>
                <c:ptCount val="1"/>
                <c:pt idx="0">
                  <c:v>probability p</c:v>
                </c:pt>
              </c:strCache>
            </c:strRef>
          </c:tx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'seq+cj'!$D$37:$H$37</c:f>
                <c:numCache>
                  <c:ptCount val="4"/>
                  <c:pt idx="0">
                    <c:v>0.0013644320669447473</c:v>
                  </c:pt>
                  <c:pt idx="1">
                    <c:v>0.005408047189914407</c:v>
                  </c:pt>
                  <c:pt idx="2">
                    <c:v>0.05052256232445563</c:v>
                  </c:pt>
                  <c:pt idx="3">
                    <c:v>0.3968354237383739</c:v>
                  </c:pt>
                </c:numCache>
              </c:numRef>
            </c:plus>
            <c:minus>
              <c:numRef>
                <c:f>'seq+cj'!$D$38:$H$38</c:f>
                <c:numCache>
                  <c:ptCount val="4"/>
                  <c:pt idx="0">
                    <c:v>0.0013276476129070807</c:v>
                  </c:pt>
                  <c:pt idx="1">
                    <c:v>0.004593240276242358</c:v>
                  </c:pt>
                  <c:pt idx="2">
                    <c:v>0.02464361003885395</c:v>
                  </c:pt>
                  <c:pt idx="3">
                    <c:v>0.13661321019314462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'seq+cj'!$D$23:$G$23</c:f>
              <c:numCache/>
            </c:numRef>
          </c:xVal>
          <c:yVal>
            <c:numRef>
              <c:f>'seq+cj'!$D$27:$G$27</c:f>
              <c:numCache/>
            </c:numRef>
          </c:y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'seq+cj'!$D$59:$H$59</c:f>
                <c:numCache>
                  <c:ptCount val="4"/>
                  <c:pt idx="0">
                    <c:v>0.0014716102375567875</c:v>
                  </c:pt>
                  <c:pt idx="1">
                    <c:v>0.005734158654090344</c:v>
                  </c:pt>
                  <c:pt idx="2">
                    <c:v>0.04451933091031041</c:v>
                  </c:pt>
                  <c:pt idx="3">
                    <c:v>0.17969631794924135</c:v>
                  </c:pt>
                </c:numCache>
              </c:numRef>
            </c:plus>
            <c:minus>
              <c:numRef>
                <c:f>'seq+cj'!$D$60:$H$60</c:f>
                <c:numCache>
                  <c:ptCount val="4"/>
                  <c:pt idx="0">
                    <c:v>0.0014370910713443442</c:v>
                  </c:pt>
                  <c:pt idx="1">
                    <c:v>0.005118001150208235</c:v>
                  </c:pt>
                  <c:pt idx="2">
                    <c:v>0.03311584120402165</c:v>
                  </c:pt>
                  <c:pt idx="3">
                    <c:v>0.11919491525689169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'seq+cj'!$D$45:$G$45</c:f>
              <c:numCache/>
            </c:numRef>
          </c:xVal>
          <c:yVal>
            <c:numRef>
              <c:f>'seq+cj'!$D$49:$G$49</c:f>
              <c:numCache/>
            </c:numRef>
          </c:yVal>
          <c:smooth val="0"/>
        </c:ser>
        <c:axId val="24586716"/>
        <c:axId val="19953853"/>
      </c:scatterChart>
      <c:valAx>
        <c:axId val="245867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953853"/>
        <c:crosses val="autoZero"/>
        <c:crossBetween val="midCat"/>
        <c:dispUnits/>
        <c:majorUnit val="1"/>
      </c:valAx>
      <c:valAx>
        <c:axId val="19953853"/>
        <c:scaling>
          <c:orientation val="minMax"/>
          <c:max val="0.4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586716"/>
        <c:crosses val="autoZero"/>
        <c:crossBetween val="midCat"/>
        <c:dispUnits/>
        <c:majorUnit val="0.0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seq+cj (all)
Probability p (Wilson intervals)</a:t>
            </a:r>
          </a:p>
        </c:rich>
      </c:tx>
      <c:layout>
        <c:manualLayout>
          <c:xMode val="factor"/>
          <c:yMode val="factor"/>
          <c:x val="0.00675"/>
          <c:y val="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25"/>
          <c:y val="0.107"/>
          <c:w val="0.94075"/>
          <c:h val="0.85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'analysis of trend (seq)'!$B$6</c:f>
              <c:strCache>
                <c:ptCount val="1"/>
                <c:pt idx="0">
                  <c:v>probability p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'seq+cj'!$D$14:$H$14</c:f>
                <c:numCache>
                  <c:ptCount val="4"/>
                  <c:pt idx="0">
                    <c:v>0.0010017007858941639</c:v>
                  </c:pt>
                  <c:pt idx="1">
                    <c:v>0.003928335221873123</c:v>
                  </c:pt>
                  <c:pt idx="2">
                    <c:v>0.03266545825704545</c:v>
                  </c:pt>
                  <c:pt idx="3">
                    <c:v>0.16160138533671237</c:v>
                  </c:pt>
                </c:numCache>
              </c:numRef>
            </c:plus>
            <c:minus>
              <c:numRef>
                <c:f>'seq+cj'!$D$15:$H$15</c:f>
                <c:numCache>
                  <c:ptCount val="4"/>
                  <c:pt idx="0">
                    <c:v>0.0009838899778433223</c:v>
                  </c:pt>
                  <c:pt idx="1">
                    <c:v>0.0035772544746084526</c:v>
                  </c:pt>
                  <c:pt idx="2">
                    <c:v>0.02463057736415619</c:v>
                  </c:pt>
                  <c:pt idx="3">
                    <c:v>0.10791247192417808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'analysis of trend (seq)'!$D$2:$G$2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'seq+cj'!$D$4:$G$4</c:f>
              <c:numCache/>
            </c:numRef>
          </c:yVal>
          <c:smooth val="0"/>
        </c:ser>
        <c:axId val="45366950"/>
        <c:axId val="5649367"/>
      </c:scatterChart>
      <c:valAx>
        <c:axId val="453669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49367"/>
        <c:crosses val="autoZero"/>
        <c:crossBetween val="midCat"/>
        <c:dispUnits/>
        <c:majorUnit val="1"/>
      </c:valAx>
      <c:valAx>
        <c:axId val="5649367"/>
        <c:scaling>
          <c:orientation val="minMax"/>
          <c:max val="0.4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366950"/>
        <c:crosses val="autoZero"/>
        <c:crossBetween val="midCat"/>
        <c:dispUnits/>
        <c:majorUnit val="0.0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Frequency F</a:t>
            </a:r>
          </a:p>
        </c:rich>
      </c:tx>
      <c:layout>
        <c:manualLayout>
          <c:xMode val="factor"/>
          <c:yMode val="factor"/>
          <c:x val="0.00675"/>
          <c:y val="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25"/>
          <c:y val="0.11175"/>
          <c:w val="0.9405"/>
          <c:h val="0.849"/>
        </c:manualLayout>
      </c:layout>
      <c:scatterChart>
        <c:scatterStyle val="lineMarker"/>
        <c:varyColors val="0"/>
        <c:ser>
          <c:idx val="0"/>
          <c:order val="0"/>
          <c:tx>
            <c:strRef>
              <c:f>'analysis of trend (seq)'!$B$4</c:f>
              <c:strCache>
                <c:ptCount val="1"/>
                <c:pt idx="0">
                  <c:v>at least x F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'analysis of trend (seq)'!$C$2:$G$2</c:f>
              <c:numCach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xVal>
          <c:yVal>
            <c:numRef>
              <c:f>'seq+cj'!$C$2:$G$2</c:f>
              <c:numCache/>
            </c:numRef>
          </c:yVal>
          <c:smooth val="0"/>
        </c:ser>
        <c:axId val="50844304"/>
        <c:axId val="54945553"/>
      </c:scatterChart>
      <c:valAx>
        <c:axId val="508443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945553"/>
        <c:crosses val="autoZero"/>
        <c:crossBetween val="midCat"/>
        <c:dispUnits/>
        <c:majorUnit val="1"/>
      </c:valAx>
      <c:valAx>
        <c:axId val="54945553"/>
        <c:scaling>
          <c:orientation val="minMax"/>
          <c:max val="20000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844304"/>
        <c:crosses val="autoZero"/>
        <c:crossBetween val="midCat"/>
        <c:dispUnits/>
        <c:majorUnit val="5000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embed, spoken vs written
Probability p (Wilson intervals)</a:t>
            </a:r>
          </a:p>
        </c:rich>
      </c:tx>
      <c:layout>
        <c:manualLayout>
          <c:xMode val="factor"/>
          <c:yMode val="factor"/>
          <c:x val="0.00675"/>
          <c:y val="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25"/>
          <c:y val="0.10475"/>
          <c:w val="0.94075"/>
          <c:h val="0.85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'analysis of trend (seq)'!$B$6</c:f>
              <c:strCache>
                <c:ptCount val="1"/>
                <c:pt idx="0">
                  <c:v>probability p</c:v>
                </c:pt>
              </c:strCache>
            </c:strRef>
          </c:tx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embed!$D$37:$H$37</c:f>
                <c:numCache>
                  <c:ptCount val="3"/>
                  <c:pt idx="0">
                    <c:v>0.0014852502921783076</c:v>
                  </c:pt>
                  <c:pt idx="1">
                    <c:v>0.004973501091777012</c:v>
                  </c:pt>
                  <c:pt idx="2">
                    <c:v>0.03847543743777172</c:v>
                  </c:pt>
                </c:numCache>
              </c:numRef>
            </c:plus>
            <c:minus>
              <c:numRef>
                <c:f>embed!$D$38:$H$38</c:f>
                <c:numCache>
                  <c:ptCount val="3"/>
                  <c:pt idx="0">
                    <c:v>0.0014443330869579655</c:v>
                  </c:pt>
                  <c:pt idx="1">
                    <c:v>0.004101678403402459</c:v>
                  </c:pt>
                  <c:pt idx="2">
                    <c:v>0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embed!$D$23:$F$23</c:f>
              <c:numCache/>
            </c:numRef>
          </c:xVal>
          <c:yVal>
            <c:numRef>
              <c:f>embed!$D$27:$F$27</c:f>
              <c:numCache/>
            </c:numRef>
          </c:y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embed!$D$59:$H$59</c:f>
                <c:numCache>
                  <c:ptCount val="3"/>
                  <c:pt idx="0">
                    <c:v>0.0014716102375567875</c:v>
                  </c:pt>
                  <c:pt idx="1">
                    <c:v>0.0042489823921620495</c:v>
                  </c:pt>
                  <c:pt idx="2">
                    <c:v>0.04534619347810254</c:v>
                  </c:pt>
                </c:numCache>
              </c:numRef>
            </c:plus>
            <c:minus>
              <c:numRef>
                <c:f>embed!$D$60:$H$60</c:f>
                <c:numCache>
                  <c:ptCount val="3"/>
                  <c:pt idx="0">
                    <c:v>0.0014370910713443442</c:v>
                  </c:pt>
                  <c:pt idx="1">
                    <c:v>0.0036026808985734054</c:v>
                  </c:pt>
                  <c:pt idx="2">
                    <c:v>0.01859736044340499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embed!$D$45:$F$45</c:f>
              <c:numCache/>
            </c:numRef>
          </c:xVal>
          <c:yVal>
            <c:numRef>
              <c:f>embed!$D$49:$F$49</c:f>
              <c:numCache/>
            </c:numRef>
          </c:yVal>
          <c:smooth val="0"/>
        </c:ser>
        <c:axId val="24747930"/>
        <c:axId val="21404779"/>
      </c:scatterChart>
      <c:valAx>
        <c:axId val="247479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404779"/>
        <c:crosses val="autoZero"/>
        <c:crossBetween val="midCat"/>
        <c:dispUnits/>
        <c:majorUnit val="1"/>
      </c:valAx>
      <c:valAx>
        <c:axId val="21404779"/>
        <c:scaling>
          <c:orientation val="minMax"/>
          <c:max val="0.1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747930"/>
        <c:crosses val="autoZero"/>
        <c:crossBetween val="midCat"/>
        <c:dispUnits/>
        <c:majorUnit val="0.0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419100</xdr:colOff>
      <xdr:row>36</xdr:row>
      <xdr:rowOff>9525</xdr:rowOff>
    </xdr:from>
    <xdr:to>
      <xdr:col>17</xdr:col>
      <xdr:colOff>314325</xdr:colOff>
      <xdr:row>53</xdr:row>
      <xdr:rowOff>114300</xdr:rowOff>
    </xdr:to>
    <xdr:graphicFrame>
      <xdr:nvGraphicFramePr>
        <xdr:cNvPr id="1" name="Chart 1"/>
        <xdr:cNvGraphicFramePr/>
      </xdr:nvGraphicFramePr>
      <xdr:xfrm>
        <a:off x="9115425" y="6200775"/>
        <a:ext cx="3838575" cy="292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342900</xdr:colOff>
      <xdr:row>18</xdr:row>
      <xdr:rowOff>85725</xdr:rowOff>
    </xdr:from>
    <xdr:to>
      <xdr:col>17</xdr:col>
      <xdr:colOff>238125</xdr:colOff>
      <xdr:row>35</xdr:row>
      <xdr:rowOff>0</xdr:rowOff>
    </xdr:to>
    <xdr:graphicFrame>
      <xdr:nvGraphicFramePr>
        <xdr:cNvPr id="2" name="Chart 18"/>
        <xdr:cNvGraphicFramePr/>
      </xdr:nvGraphicFramePr>
      <xdr:xfrm>
        <a:off x="9039225" y="3200400"/>
        <a:ext cx="3838575" cy="2828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352425</xdr:colOff>
      <xdr:row>0</xdr:row>
      <xdr:rowOff>133350</xdr:rowOff>
    </xdr:from>
    <xdr:to>
      <xdr:col>17</xdr:col>
      <xdr:colOff>238125</xdr:colOff>
      <xdr:row>16</xdr:row>
      <xdr:rowOff>123825</xdr:rowOff>
    </xdr:to>
    <xdr:graphicFrame>
      <xdr:nvGraphicFramePr>
        <xdr:cNvPr id="3" name="Chart 19"/>
        <xdr:cNvGraphicFramePr/>
      </xdr:nvGraphicFramePr>
      <xdr:xfrm>
        <a:off x="9048750" y="133350"/>
        <a:ext cx="3829050" cy="2781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409575</xdr:colOff>
      <xdr:row>54</xdr:row>
      <xdr:rowOff>95250</xdr:rowOff>
    </xdr:from>
    <xdr:to>
      <xdr:col>17</xdr:col>
      <xdr:colOff>304800</xdr:colOff>
      <xdr:row>72</xdr:row>
      <xdr:rowOff>47625</xdr:rowOff>
    </xdr:to>
    <xdr:graphicFrame>
      <xdr:nvGraphicFramePr>
        <xdr:cNvPr id="4" name="Chart 22"/>
        <xdr:cNvGraphicFramePr/>
      </xdr:nvGraphicFramePr>
      <xdr:xfrm>
        <a:off x="9105900" y="9267825"/>
        <a:ext cx="3838575" cy="2971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18</xdr:col>
      <xdr:colOff>0</xdr:colOff>
      <xdr:row>36</xdr:row>
      <xdr:rowOff>0</xdr:rowOff>
    </xdr:from>
    <xdr:to>
      <xdr:col>24</xdr:col>
      <xdr:colOff>190500</xdr:colOff>
      <xdr:row>53</xdr:row>
      <xdr:rowOff>114300</xdr:rowOff>
    </xdr:to>
    <xdr:graphicFrame>
      <xdr:nvGraphicFramePr>
        <xdr:cNvPr id="5" name="Chart 24"/>
        <xdr:cNvGraphicFramePr/>
      </xdr:nvGraphicFramePr>
      <xdr:xfrm>
        <a:off x="13249275" y="6191250"/>
        <a:ext cx="3848100" cy="29337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314325</xdr:colOff>
      <xdr:row>35</xdr:row>
      <xdr:rowOff>95250</xdr:rowOff>
    </xdr:from>
    <xdr:to>
      <xdr:col>17</xdr:col>
      <xdr:colOff>209550</xdr:colOff>
      <xdr:row>53</xdr:row>
      <xdr:rowOff>19050</xdr:rowOff>
    </xdr:to>
    <xdr:graphicFrame>
      <xdr:nvGraphicFramePr>
        <xdr:cNvPr id="1" name="Chart 1"/>
        <xdr:cNvGraphicFramePr/>
      </xdr:nvGraphicFramePr>
      <xdr:xfrm>
        <a:off x="9010650" y="6124575"/>
        <a:ext cx="3838575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342900</xdr:colOff>
      <xdr:row>17</xdr:row>
      <xdr:rowOff>85725</xdr:rowOff>
    </xdr:from>
    <xdr:to>
      <xdr:col>17</xdr:col>
      <xdr:colOff>238125</xdr:colOff>
      <xdr:row>34</xdr:row>
      <xdr:rowOff>0</xdr:rowOff>
    </xdr:to>
    <xdr:graphicFrame>
      <xdr:nvGraphicFramePr>
        <xdr:cNvPr id="2" name="Chart 2"/>
        <xdr:cNvGraphicFramePr/>
      </xdr:nvGraphicFramePr>
      <xdr:xfrm>
        <a:off x="9039225" y="3038475"/>
        <a:ext cx="3838575" cy="2828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361950</xdr:colOff>
      <xdr:row>0</xdr:row>
      <xdr:rowOff>57150</xdr:rowOff>
    </xdr:from>
    <xdr:to>
      <xdr:col>17</xdr:col>
      <xdr:colOff>247650</xdr:colOff>
      <xdr:row>16</xdr:row>
      <xdr:rowOff>47625</xdr:rowOff>
    </xdr:to>
    <xdr:graphicFrame>
      <xdr:nvGraphicFramePr>
        <xdr:cNvPr id="3" name="Chart 3"/>
        <xdr:cNvGraphicFramePr/>
      </xdr:nvGraphicFramePr>
      <xdr:xfrm>
        <a:off x="9058275" y="57150"/>
        <a:ext cx="3829050" cy="2781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323850</xdr:colOff>
      <xdr:row>35</xdr:row>
      <xdr:rowOff>95250</xdr:rowOff>
    </xdr:from>
    <xdr:to>
      <xdr:col>17</xdr:col>
      <xdr:colOff>219075</xdr:colOff>
      <xdr:row>53</xdr:row>
      <xdr:rowOff>19050</xdr:rowOff>
    </xdr:to>
    <xdr:graphicFrame>
      <xdr:nvGraphicFramePr>
        <xdr:cNvPr id="1" name="Chart 1"/>
        <xdr:cNvGraphicFramePr/>
      </xdr:nvGraphicFramePr>
      <xdr:xfrm>
        <a:off x="9020175" y="6191250"/>
        <a:ext cx="3838575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342900</xdr:colOff>
      <xdr:row>17</xdr:row>
      <xdr:rowOff>85725</xdr:rowOff>
    </xdr:from>
    <xdr:to>
      <xdr:col>17</xdr:col>
      <xdr:colOff>238125</xdr:colOff>
      <xdr:row>34</xdr:row>
      <xdr:rowOff>0</xdr:rowOff>
    </xdr:to>
    <xdr:graphicFrame>
      <xdr:nvGraphicFramePr>
        <xdr:cNvPr id="2" name="Chart 2"/>
        <xdr:cNvGraphicFramePr/>
      </xdr:nvGraphicFramePr>
      <xdr:xfrm>
        <a:off x="9039225" y="3038475"/>
        <a:ext cx="3838575" cy="2895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361950</xdr:colOff>
      <xdr:row>0</xdr:row>
      <xdr:rowOff>57150</xdr:rowOff>
    </xdr:from>
    <xdr:to>
      <xdr:col>17</xdr:col>
      <xdr:colOff>247650</xdr:colOff>
      <xdr:row>16</xdr:row>
      <xdr:rowOff>47625</xdr:rowOff>
    </xdr:to>
    <xdr:graphicFrame>
      <xdr:nvGraphicFramePr>
        <xdr:cNvPr id="3" name="Chart 3"/>
        <xdr:cNvGraphicFramePr/>
      </xdr:nvGraphicFramePr>
      <xdr:xfrm>
        <a:off x="9058275" y="57150"/>
        <a:ext cx="3829050" cy="2781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18</xdr:col>
      <xdr:colOff>0</xdr:colOff>
      <xdr:row>36</xdr:row>
      <xdr:rowOff>0</xdr:rowOff>
    </xdr:from>
    <xdr:to>
      <xdr:col>24</xdr:col>
      <xdr:colOff>190500</xdr:colOff>
      <xdr:row>53</xdr:row>
      <xdr:rowOff>95250</xdr:rowOff>
    </xdr:to>
    <xdr:graphicFrame>
      <xdr:nvGraphicFramePr>
        <xdr:cNvPr id="4" name="Chart 4"/>
        <xdr:cNvGraphicFramePr/>
      </xdr:nvGraphicFramePr>
      <xdr:xfrm>
        <a:off x="13249275" y="6257925"/>
        <a:ext cx="3848100" cy="30099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3.8515625" style="0" customWidth="1"/>
    <col min="2" max="2" width="20.8515625" style="8" bestFit="1" customWidth="1"/>
    <col min="3" max="3" width="11.57421875" style="0" bestFit="1" customWidth="1"/>
    <col min="4" max="4" width="12.421875" style="0" bestFit="1" customWidth="1"/>
    <col min="5" max="8" width="10.7109375" style="0" customWidth="1"/>
    <col min="9" max="9" width="9.57421875" style="0" customWidth="1"/>
    <col min="10" max="10" width="10.140625" style="0" bestFit="1" customWidth="1"/>
    <col min="16" max="16" width="12.421875" style="0" bestFit="1" customWidth="1"/>
    <col min="17" max="17" width="10.140625" style="0" bestFit="1" customWidth="1"/>
  </cols>
  <sheetData>
    <row r="1" spans="2:8" ht="15.75">
      <c r="B1" s="21" t="s">
        <v>7</v>
      </c>
      <c r="H1" s="10" t="s">
        <v>30</v>
      </c>
    </row>
    <row r="2" spans="1:8" ht="15">
      <c r="A2" s="22" t="s">
        <v>16</v>
      </c>
      <c r="B2" s="9" t="s">
        <v>8</v>
      </c>
      <c r="C2" s="9">
        <v>0</v>
      </c>
      <c r="D2" s="9">
        <f>C2+1</f>
        <v>1</v>
      </c>
      <c r="E2" s="9">
        <f>D2+1</f>
        <v>2</v>
      </c>
      <c r="F2" s="9">
        <f>E2+1</f>
        <v>3</v>
      </c>
      <c r="G2" s="9">
        <f>F2+1</f>
        <v>4</v>
      </c>
      <c r="H2" s="9">
        <f>G2+1</f>
        <v>5</v>
      </c>
    </row>
    <row r="3" spans="2:8" ht="12.75">
      <c r="B3" s="18" t="s">
        <v>104</v>
      </c>
      <c r="C3" s="19">
        <f>seq!C1</f>
        <v>183027</v>
      </c>
      <c r="D3" s="19">
        <f>seq!D1</f>
        <v>9930</v>
      </c>
      <c r="E3" s="19">
        <f>seq!E1</f>
        <v>158</v>
      </c>
      <c r="F3" s="19">
        <f>seq!F1</f>
        <v>9</v>
      </c>
      <c r="G3" s="19">
        <f>seq!G1</f>
        <v>0</v>
      </c>
      <c r="H3" s="19">
        <f>seq!H1</f>
        <v>0</v>
      </c>
    </row>
    <row r="4" spans="2:21" ht="12.75">
      <c r="B4" s="18" t="s">
        <v>10</v>
      </c>
      <c r="C4" s="31">
        <f aca="true" t="shared" si="0" ref="C4:H4">C3+D4</f>
        <v>193124</v>
      </c>
      <c r="D4" s="31">
        <f t="shared" si="0"/>
        <v>10097</v>
      </c>
      <c r="E4" s="31">
        <f t="shared" si="0"/>
        <v>167</v>
      </c>
      <c r="F4" s="31">
        <f t="shared" si="0"/>
        <v>9</v>
      </c>
      <c r="G4" s="31">
        <f t="shared" si="0"/>
        <v>0</v>
      </c>
      <c r="H4" s="31">
        <f t="shared" si="0"/>
        <v>0</v>
      </c>
      <c r="I4" s="20"/>
      <c r="J4" s="10" t="s">
        <v>105</v>
      </c>
      <c r="N4" s="1"/>
      <c r="Q4" s="1"/>
      <c r="R4" s="1"/>
      <c r="S4" s="1"/>
      <c r="T4" s="1"/>
      <c r="U4" s="1"/>
    </row>
    <row r="5" spans="1:21" ht="12.75">
      <c r="A5" s="17"/>
      <c r="B5" s="18"/>
      <c r="C5" s="19"/>
      <c r="D5" s="19"/>
      <c r="E5" s="19"/>
      <c r="F5" s="17"/>
      <c r="G5" s="17"/>
      <c r="H5" s="17"/>
      <c r="J5" s="1"/>
      <c r="K5" s="1"/>
      <c r="L5" s="1"/>
      <c r="M5" s="1"/>
      <c r="N5" s="1"/>
      <c r="Q5" s="1"/>
      <c r="R5" s="1"/>
      <c r="S5" s="1"/>
      <c r="T5" s="1"/>
      <c r="U5" s="1"/>
    </row>
    <row r="6" spans="2:12" ht="12.75">
      <c r="B6" s="8" t="s">
        <v>11</v>
      </c>
      <c r="C6" s="8"/>
      <c r="D6" s="25">
        <f>D4/C4</f>
        <v>0.05228247136554753</v>
      </c>
      <c r="E6" s="25">
        <f>E4/D4</f>
        <v>0.01653956620778449</v>
      </c>
      <c r="F6" s="25">
        <f>F4/E4</f>
        <v>0.05389221556886228</v>
      </c>
      <c r="G6" s="25">
        <f>G4/F4</f>
        <v>0</v>
      </c>
      <c r="H6" s="25" t="e">
        <f>H4/G4</f>
        <v>#DIV/0!</v>
      </c>
      <c r="J6" s="14" t="s">
        <v>28</v>
      </c>
      <c r="K6" s="1"/>
      <c r="L6" s="1"/>
    </row>
    <row r="7" spans="4:12" ht="12.75">
      <c r="D7" s="2"/>
      <c r="E7" s="2"/>
      <c r="F7" s="2"/>
      <c r="G7" s="2"/>
      <c r="H7" s="2"/>
      <c r="J7" s="1"/>
      <c r="K7" s="1"/>
      <c r="L7" s="1"/>
    </row>
    <row r="8" spans="1:21" s="29" customFormat="1" ht="18">
      <c r="A8" s="29" t="s">
        <v>50</v>
      </c>
      <c r="L8" s="30"/>
      <c r="M8" s="30"/>
      <c r="U8" s="30"/>
    </row>
    <row r="9" spans="12:21" ht="12.75">
      <c r="L9" s="1"/>
      <c r="M9" s="2"/>
      <c r="U9" s="1"/>
    </row>
    <row r="10" spans="1:21" ht="15">
      <c r="A10" s="22" t="s">
        <v>38</v>
      </c>
      <c r="B10" s="8" t="s">
        <v>61</v>
      </c>
      <c r="D10" s="25">
        <f>(D6+$C$19*$C$19/(2*C4))/(1+$C$19*$C$19/C4)</f>
        <v>0.05229137676957295</v>
      </c>
      <c r="E10" s="25">
        <f>(E6+$C$19*$C$19/(2*D4))/(1+$C$19*$C$19/D4)</f>
        <v>0.016723430671658802</v>
      </c>
      <c r="F10" s="25">
        <f>(F6+$C$19*$C$19/(2*E4))/(1+$C$19*$C$19/E4)</f>
        <v>0.06392314063931838</v>
      </c>
      <c r="G10" s="25">
        <f>(G6+$C$19*$C$19/(2*F4))/(1+$C$19*$C$19/F4)</f>
        <v>0.14957209798355722</v>
      </c>
      <c r="H10" s="25" t="e">
        <f>(H6+$C$19*$C$19/(2*G4))/(1+$C$19*$C$19/G4)</f>
        <v>#DIV/0!</v>
      </c>
      <c r="J10" t="s">
        <v>43</v>
      </c>
      <c r="U10" s="2"/>
    </row>
    <row r="11" spans="1:21" ht="12.75">
      <c r="A11" t="s">
        <v>15</v>
      </c>
      <c r="B11" s="8" t="s">
        <v>9</v>
      </c>
      <c r="C11" s="2"/>
      <c r="D11" s="2">
        <f>($C$19*SQRT((D6*(1-D6)/C4+$C$19*$C$19/(4*C4*C4))))/(1+$C$19*$C$19/C4)</f>
        <v>0.000992795381868743</v>
      </c>
      <c r="E11" s="2">
        <f>($C$19*SQRT((E6*(1-E6)/D4+$C$19*$C$19/(4*D4*D4))))/(1+$C$19*$C$19/D4)</f>
        <v>0.0024939766307079145</v>
      </c>
      <c r="F11" s="2">
        <f>($C$19*SQRT((F6*(1-F6)/E4+$C$19*$C$19/(4*E4*E4))))/(1+$C$19*$C$19/E4)</f>
        <v>0.035314346049936794</v>
      </c>
      <c r="G11" s="2">
        <f>($C$19*SQRT((G6*(1-G6)/F4+$C$19*$C$19/(4*F4*F4))))/(1+$C$19*$C$19/F4)</f>
        <v>0.14957209798355722</v>
      </c>
      <c r="H11" s="2" t="e">
        <f>($C$19*SQRT((H6*(1-H6)/G4+$C$19*$C$19/(4*G4*G4))))/(1+$C$19*$C$19/G4)</f>
        <v>#DIV/0!</v>
      </c>
      <c r="J11" s="16" t="s">
        <v>45</v>
      </c>
      <c r="L11" s="2"/>
      <c r="M11" s="2"/>
      <c r="U11" s="2"/>
    </row>
    <row r="12" spans="1:21" ht="12.75">
      <c r="A12" t="s">
        <v>42</v>
      </c>
      <c r="B12" s="8" t="s">
        <v>3</v>
      </c>
      <c r="D12" s="2">
        <f>D10+D11</f>
        <v>0.05328417215144169</v>
      </c>
      <c r="E12" s="2">
        <f>E10+E11</f>
        <v>0.019217407302366717</v>
      </c>
      <c r="F12" s="2">
        <f>F10+F11</f>
        <v>0.09923748668925517</v>
      </c>
      <c r="G12" s="2">
        <f>G10+G11</f>
        <v>0.29914419596711445</v>
      </c>
      <c r="H12" s="2" t="e">
        <f>H10+H11</f>
        <v>#DIV/0!</v>
      </c>
      <c r="U12" s="2"/>
    </row>
    <row r="13" spans="2:21" ht="12.75">
      <c r="B13" s="8" t="s">
        <v>1</v>
      </c>
      <c r="C13" s="2"/>
      <c r="D13" s="2">
        <f>D10-D11</f>
        <v>0.051298581387704205</v>
      </c>
      <c r="E13" s="2">
        <f>E10-E11</f>
        <v>0.014229454040950888</v>
      </c>
      <c r="F13" s="2">
        <f>F10-F11</f>
        <v>0.028608794589381585</v>
      </c>
      <c r="G13" s="2">
        <f>G10-G11</f>
        <v>0</v>
      </c>
      <c r="H13" s="2" t="e">
        <f>H10-H11</f>
        <v>#DIV/0!</v>
      </c>
      <c r="J13" s="2"/>
      <c r="K13" s="2"/>
      <c r="U13" s="2"/>
    </row>
    <row r="14" spans="2:21" ht="12.75">
      <c r="B14" s="23" t="s">
        <v>6</v>
      </c>
      <c r="C14" s="23"/>
      <c r="D14" s="23"/>
      <c r="E14" s="23" t="str">
        <f>IF((D6&lt;E13),"s+",IF((D6&gt;E12),"s-","ns"))</f>
        <v>s-</v>
      </c>
      <c r="F14" s="23" t="str">
        <f>IF((E6&lt;F13),"s+",IF((E6&gt;F12),"s-","ns"))</f>
        <v>s+</v>
      </c>
      <c r="G14" s="23" t="str">
        <f>IF((F6&lt;G13),"s+",IF((F6&gt;G12),"s-","ns"))</f>
        <v>ns</v>
      </c>
      <c r="H14" s="23" t="e">
        <f>IF((G6&lt;H13),"s+",IF((G6&gt;H12),"s-","ns"))</f>
        <v>#DIV/0!</v>
      </c>
      <c r="J14" t="s">
        <v>51</v>
      </c>
      <c r="U14" s="2"/>
    </row>
    <row r="15" spans="2:21" ht="12.75">
      <c r="B15" s="13"/>
      <c r="C15" s="13"/>
      <c r="D15" s="13"/>
      <c r="E15" s="13"/>
      <c r="F15" s="13"/>
      <c r="G15" s="13"/>
      <c r="H15" s="13"/>
      <c r="J15" t="s">
        <v>93</v>
      </c>
      <c r="N15" s="2"/>
      <c r="U15" s="2"/>
    </row>
    <row r="16" spans="1:21" ht="12.75">
      <c r="A16" t="s">
        <v>46</v>
      </c>
      <c r="B16" s="13" t="s">
        <v>48</v>
      </c>
      <c r="C16" s="27"/>
      <c r="D16" s="28">
        <f>D11+(D10-D6)</f>
        <v>0.0010017007858941639</v>
      </c>
      <c r="E16" s="28">
        <f>E11+(E10-E6)</f>
        <v>0.0026778410945822273</v>
      </c>
      <c r="F16" s="28">
        <f>F11+(F10-F6)</f>
        <v>0.0453452711203929</v>
      </c>
      <c r="G16" s="28">
        <f>G11+(G10-G6)</f>
        <v>0.29914419596711445</v>
      </c>
      <c r="H16" s="28" t="e">
        <f>H11+(H10-H6)</f>
        <v>#DIV/0!</v>
      </c>
      <c r="N16" s="2"/>
      <c r="U16" s="2"/>
    </row>
    <row r="17" spans="2:21" ht="12.75">
      <c r="B17" s="13" t="s">
        <v>49</v>
      </c>
      <c r="C17" s="27"/>
      <c r="D17" s="28">
        <f>D11-(D10-D6)</f>
        <v>0.0009838899778433223</v>
      </c>
      <c r="E17" s="28">
        <f>E11-(E10-E6)</f>
        <v>0.0023101121668336016</v>
      </c>
      <c r="F17" s="28">
        <f>F11-(F10-F6)</f>
        <v>0.025283420979480692</v>
      </c>
      <c r="G17" s="28">
        <f>G11-(G10-G6)</f>
        <v>0</v>
      </c>
      <c r="H17" s="28" t="e">
        <f>H11-(H10-H6)</f>
        <v>#DIV/0!</v>
      </c>
      <c r="L17" s="2"/>
      <c r="U17" s="2"/>
    </row>
    <row r="18" spans="12:21" ht="12.75">
      <c r="L18" s="2"/>
      <c r="U18" s="1"/>
    </row>
    <row r="19" spans="1:11" ht="12.75">
      <c r="A19" s="8">
        <v>0.05</v>
      </c>
      <c r="B19" s="8" t="s">
        <v>39</v>
      </c>
      <c r="C19" s="8">
        <v>1.95996</v>
      </c>
      <c r="D19" s="3"/>
      <c r="E19" s="3"/>
      <c r="F19" s="3"/>
      <c r="G19" s="3"/>
      <c r="H19" s="3"/>
      <c r="J19" s="15"/>
      <c r="K19" s="2"/>
    </row>
    <row r="20" spans="3:11" ht="12.75">
      <c r="C20" s="2"/>
      <c r="D20" s="1"/>
      <c r="E20" s="1"/>
      <c r="F20" s="1"/>
      <c r="G20" s="1"/>
      <c r="H20" s="1"/>
      <c r="J20" s="2"/>
      <c r="K20" s="2"/>
    </row>
    <row r="21" spans="1:11" ht="15">
      <c r="A21" s="22" t="s">
        <v>24</v>
      </c>
      <c r="B21" s="11" t="s">
        <v>4</v>
      </c>
      <c r="J21" s="2"/>
      <c r="K21" s="2"/>
    </row>
    <row r="22" spans="1:11" ht="12.75">
      <c r="A22" t="s">
        <v>47</v>
      </c>
      <c r="B22" s="8" t="s">
        <v>17</v>
      </c>
      <c r="E22" s="4">
        <f>E4</f>
        <v>167</v>
      </c>
      <c r="F22" s="4">
        <f>F4</f>
        <v>9</v>
      </c>
      <c r="G22" s="4">
        <f>G4</f>
        <v>0</v>
      </c>
      <c r="H22" s="4">
        <f>H4</f>
        <v>0</v>
      </c>
      <c r="J22" s="2" t="s">
        <v>31</v>
      </c>
      <c r="K22" s="2"/>
    </row>
    <row r="23" spans="2:21" ht="12.75">
      <c r="B23" s="8" t="s">
        <v>18</v>
      </c>
      <c r="E23" s="4">
        <f>D4-E22</f>
        <v>9930</v>
      </c>
      <c r="F23" s="4">
        <f>E4-F22</f>
        <v>158</v>
      </c>
      <c r="G23" s="4">
        <f>F4-G22</f>
        <v>9</v>
      </c>
      <c r="H23" s="4">
        <f>G4-H22</f>
        <v>0</v>
      </c>
      <c r="J23" s="2" t="s">
        <v>32</v>
      </c>
      <c r="N23" s="2"/>
      <c r="U23" s="2"/>
    </row>
    <row r="24" spans="2:21" ht="12.75">
      <c r="B24" s="11" t="s">
        <v>0</v>
      </c>
      <c r="E24" s="4"/>
      <c r="F24" s="4"/>
      <c r="G24" s="4"/>
      <c r="H24" s="4"/>
      <c r="U24" s="1"/>
    </row>
    <row r="25" spans="2:21" ht="12.75">
      <c r="B25" s="8" t="s">
        <v>20</v>
      </c>
      <c r="E25" s="4">
        <f>D4*D4/C4</f>
        <v>527.8961133779334</v>
      </c>
      <c r="F25" s="4">
        <f>E4*E4/D4</f>
        <v>2.76210755670001</v>
      </c>
      <c r="G25" s="4">
        <f>F4*F4/E4</f>
        <v>0.48502994011976047</v>
      </c>
      <c r="H25" s="4">
        <f>G4*G4/F4</f>
        <v>0</v>
      </c>
      <c r="J25" t="s">
        <v>25</v>
      </c>
      <c r="U25" s="2"/>
    </row>
    <row r="26" spans="2:21" ht="12.75">
      <c r="B26" s="8" t="s">
        <v>19</v>
      </c>
      <c r="E26" s="4">
        <f>D4-E25</f>
        <v>9569.103886622066</v>
      </c>
      <c r="F26" s="4">
        <f>E4-F25</f>
        <v>164.23789244329998</v>
      </c>
      <c r="G26" s="4">
        <f>F4-G25</f>
        <v>8.51497005988024</v>
      </c>
      <c r="H26" s="4">
        <f>G4-H25</f>
        <v>0</v>
      </c>
      <c r="J26" t="s">
        <v>26</v>
      </c>
      <c r="U26" s="2"/>
    </row>
    <row r="27" spans="5:8" ht="12.75">
      <c r="E27" s="4"/>
      <c r="F27" s="4"/>
      <c r="G27" s="4"/>
      <c r="H27" s="4"/>
    </row>
    <row r="28" spans="2:12" ht="12.75">
      <c r="B28" s="12" t="s">
        <v>22</v>
      </c>
      <c r="C28" s="5"/>
      <c r="D28" s="5"/>
      <c r="E28" s="6">
        <f aca="true" t="shared" si="1" ref="E28:H29">(E22-E25)^2/E25</f>
        <v>246.72658379292125</v>
      </c>
      <c r="F28" s="6">
        <f t="shared" si="1"/>
        <v>14.087540523102533</v>
      </c>
      <c r="G28" s="6">
        <f t="shared" si="1"/>
        <v>0.48502994011976047</v>
      </c>
      <c r="H28" s="6" t="e">
        <f t="shared" si="1"/>
        <v>#DIV/0!</v>
      </c>
      <c r="L28" s="2"/>
    </row>
    <row r="29" spans="2:13" ht="12.75">
      <c r="B29" s="12" t="s">
        <v>23</v>
      </c>
      <c r="C29" s="5"/>
      <c r="D29" s="5"/>
      <c r="E29" s="6">
        <f t="shared" si="1"/>
        <v>13.61109736026452</v>
      </c>
      <c r="F29" s="6">
        <f t="shared" si="1"/>
        <v>0.23692036932105925</v>
      </c>
      <c r="G29" s="6">
        <f t="shared" si="1"/>
        <v>0.027628287728340806</v>
      </c>
      <c r="H29" s="6" t="e">
        <f t="shared" si="1"/>
        <v>#DIV/0!</v>
      </c>
      <c r="L29" s="2"/>
      <c r="M29" s="2"/>
    </row>
    <row r="30" spans="2:13" ht="12.75">
      <c r="B30" s="13" t="s">
        <v>21</v>
      </c>
      <c r="C30" s="5"/>
      <c r="D30" s="5"/>
      <c r="E30" s="6">
        <f>E28+E29</f>
        <v>260.33768115318577</v>
      </c>
      <c r="F30" s="6">
        <f>F28+F29</f>
        <v>14.324460892423591</v>
      </c>
      <c r="G30" s="6">
        <f>G28+G29</f>
        <v>0.5126582278481013</v>
      </c>
      <c r="H30" s="6" t="e">
        <f>H28+H29</f>
        <v>#DIV/0!</v>
      </c>
      <c r="J30" s="2"/>
      <c r="K30" s="2"/>
      <c r="M30" s="2"/>
    </row>
    <row r="31" spans="2:11" ht="12.75">
      <c r="B31" s="13" t="s">
        <v>5</v>
      </c>
      <c r="C31" s="5"/>
      <c r="D31" s="5"/>
      <c r="E31" s="7">
        <f>CHIDIST(E30,1)</f>
        <v>1.4484712997380325E-58</v>
      </c>
      <c r="F31" s="7">
        <f>CHIDIST(F30,1)</f>
        <v>0.0001538526857188108</v>
      </c>
      <c r="G31" s="7">
        <f>CHIDIST(G30,1)</f>
        <v>0.4739903904023629</v>
      </c>
      <c r="H31" s="7" t="e">
        <f>CHIDIST(H30,1)</f>
        <v>#DIV/0!</v>
      </c>
      <c r="J31" s="2"/>
      <c r="K31" s="2"/>
    </row>
    <row r="32" spans="2:8" ht="12.75">
      <c r="B32" s="23" t="s">
        <v>6</v>
      </c>
      <c r="C32" s="24"/>
      <c r="D32" s="24"/>
      <c r="E32" s="23" t="str">
        <f>IF((E31&lt;0.05),"s","ns")</f>
        <v>s</v>
      </c>
      <c r="F32" s="23" t="str">
        <f>IF((F31&lt;0.05),"s","ns")</f>
        <v>s</v>
      </c>
      <c r="G32" s="23" t="str">
        <f>IF((G31&lt;0.05),"s","ns")</f>
        <v>ns</v>
      </c>
      <c r="H32" s="23" t="e">
        <f>IF((H31&lt;0.05),"s","ns")</f>
        <v>#DIV/0!</v>
      </c>
    </row>
    <row r="34" spans="1:10" ht="15">
      <c r="A34" s="22" t="s">
        <v>41</v>
      </c>
      <c r="B34" s="8" t="s">
        <v>14</v>
      </c>
      <c r="C34" s="2"/>
      <c r="D34" s="1">
        <f>D4</f>
        <v>10097</v>
      </c>
      <c r="E34" s="1">
        <f>E4</f>
        <v>167</v>
      </c>
      <c r="F34" s="1">
        <f>F4</f>
        <v>9</v>
      </c>
      <c r="G34" s="1">
        <f>G4</f>
        <v>0</v>
      </c>
      <c r="H34" s="1">
        <f>H4</f>
        <v>0</v>
      </c>
      <c r="J34" s="14" t="s">
        <v>27</v>
      </c>
    </row>
    <row r="35" spans="1:10" ht="12.75">
      <c r="A35" t="s">
        <v>15</v>
      </c>
      <c r="B35" s="8" t="s">
        <v>13</v>
      </c>
      <c r="C35" s="2"/>
      <c r="D35" s="2">
        <f>SQRT(D34*(1-D6))</f>
        <v>97.82179658246963</v>
      </c>
      <c r="E35" s="2">
        <f>SQRT(E34*(1-E6))</f>
        <v>12.815533248495749</v>
      </c>
      <c r="F35" s="2">
        <f>SQRT(F34*(1-F6))</f>
        <v>2.9180421621149066</v>
      </c>
      <c r="G35" s="2">
        <f>SQRT(G34*(1-G6))</f>
        <v>0</v>
      </c>
      <c r="H35" s="2" t="e">
        <f>SQRT(H34*(1-H6))</f>
        <v>#DIV/0!</v>
      </c>
      <c r="J35" s="15" t="s">
        <v>44</v>
      </c>
    </row>
    <row r="36" spans="1:11" ht="12.75">
      <c r="A36" t="s">
        <v>42</v>
      </c>
      <c r="B36" s="8" t="s">
        <v>9</v>
      </c>
      <c r="C36" s="2"/>
      <c r="D36" s="2">
        <f>(D35*$C$19)/C4</f>
        <v>0.0009927653136315381</v>
      </c>
      <c r="E36" s="2">
        <f>(E35*$C$19)/D4</f>
        <v>0.002487662924207361</v>
      </c>
      <c r="F36" s="2">
        <f>(F35*$C$19)/E4</f>
        <v>0.03424698153328582</v>
      </c>
      <c r="G36" s="2">
        <f>(G35*$C$19)/F4</f>
        <v>0</v>
      </c>
      <c r="H36" s="2" t="e">
        <f>(H35*$C$19)/G4</f>
        <v>#DIV/0!</v>
      </c>
      <c r="J36" s="16" t="s">
        <v>40</v>
      </c>
      <c r="K36" s="2"/>
    </row>
    <row r="37" spans="1:11" ht="12.75">
      <c r="A37" t="s">
        <v>99</v>
      </c>
      <c r="B37" s="8" t="s">
        <v>3</v>
      </c>
      <c r="D37" s="2">
        <f>D6+D36</f>
        <v>0.053275236679179064</v>
      </c>
      <c r="E37" s="2">
        <f>E6+E36</f>
        <v>0.01902722913199185</v>
      </c>
      <c r="F37" s="2">
        <f>F6+F36</f>
        <v>0.0881391971021481</v>
      </c>
      <c r="G37" s="2">
        <f>G6+G36</f>
        <v>0</v>
      </c>
      <c r="H37" s="2" t="e">
        <f>H6+H36</f>
        <v>#DIV/0!</v>
      </c>
      <c r="J37" s="16" t="s">
        <v>36</v>
      </c>
      <c r="K37" s="1"/>
    </row>
    <row r="38" spans="1:11" ht="12.75">
      <c r="A38" t="s">
        <v>98</v>
      </c>
      <c r="B38" s="8" t="s">
        <v>1</v>
      </c>
      <c r="C38" s="2"/>
      <c r="D38" s="2">
        <f>D6-D36</f>
        <v>0.05128970605191599</v>
      </c>
      <c r="E38" s="2">
        <f>E6-E36</f>
        <v>0.014051903283577128</v>
      </c>
      <c r="F38" s="2">
        <f>F6-F36</f>
        <v>0.019645234035576456</v>
      </c>
      <c r="G38" s="2">
        <f>G6-G36</f>
        <v>0</v>
      </c>
      <c r="H38" s="2" t="e">
        <f>H6-H36</f>
        <v>#DIV/0!</v>
      </c>
      <c r="J38" s="16" t="s">
        <v>37</v>
      </c>
      <c r="K38" s="2"/>
    </row>
    <row r="39" spans="2:11" ht="12.75">
      <c r="B39" s="23" t="s">
        <v>6</v>
      </c>
      <c r="C39" s="23"/>
      <c r="D39" s="23"/>
      <c r="E39" s="23" t="str">
        <f>IF((E6&gt;0),IF((D6&lt;E38),"s+",IF((D6&gt;E37),"s-","ns")),"ns")</f>
        <v>s-</v>
      </c>
      <c r="F39" s="23" t="str">
        <f>IF((F6&gt;0),IF((E6&lt;F38),"s+",IF((E6&gt;F37),"s-","ns")),"ns")</f>
        <v>s+</v>
      </c>
      <c r="G39" s="23" t="str">
        <f>IF((G6&gt;0),IF((F6&lt;G38),"s+",IF((F6&gt;G37),"s-","ns")),"ns")</f>
        <v>ns</v>
      </c>
      <c r="H39" s="23" t="e">
        <f>IF((H6&gt;0),IF((G6&lt;H38),"s+",IF((G6&gt;H37),"s-","ns")),"ns")</f>
        <v>#DIV/0!</v>
      </c>
      <c r="J39" s="2" t="s">
        <v>12</v>
      </c>
      <c r="K39" s="2"/>
    </row>
    <row r="40" spans="2:12" ht="12.75">
      <c r="B40" s="11"/>
      <c r="C40" s="26"/>
      <c r="D40" s="26"/>
      <c r="E40" s="11"/>
      <c r="F40" s="11"/>
      <c r="G40" s="11"/>
      <c r="H40" s="11"/>
      <c r="I40" s="1"/>
      <c r="J40" s="2"/>
      <c r="K40" s="2"/>
      <c r="L40" s="2"/>
    </row>
    <row r="41" spans="2:9" ht="15.75">
      <c r="B41" s="21" t="s">
        <v>33</v>
      </c>
      <c r="C41" s="11"/>
      <c r="D41" s="11"/>
      <c r="E41" s="11"/>
      <c r="F41" s="11"/>
      <c r="G41" s="11"/>
      <c r="H41" s="11"/>
      <c r="I41" s="1"/>
    </row>
    <row r="42" spans="2:9" ht="12.75">
      <c r="B42" t="s">
        <v>34</v>
      </c>
      <c r="C42" s="1"/>
      <c r="D42" s="1"/>
      <c r="E42" s="1"/>
      <c r="F42" s="1"/>
      <c r="I42" s="1"/>
    </row>
    <row r="43" spans="1:9" ht="12.75">
      <c r="A43" s="11"/>
      <c r="B43" t="s">
        <v>95</v>
      </c>
      <c r="C43" s="1"/>
      <c r="D43" s="1"/>
      <c r="E43" s="1"/>
      <c r="F43" s="1"/>
      <c r="I43" s="2"/>
    </row>
    <row r="44" spans="1:9" ht="12.75">
      <c r="A44" s="11"/>
      <c r="B44" t="s">
        <v>96</v>
      </c>
      <c r="C44" s="1"/>
      <c r="D44" s="1"/>
      <c r="E44" s="1"/>
      <c r="F44" s="1"/>
      <c r="I44" s="2"/>
    </row>
    <row r="45" spans="1:9" ht="12.75">
      <c r="A45" s="11"/>
      <c r="B45"/>
      <c r="C45" s="1"/>
      <c r="D45" s="1"/>
      <c r="E45" s="1"/>
      <c r="F45" s="1"/>
      <c r="I45" s="2"/>
    </row>
    <row r="46" spans="1:9" ht="12.75">
      <c r="A46" s="11"/>
      <c r="B46" s="11" t="s">
        <v>97</v>
      </c>
      <c r="D46" s="2"/>
      <c r="E46" s="2"/>
      <c r="F46" s="2"/>
      <c r="I46" s="11"/>
    </row>
    <row r="47" spans="2:6" ht="12.75">
      <c r="B47" s="11" t="s">
        <v>56</v>
      </c>
      <c r="C47" s="2"/>
      <c r="D47" s="1"/>
      <c r="E47" s="1"/>
      <c r="F47" s="1"/>
    </row>
    <row r="48" spans="2:6" ht="12.75">
      <c r="B48" s="11" t="s">
        <v>57</v>
      </c>
      <c r="C48" s="2"/>
      <c r="D48" s="2"/>
      <c r="E48" s="2"/>
      <c r="F48" s="2"/>
    </row>
    <row r="49" spans="2:6" ht="12.75">
      <c r="B49" s="11" t="s">
        <v>58</v>
      </c>
      <c r="C49" s="2"/>
      <c r="D49" s="2"/>
      <c r="E49" s="2"/>
      <c r="F49" s="2"/>
    </row>
    <row r="50" spans="2:6" ht="12.75">
      <c r="B50" s="11" t="s">
        <v>59</v>
      </c>
      <c r="E50" s="2"/>
      <c r="F50" s="2"/>
    </row>
    <row r="51" spans="2:6" ht="12.75">
      <c r="B51" s="11" t="s">
        <v>60</v>
      </c>
      <c r="C51" s="2"/>
      <c r="D51" s="2"/>
      <c r="E51" s="2"/>
      <c r="F51" s="2"/>
    </row>
    <row r="52" ht="12.75">
      <c r="B52" s="11"/>
    </row>
    <row r="53" ht="12.75">
      <c r="B53" s="11" t="s">
        <v>35</v>
      </c>
    </row>
    <row r="54" ht="12.75">
      <c r="B54" s="11" t="s">
        <v>53</v>
      </c>
    </row>
    <row r="55" ht="12.75">
      <c r="B55" s="11"/>
    </row>
    <row r="56" ht="12.75">
      <c r="B56" s="8" t="s">
        <v>55</v>
      </c>
    </row>
    <row r="57" ht="12.75">
      <c r="B57" s="11" t="s">
        <v>91</v>
      </c>
    </row>
    <row r="58" ht="12.75">
      <c r="B58" s="11" t="s">
        <v>92</v>
      </c>
    </row>
    <row r="60" ht="15.75">
      <c r="B60" s="21" t="s">
        <v>52</v>
      </c>
    </row>
    <row r="61" ht="12.75">
      <c r="B61" s="11" t="s">
        <v>54</v>
      </c>
    </row>
    <row r="62" ht="12.75">
      <c r="B62" s="11" t="s">
        <v>90</v>
      </c>
    </row>
    <row r="63" ht="12.75">
      <c r="B63" s="11" t="s">
        <v>89</v>
      </c>
    </row>
    <row r="64" ht="12.75">
      <c r="B64" s="11"/>
    </row>
    <row r="71" spans="10:11" ht="12.75">
      <c r="J71" s="2"/>
      <c r="K71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74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1" width="13.8515625" style="0" customWidth="1"/>
    <col min="2" max="2" width="20.8515625" style="8" customWidth="1"/>
    <col min="3" max="3" width="11.57421875" style="0" customWidth="1"/>
    <col min="4" max="4" width="12.421875" style="0" customWidth="1"/>
    <col min="5" max="8" width="10.7109375" style="0" customWidth="1"/>
    <col min="9" max="9" width="9.57421875" style="0" customWidth="1"/>
    <col min="10" max="10" width="10.140625" style="0" customWidth="1"/>
    <col min="16" max="16" width="12.421875" style="0" customWidth="1"/>
    <col min="17" max="17" width="10.140625" style="0" customWidth="1"/>
  </cols>
  <sheetData>
    <row r="1" spans="1:8" ht="15.75">
      <c r="A1" s="21" t="s">
        <v>63</v>
      </c>
      <c r="B1" s="32" t="s">
        <v>104</v>
      </c>
      <c r="C1" s="33">
        <v>183027</v>
      </c>
      <c r="D1" s="33">
        <v>9930</v>
      </c>
      <c r="E1" s="33">
        <f>167-F2</f>
        <v>158</v>
      </c>
      <c r="F1" s="33">
        <v>9</v>
      </c>
      <c r="G1" s="33">
        <v>0</v>
      </c>
      <c r="H1" s="33">
        <v>0</v>
      </c>
    </row>
    <row r="2" spans="2:8" ht="12.75">
      <c r="B2" s="18" t="s">
        <v>10</v>
      </c>
      <c r="C2" s="31">
        <f aca="true" t="shared" si="0" ref="C2:H2">C1+D2</f>
        <v>193124</v>
      </c>
      <c r="D2" s="31">
        <f t="shared" si="0"/>
        <v>10097</v>
      </c>
      <c r="E2" s="31">
        <f t="shared" si="0"/>
        <v>167</v>
      </c>
      <c r="F2" s="31">
        <f t="shared" si="0"/>
        <v>9</v>
      </c>
      <c r="G2" s="31">
        <f t="shared" si="0"/>
        <v>0</v>
      </c>
      <c r="H2" s="31">
        <f t="shared" si="0"/>
        <v>0</v>
      </c>
    </row>
    <row r="3" spans="2:8" ht="12.75">
      <c r="B3" s="18"/>
      <c r="C3" s="31"/>
      <c r="D3" s="31"/>
      <c r="E3" s="31"/>
      <c r="F3" s="31"/>
      <c r="G3" s="31"/>
      <c r="H3" s="31"/>
    </row>
    <row r="4" spans="1:8" ht="15.75">
      <c r="A4" s="21" t="s">
        <v>62</v>
      </c>
      <c r="B4" s="21" t="s">
        <v>7</v>
      </c>
      <c r="C4" s="1"/>
      <c r="D4" s="1"/>
      <c r="H4" s="10" t="s">
        <v>30</v>
      </c>
    </row>
    <row r="5" spans="1:8" ht="15">
      <c r="A5" s="22" t="s">
        <v>16</v>
      </c>
      <c r="B5" s="9" t="s">
        <v>8</v>
      </c>
      <c r="C5" s="9">
        <v>0.1</v>
      </c>
      <c r="D5" s="9">
        <f>C5+1</f>
        <v>1.1</v>
      </c>
      <c r="E5" s="9">
        <f>D5+1</f>
        <v>2.1</v>
      </c>
      <c r="F5" s="9">
        <f>E5+1</f>
        <v>3.1</v>
      </c>
      <c r="G5" s="9"/>
      <c r="H5" s="9"/>
    </row>
    <row r="6" spans="2:10" ht="12.75">
      <c r="B6" s="18" t="s">
        <v>2</v>
      </c>
      <c r="C6" s="19">
        <f>C1-C28</f>
        <v>90217</v>
      </c>
      <c r="D6" s="19">
        <f>D1-D28</f>
        <v>4396</v>
      </c>
      <c r="E6" s="19">
        <f>E1-E28</f>
        <v>36</v>
      </c>
      <c r="F6" s="19">
        <f>F1-F28</f>
        <v>0</v>
      </c>
      <c r="G6" s="19"/>
      <c r="H6" s="19"/>
      <c r="J6" s="10" t="s">
        <v>102</v>
      </c>
    </row>
    <row r="7" spans="2:21" ht="12.75">
      <c r="B7" s="18" t="s">
        <v>10</v>
      </c>
      <c r="C7" s="31">
        <f>C6+D7</f>
        <v>94649</v>
      </c>
      <c r="D7" s="31">
        <f>D6+E7</f>
        <v>4432</v>
      </c>
      <c r="E7" s="31">
        <f>E6+F7</f>
        <v>36</v>
      </c>
      <c r="F7" s="31">
        <f>F6+G7</f>
        <v>0</v>
      </c>
      <c r="G7" s="31"/>
      <c r="H7" s="31"/>
      <c r="I7" s="20"/>
      <c r="N7" s="1"/>
      <c r="Q7" s="1"/>
      <c r="R7" s="1"/>
      <c r="S7" s="1"/>
      <c r="T7" s="1"/>
      <c r="U7" s="1"/>
    </row>
    <row r="8" spans="3:21" ht="12.75">
      <c r="C8" s="1"/>
      <c r="D8" s="1"/>
      <c r="K8" s="1"/>
      <c r="L8" s="1"/>
      <c r="M8" s="1"/>
      <c r="N8" s="1"/>
      <c r="Q8" s="1"/>
      <c r="R8" s="1"/>
      <c r="S8" s="1"/>
      <c r="T8" s="1"/>
      <c r="U8" s="1"/>
    </row>
    <row r="9" spans="2:12" ht="12.75">
      <c r="B9" s="8" t="s">
        <v>11</v>
      </c>
      <c r="C9" s="8"/>
      <c r="D9" s="25">
        <f>D7/C7</f>
        <v>0.046825639996196475</v>
      </c>
      <c r="E9" s="25">
        <f>E7/D7</f>
        <v>0.008122743682310469</v>
      </c>
      <c r="F9" s="25">
        <f>F7/E7</f>
        <v>0</v>
      </c>
      <c r="G9" s="25"/>
      <c r="H9" s="25"/>
      <c r="J9" s="14" t="s">
        <v>28</v>
      </c>
      <c r="K9" s="1"/>
      <c r="L9" s="1"/>
    </row>
    <row r="10" spans="4:12" ht="12.75">
      <c r="D10" s="2"/>
      <c r="E10" s="2"/>
      <c r="F10" s="2"/>
      <c r="G10" s="2"/>
      <c r="H10" s="2"/>
      <c r="J10" s="1"/>
      <c r="K10" s="1"/>
      <c r="L10" s="1"/>
    </row>
    <row r="11" spans="1:21" s="29" customFormat="1" ht="18">
      <c r="A11" s="29" t="s">
        <v>66</v>
      </c>
      <c r="L11" s="30"/>
      <c r="M11" s="30"/>
      <c r="U11" s="30"/>
    </row>
    <row r="12" spans="12:21" ht="12.75">
      <c r="L12" s="1"/>
      <c r="M12" s="2"/>
      <c r="U12" s="1"/>
    </row>
    <row r="13" spans="1:21" ht="15">
      <c r="A13" s="22" t="s">
        <v>38</v>
      </c>
      <c r="B13" s="8" t="s">
        <v>61</v>
      </c>
      <c r="D13" s="25">
        <f>(D9+$C$22*$C$22/(2*C7))/(1+$C$22*$C$22/C7)</f>
        <v>0.04684403187474796</v>
      </c>
      <c r="E13" s="25">
        <f>(E9+$C$22*$C$22/(2*D7))/(1+$C$22*$C$22/D7)</f>
        <v>0.008548709886580267</v>
      </c>
      <c r="F13" s="25">
        <f>(F9+$C$22*$C$22/(2*E7))/(1+$C$22*$C$22/E7)</f>
        <v>0.04820913718112664</v>
      </c>
      <c r="G13" s="25"/>
      <c r="H13" s="25"/>
      <c r="J13" t="s">
        <v>43</v>
      </c>
      <c r="U13" s="2"/>
    </row>
    <row r="14" spans="1:21" ht="12.75">
      <c r="A14" t="s">
        <v>15</v>
      </c>
      <c r="B14" s="8" t="s">
        <v>9</v>
      </c>
      <c r="C14" s="2"/>
      <c r="D14" s="2">
        <f>($C$22*SQRT((D9*(1-D9)/C7+$C$22*$C$22/(4*C7*C7))))/(1+$C$22*$C$22/C7)</f>
        <v>0.00134601209679231</v>
      </c>
      <c r="E14" s="2">
        <f>($C$22*SQRT((E9*(1-E9)/D7+$C$22*$C$22/(4*D7*D7))))/(1+$C$22*$C$22/D7)</f>
        <v>0.002675558567315851</v>
      </c>
      <c r="F14" s="2">
        <f>($C$22*SQRT((F9*(1-F9)/E7+$C$22*$C$22/(4*E7*E7))))/(1+$C$22*$C$22/E7)</f>
        <v>0.04820913718112664</v>
      </c>
      <c r="G14" s="2"/>
      <c r="H14" s="2"/>
      <c r="J14" s="16" t="s">
        <v>45</v>
      </c>
      <c r="L14" s="2"/>
      <c r="M14" s="2"/>
      <c r="U14" s="2"/>
    </row>
    <row r="15" spans="1:21" ht="12.75">
      <c r="A15" t="s">
        <v>42</v>
      </c>
      <c r="B15" s="8" t="s">
        <v>3</v>
      </c>
      <c r="D15" s="2">
        <f>D13+D14</f>
        <v>0.048190043971540274</v>
      </c>
      <c r="E15" s="2">
        <f>E13+E14</f>
        <v>0.011224268453896118</v>
      </c>
      <c r="F15" s="2">
        <f>F13+F14</f>
        <v>0.09641827436225328</v>
      </c>
      <c r="G15" s="2"/>
      <c r="H15" s="2"/>
      <c r="U15" s="2"/>
    </row>
    <row r="16" spans="2:21" ht="12.75">
      <c r="B16" s="8" t="s">
        <v>1</v>
      </c>
      <c r="C16" s="2"/>
      <c r="D16" s="2">
        <f>D13-D14</f>
        <v>0.04549801977795565</v>
      </c>
      <c r="E16" s="2">
        <f>E13-E14</f>
        <v>0.005873151319264416</v>
      </c>
      <c r="F16" s="2">
        <f>F13-F14</f>
        <v>0</v>
      </c>
      <c r="G16" s="2"/>
      <c r="H16" s="2"/>
      <c r="J16" s="2"/>
      <c r="K16" s="2"/>
      <c r="U16" s="2"/>
    </row>
    <row r="17" spans="2:21" ht="12.75">
      <c r="B17" s="23" t="s">
        <v>6</v>
      </c>
      <c r="C17" s="23"/>
      <c r="D17" s="23"/>
      <c r="E17" s="23" t="str">
        <f>IF((D9&lt;E16),"s+",IF((D9&gt;E15),"s-","ns"))</f>
        <v>s-</v>
      </c>
      <c r="F17" s="23" t="str">
        <f>IF((E9&lt;F16),"s+",IF((E9&gt;F15),"s-","ns"))</f>
        <v>ns</v>
      </c>
      <c r="G17" s="23"/>
      <c r="H17" s="23"/>
      <c r="J17" t="s">
        <v>51</v>
      </c>
      <c r="U17" s="2"/>
    </row>
    <row r="18" spans="2:21" ht="12.75">
      <c r="B18" s="13"/>
      <c r="C18" s="13"/>
      <c r="D18" s="13"/>
      <c r="E18" s="13"/>
      <c r="F18" s="13"/>
      <c r="G18" s="13"/>
      <c r="H18" s="13"/>
      <c r="J18" t="s">
        <v>93</v>
      </c>
      <c r="N18" s="2"/>
      <c r="U18" s="2"/>
    </row>
    <row r="19" spans="1:21" ht="12.75">
      <c r="A19" t="s">
        <v>46</v>
      </c>
      <c r="B19" s="13" t="s">
        <v>48</v>
      </c>
      <c r="C19" s="27"/>
      <c r="D19" s="28">
        <f>D14+(D13-D9)</f>
        <v>0.001364403975343798</v>
      </c>
      <c r="E19" s="28">
        <f>E14+(E13-E9)</f>
        <v>0.00310152477158565</v>
      </c>
      <c r="F19" s="28">
        <f>F14+(F13-F9)</f>
        <v>0.09641827436225328</v>
      </c>
      <c r="G19" s="28"/>
      <c r="H19" s="28"/>
      <c r="N19" s="2"/>
      <c r="U19" s="2"/>
    </row>
    <row r="20" spans="2:21" ht="12.75">
      <c r="B20" s="13" t="s">
        <v>49</v>
      </c>
      <c r="C20" s="27"/>
      <c r="D20" s="28">
        <f>D14-(D13-D9)</f>
        <v>0.001327620218240822</v>
      </c>
      <c r="E20" s="28">
        <f>E14-(E13-E9)</f>
        <v>0.0022495923630460523</v>
      </c>
      <c r="F20" s="28">
        <f>F14-(F13-F9)</f>
        <v>0</v>
      </c>
      <c r="G20" s="28"/>
      <c r="H20" s="28"/>
      <c r="L20" s="2"/>
      <c r="U20" s="2"/>
    </row>
    <row r="21" spans="12:21" ht="12.75">
      <c r="L21" s="2"/>
      <c r="U21" s="1"/>
    </row>
    <row r="22" spans="1:11" ht="12.75">
      <c r="A22" s="8">
        <v>0.05</v>
      </c>
      <c r="B22" s="8" t="s">
        <v>39</v>
      </c>
      <c r="C22" s="8">
        <v>1.95996</v>
      </c>
      <c r="D22" s="3"/>
      <c r="E22" s="3"/>
      <c r="F22" s="3"/>
      <c r="G22" s="3"/>
      <c r="H22" s="3"/>
      <c r="J22" s="15"/>
      <c r="K22" s="2"/>
    </row>
    <row r="23" spans="1:11" ht="12.75">
      <c r="A23" s="8"/>
      <c r="C23" s="8"/>
      <c r="D23" s="3"/>
      <c r="E23" s="3"/>
      <c r="F23" s="3"/>
      <c r="G23" s="3"/>
      <c r="H23" s="3"/>
      <c r="J23" s="15"/>
      <c r="K23" s="2"/>
    </row>
    <row r="24" spans="1:11" ht="12.75">
      <c r="A24" s="8"/>
      <c r="C24" s="8"/>
      <c r="D24" s="3"/>
      <c r="E24" s="3"/>
      <c r="F24" s="3"/>
      <c r="G24" s="3"/>
      <c r="H24" s="3"/>
      <c r="J24" s="15"/>
      <c r="K24" s="2"/>
    </row>
    <row r="25" spans="3:11" ht="12.75">
      <c r="C25" s="2"/>
      <c r="D25" s="1"/>
      <c r="E25" s="1"/>
      <c r="F25" s="1"/>
      <c r="G25" s="1"/>
      <c r="H25" s="1"/>
      <c r="J25" s="2"/>
      <c r="K25" s="2"/>
    </row>
    <row r="26" spans="1:11" ht="15.75">
      <c r="A26" s="21" t="s">
        <v>64</v>
      </c>
      <c r="B26" s="21" t="s">
        <v>7</v>
      </c>
      <c r="H26" s="10"/>
      <c r="K26" s="2"/>
    </row>
    <row r="27" spans="1:11" ht="15">
      <c r="A27" s="22" t="s">
        <v>16</v>
      </c>
      <c r="B27" s="9" t="s">
        <v>8</v>
      </c>
      <c r="C27" s="9">
        <v>-0.1</v>
      </c>
      <c r="D27" s="9">
        <f>C27+1</f>
        <v>0.9</v>
      </c>
      <c r="E27" s="9">
        <f>D27+1</f>
        <v>1.9</v>
      </c>
      <c r="F27" s="9">
        <f>E27+1</f>
        <v>2.9</v>
      </c>
      <c r="G27" s="9">
        <f>F27+1</f>
        <v>3.9</v>
      </c>
      <c r="H27" s="9"/>
      <c r="K27" s="2"/>
    </row>
    <row r="28" spans="2:21" ht="12.75">
      <c r="B28" s="32" t="s">
        <v>2</v>
      </c>
      <c r="C28" s="33">
        <v>92810</v>
      </c>
      <c r="D28" s="33">
        <v>5534</v>
      </c>
      <c r="E28" s="33">
        <v>122</v>
      </c>
      <c r="F28" s="33">
        <v>9</v>
      </c>
      <c r="G28" s="33">
        <v>0</v>
      </c>
      <c r="H28" s="33"/>
      <c r="J28" s="10" t="s">
        <v>100</v>
      </c>
      <c r="N28" s="2"/>
      <c r="U28" s="2"/>
    </row>
    <row r="29" spans="2:21" ht="12.75">
      <c r="B29" s="32" t="s">
        <v>10</v>
      </c>
      <c r="C29" s="35">
        <f>C28+D29</f>
        <v>98475</v>
      </c>
      <c r="D29" s="35">
        <f>D28+E29</f>
        <v>5665</v>
      </c>
      <c r="E29" s="35">
        <f>E28+F29</f>
        <v>131</v>
      </c>
      <c r="F29" s="35">
        <f>F28+G29</f>
        <v>9</v>
      </c>
      <c r="G29" s="35">
        <f>G28+H29</f>
        <v>0</v>
      </c>
      <c r="H29" s="35"/>
      <c r="I29" s="20"/>
      <c r="J29" s="10" t="s">
        <v>101</v>
      </c>
      <c r="U29" s="1"/>
    </row>
    <row r="30" spans="1:21" ht="12.75">
      <c r="A30" s="17"/>
      <c r="B30" s="18"/>
      <c r="C30" s="19"/>
      <c r="D30" s="19"/>
      <c r="E30" s="19"/>
      <c r="F30" s="17"/>
      <c r="G30" s="17"/>
      <c r="H30" s="17"/>
      <c r="J30" s="1"/>
      <c r="U30" s="2"/>
    </row>
    <row r="31" spans="2:21" ht="12.75">
      <c r="B31" s="8" t="s">
        <v>11</v>
      </c>
      <c r="C31" s="8"/>
      <c r="D31" s="25">
        <f>D29/C29</f>
        <v>0.057527291190657526</v>
      </c>
      <c r="E31" s="25">
        <f>E29/D29</f>
        <v>0.023124448367166813</v>
      </c>
      <c r="F31" s="25">
        <f>F29/E29</f>
        <v>0.06870229007633588</v>
      </c>
      <c r="G31" s="25">
        <f>G29/F29</f>
        <v>0</v>
      </c>
      <c r="H31" s="25"/>
      <c r="J31" s="14" t="s">
        <v>28</v>
      </c>
      <c r="U31" s="2"/>
    </row>
    <row r="32" spans="4:10" ht="12.75">
      <c r="D32" s="2"/>
      <c r="E32" s="2"/>
      <c r="F32" s="2"/>
      <c r="G32" s="2"/>
      <c r="H32" s="2"/>
      <c r="J32" s="1"/>
    </row>
    <row r="33" spans="1:12" ht="18">
      <c r="A33" s="29" t="s">
        <v>66</v>
      </c>
      <c r="B33" s="29"/>
      <c r="C33" s="29"/>
      <c r="D33" s="29"/>
      <c r="E33" s="29"/>
      <c r="F33" s="29"/>
      <c r="G33" s="29"/>
      <c r="H33" s="29"/>
      <c r="I33" s="29"/>
      <c r="J33" s="29"/>
      <c r="L33" s="2"/>
    </row>
    <row r="34" spans="12:13" ht="12.75">
      <c r="L34" s="2"/>
      <c r="M34" s="2"/>
    </row>
    <row r="35" spans="1:13" ht="15">
      <c r="A35" s="22" t="s">
        <v>38</v>
      </c>
      <c r="B35" s="8" t="s">
        <v>61</v>
      </c>
      <c r="D35" s="25">
        <f>(D31+$C$22*$C$22/(2*C29))/(1+$C$22*$C$22/C29)</f>
        <v>0.05754455107871307</v>
      </c>
      <c r="E35" s="25">
        <f>(E31+$C$22*$C$22/(2*D29))/(1+$C$22*$C$22/D29)</f>
        <v>0.023447599113961135</v>
      </c>
      <c r="F35" s="25">
        <f>(F31+$C$22*$C$22/(2*E29))/(1+$C$22*$C$22/E29)</f>
        <v>0.08098935565731484</v>
      </c>
      <c r="G35" s="25">
        <f>(G31+$C$22*$C$22/(2*F29))/(1+$C$22*$C$22/F29)</f>
        <v>0.14957209798355722</v>
      </c>
      <c r="H35" s="25"/>
      <c r="J35" t="s">
        <v>43</v>
      </c>
      <c r="K35" s="2"/>
      <c r="M35" s="2"/>
    </row>
    <row r="36" spans="1:11" ht="12.75">
      <c r="A36" t="s">
        <v>15</v>
      </c>
      <c r="B36" s="8" t="s">
        <v>9</v>
      </c>
      <c r="C36" s="2"/>
      <c r="D36" s="2">
        <f>($C$22*SQRT((D31*(1-D31)/C29+$C$22*$C$22/(4*C29*C29))))/(1+$C$22*$C$22/C29)</f>
        <v>0.001454379289456895</v>
      </c>
      <c r="E36" s="2">
        <f>($C$22*SQRT((E31*(1-E31)/D29+$C$22*$C$22/(4*D29*D29))))/(1+$C$22*$C$22/D29)</f>
        <v>0.003925831645367727</v>
      </c>
      <c r="F36" s="2">
        <f>($C$22*SQRT((F31*(1-F31)/E29+$C$22*$C$22/(4*E29*E29))))/(1+$C$22*$C$22/E29)</f>
        <v>0.044426764084901496</v>
      </c>
      <c r="G36" s="2">
        <f>($C$22*SQRT((G31*(1-G31)/F29+$C$22*$C$22/(4*F29*F29))))/(1+$C$22*$C$22/F29)</f>
        <v>0.14957209798355722</v>
      </c>
      <c r="H36" s="2"/>
      <c r="J36" s="16" t="s">
        <v>45</v>
      </c>
      <c r="K36" s="2"/>
    </row>
    <row r="37" spans="1:8" ht="12.75">
      <c r="A37" t="s">
        <v>42</v>
      </c>
      <c r="B37" s="8" t="s">
        <v>3</v>
      </c>
      <c r="D37" s="2">
        <f>D35+D36</f>
        <v>0.058998930368169965</v>
      </c>
      <c r="E37" s="2">
        <f>E35+E36</f>
        <v>0.02737343075932886</v>
      </c>
      <c r="F37" s="2">
        <f>F35+F36</f>
        <v>0.12541611974221634</v>
      </c>
      <c r="G37" s="2">
        <f>G35+G36</f>
        <v>0.29914419596711445</v>
      </c>
      <c r="H37" s="2"/>
    </row>
    <row r="38" spans="2:10" ht="12.75">
      <c r="B38" s="8" t="s">
        <v>1</v>
      </c>
      <c r="C38" s="2"/>
      <c r="D38" s="2">
        <f>D35-D36</f>
        <v>0.056090171789256175</v>
      </c>
      <c r="E38" s="2">
        <f>E35-E36</f>
        <v>0.01952176746859341</v>
      </c>
      <c r="F38" s="2">
        <f>F35-F36</f>
        <v>0.036562591572413344</v>
      </c>
      <c r="G38" s="2">
        <f>G35-G36</f>
        <v>0</v>
      </c>
      <c r="H38" s="2"/>
      <c r="J38" s="2"/>
    </row>
    <row r="39" spans="2:10" ht="12.75">
      <c r="B39" s="23" t="s">
        <v>6</v>
      </c>
      <c r="C39" s="23"/>
      <c r="D39" s="23"/>
      <c r="E39" s="23" t="str">
        <f>IF((D31&lt;E38),"s+",IF((D31&gt;E37),"s-","ns"))</f>
        <v>s-</v>
      </c>
      <c r="F39" s="23" t="str">
        <f>IF((E31&lt;F38),"s+",IF((E31&gt;F37),"s-","ns"))</f>
        <v>s+</v>
      </c>
      <c r="G39" s="23" t="str">
        <f>IF((F31&lt;G38),"s+",IF((F31&gt;G37),"s-","ns"))</f>
        <v>ns</v>
      </c>
      <c r="H39" s="23"/>
      <c r="J39" t="s">
        <v>51</v>
      </c>
    </row>
    <row r="40" spans="2:10" ht="12.75">
      <c r="B40" s="13"/>
      <c r="C40" s="13"/>
      <c r="D40" s="13"/>
      <c r="E40" s="13"/>
      <c r="F40" s="13"/>
      <c r="G40" s="13"/>
      <c r="H40" s="13"/>
      <c r="J40" t="s">
        <v>93</v>
      </c>
    </row>
    <row r="41" spans="1:11" ht="12.75">
      <c r="A41" t="s">
        <v>46</v>
      </c>
      <c r="B41" s="13" t="s">
        <v>48</v>
      </c>
      <c r="C41" s="27"/>
      <c r="D41" s="28">
        <f>D36+(D35-D31)</f>
        <v>0.0014716391775124395</v>
      </c>
      <c r="E41" s="28">
        <f>E36+(E35-E31)</f>
        <v>0.0042489823921620495</v>
      </c>
      <c r="F41" s="28">
        <f>F36+(F35-F31)</f>
        <v>0.056713829665880455</v>
      </c>
      <c r="G41" s="28">
        <f>G36+(G35-G31)</f>
        <v>0.29914419596711445</v>
      </c>
      <c r="H41" s="28"/>
      <c r="K41" s="2"/>
    </row>
    <row r="42" spans="2:11" ht="12.75">
      <c r="B42" s="13" t="s">
        <v>49</v>
      </c>
      <c r="C42" s="27"/>
      <c r="D42" s="28">
        <f>D36-(D35-D31)</f>
        <v>0.0014371194014013507</v>
      </c>
      <c r="E42" s="28">
        <f>E36-(E35-E31)</f>
        <v>0.0036026808985734054</v>
      </c>
      <c r="F42" s="28">
        <f>F36-(F35-F31)</f>
        <v>0.03213969850392254</v>
      </c>
      <c r="G42" s="28">
        <f>G36-(G35-G31)</f>
        <v>0</v>
      </c>
      <c r="H42" s="28"/>
      <c r="K42" s="1"/>
    </row>
    <row r="43" spans="3:11" ht="12.75">
      <c r="C43" s="2"/>
      <c r="D43" s="2"/>
      <c r="E43" s="2"/>
      <c r="F43" s="2"/>
      <c r="G43" s="2"/>
      <c r="H43" s="2"/>
      <c r="J43" s="16"/>
      <c r="K43" s="2"/>
    </row>
    <row r="44" spans="2:11" ht="12.75">
      <c r="B44" s="23"/>
      <c r="C44" s="23"/>
      <c r="D44" s="23"/>
      <c r="E44" s="23"/>
      <c r="F44" s="23"/>
      <c r="G44" s="23"/>
      <c r="H44" s="23"/>
      <c r="J44" s="2"/>
      <c r="K44" s="2"/>
    </row>
    <row r="45" spans="2:12" ht="12.75">
      <c r="B45" s="11"/>
      <c r="C45" s="26"/>
      <c r="D45" s="26"/>
      <c r="E45" s="11"/>
      <c r="F45" s="11"/>
      <c r="G45" s="11"/>
      <c r="H45" s="11"/>
      <c r="I45" s="1"/>
      <c r="J45" s="2"/>
      <c r="K45" s="2"/>
      <c r="L45" s="2"/>
    </row>
    <row r="46" spans="1:9" ht="18">
      <c r="A46" s="29" t="s">
        <v>65</v>
      </c>
      <c r="B46" s="21"/>
      <c r="C46" s="11"/>
      <c r="I46" s="1"/>
    </row>
    <row r="47" spans="2:10" ht="12.75">
      <c r="B47"/>
      <c r="C47" s="1" t="s">
        <v>67</v>
      </c>
      <c r="D47" s="34">
        <f>-SQRT(D19^2+D42^2)</f>
        <v>-0.001981643353839973</v>
      </c>
      <c r="E47" s="34">
        <f>-SQRT(E19^2+E42^2)</f>
        <v>-0.004753815895226181</v>
      </c>
      <c r="F47" s="34">
        <f>-SQRT(F19^2+F42^2)</f>
        <v>-0.1016338715730036</v>
      </c>
      <c r="G47" s="34"/>
      <c r="H47" s="34"/>
      <c r="I47" s="1"/>
      <c r="J47" s="11" t="s">
        <v>94</v>
      </c>
    </row>
    <row r="48" spans="1:9" ht="12.75">
      <c r="A48" s="11" t="s">
        <v>83</v>
      </c>
      <c r="B48"/>
      <c r="C48" s="1" t="s">
        <v>68</v>
      </c>
      <c r="D48" s="34">
        <f>SQRT(D20^2+D41^2)</f>
        <v>0.001981993267564574</v>
      </c>
      <c r="E48" s="34">
        <f>SQRT(E20^2+E41^2)</f>
        <v>0.0048077559389780025</v>
      </c>
      <c r="F48" s="34">
        <f>SQRT(F20^2+F41^2)</f>
        <v>0.056713829665880455</v>
      </c>
      <c r="G48" s="34"/>
      <c r="H48" s="34"/>
      <c r="I48" s="2"/>
    </row>
    <row r="49" spans="1:9" ht="12.75">
      <c r="A49" s="11" t="s">
        <v>79</v>
      </c>
      <c r="B49" s="11"/>
      <c r="C49" t="s">
        <v>69</v>
      </c>
      <c r="D49" s="34">
        <f>D9-D31</f>
        <v>-0.010701651194461051</v>
      </c>
      <c r="E49" s="34">
        <f>E9-E31</f>
        <v>-0.015001704684856345</v>
      </c>
      <c r="F49" s="34">
        <f>F9-F31</f>
        <v>-0.06870229007633588</v>
      </c>
      <c r="G49" s="34"/>
      <c r="H49" s="34"/>
      <c r="I49" s="11"/>
    </row>
    <row r="50" spans="2:8" ht="12.75">
      <c r="B50" s="11"/>
      <c r="C50" s="2"/>
      <c r="D50" s="1" t="str">
        <f>IF(D49&lt;D47,"s- (sp &gt; w)",IF(D49&gt;D48,"s+ (sp &lt; w)","ns"))</f>
        <v>s- (sp &gt; w)</v>
      </c>
      <c r="E50" s="1" t="str">
        <f>IF(E49&lt;E47,"s- (sp &gt; w)",IF(E49&gt;E48,"s+ (sp &lt; w)","ns"))</f>
        <v>s- (sp &gt; w)</v>
      </c>
      <c r="F50" s="1" t="str">
        <f>IF(F49&lt;F47,"s- (sp &gt; w)",IF(F49&gt;F48,"s+ (sp &lt; w)","ns"))</f>
        <v>ns</v>
      </c>
      <c r="G50" s="1"/>
      <c r="H50" s="1"/>
    </row>
    <row r="51" spans="2:6" ht="12.75">
      <c r="B51" s="11"/>
      <c r="C51" s="2"/>
      <c r="D51" s="2"/>
      <c r="E51" s="2"/>
      <c r="F51" s="2"/>
    </row>
    <row r="52" spans="2:6" ht="12.75">
      <c r="B52" s="11"/>
      <c r="C52" s="2"/>
      <c r="D52" s="2"/>
      <c r="E52" s="2"/>
      <c r="F52" s="2"/>
    </row>
    <row r="53" spans="2:6" ht="12.75">
      <c r="B53" s="11"/>
      <c r="D53" s="2"/>
      <c r="E53" s="2"/>
      <c r="F53" s="2"/>
    </row>
    <row r="54" spans="1:7" ht="12.75">
      <c r="A54" s="11" t="s">
        <v>78</v>
      </c>
      <c r="C54" s="2" t="s">
        <v>76</v>
      </c>
      <c r="D54" s="2">
        <f>-SQRT('analysis of trend (seq)'!D16^2+embed!D15^2)</f>
        <v>-0.0014333767690467695</v>
      </c>
      <c r="E54" s="2">
        <f>-SQRT('analysis of trend (seq)'!E16^2+embed!E15^2)</f>
        <v>-0.0038585454720745636</v>
      </c>
      <c r="F54" s="2">
        <f>-SQRT('analysis of trend (seq)'!F16^2+embed!F15^2)</f>
        <v>-0.04660160028333249</v>
      </c>
      <c r="G54" s="2"/>
    </row>
    <row r="55" spans="1:7" ht="12.75">
      <c r="A55" s="11" t="s">
        <v>79</v>
      </c>
      <c r="C55" t="s">
        <v>77</v>
      </c>
      <c r="D55" s="2">
        <f>SQRT('analysis of trend (seq)'!D16^2+embed!D14^2)</f>
        <v>0.001446829719008154</v>
      </c>
      <c r="E55" s="2">
        <f>SQRT('analysis of trend (seq)'!E16^2+embed!E14^2)</f>
        <v>0.0041339103071430855</v>
      </c>
      <c r="F55" s="2">
        <f>SQRT('analysis of trend (seq)'!F16^2+embed!F14^2)</f>
        <v>0.052674110361904766</v>
      </c>
      <c r="G55" s="2"/>
    </row>
    <row r="56" spans="1:7" ht="12.75">
      <c r="A56" s="8"/>
      <c r="C56" t="s">
        <v>75</v>
      </c>
      <c r="D56" s="2">
        <f>'analysis of trend (seq)'!D6-embed!D4</f>
        <v>-0.0016221438005208644</v>
      </c>
      <c r="E56" s="2">
        <f>'analysis of trend (seq)'!E6-embed!E4</f>
        <v>-0.0064687451646055355</v>
      </c>
      <c r="F56" s="2">
        <f>'analysis of trend (seq)'!F6-embed!F4</f>
        <v>0.03627107019441293</v>
      </c>
      <c r="G56" s="2"/>
    </row>
    <row r="57" spans="1:7" ht="12.75">
      <c r="A57" s="11"/>
      <c r="D57" s="1" t="str">
        <f>IF(D56&lt;D54,"s- (embed &gt; seq)",IF(D56&gt;D55,"s+ (embed &lt; seq)","ns"))</f>
        <v>s- (embed &gt; seq)</v>
      </c>
      <c r="E57" s="1" t="str">
        <f>IF(E56&lt;E54,"s- (embed &gt; seq)",IF(E56&gt;E55,"s+ (embed &lt; seq)","ns"))</f>
        <v>s- (embed &gt; seq)</v>
      </c>
      <c r="F57" s="1" t="str">
        <f>IF(F56&lt;F54,"s- (embed &gt; seq)",IF(F56&gt;F55,"s+ (embed &lt; seq)","ns"))</f>
        <v>ns</v>
      </c>
      <c r="G57" s="1"/>
    </row>
    <row r="58" ht="12.75">
      <c r="A58" s="11"/>
    </row>
    <row r="59" ht="12.75">
      <c r="A59" s="8"/>
    </row>
    <row r="60" spans="1:6" ht="12.75">
      <c r="A60" s="11" t="s">
        <v>80</v>
      </c>
      <c r="C60" t="s">
        <v>81</v>
      </c>
      <c r="E60" s="2">
        <f>'analysis of trend (seq)'!E6-'analysis of trend (seq)'!D6</f>
        <v>-0.03574290515776304</v>
      </c>
      <c r="F60" s="2">
        <f>'analysis of trend (seq)'!F6-'analysis of trend (seq)'!E6</f>
        <v>0.03735264936107779</v>
      </c>
    </row>
    <row r="61" spans="2:6" ht="12.75">
      <c r="B61" s="11"/>
      <c r="C61" t="s">
        <v>82</v>
      </c>
      <c r="E61" s="2">
        <f>embed!E4-embed!D4</f>
        <v>-0.030896303793678366</v>
      </c>
      <c r="F61" s="2">
        <f>embed!F4-embed!E4</f>
        <v>-0.005387165997940684</v>
      </c>
    </row>
    <row r="62" spans="3:6" ht="12.75">
      <c r="C62" s="11" t="s">
        <v>84</v>
      </c>
      <c r="E62" s="2">
        <f>E60-E61</f>
        <v>-0.004846601364084671</v>
      </c>
      <c r="F62" s="2">
        <f>F60-F61</f>
        <v>0.04273981535901847</v>
      </c>
    </row>
    <row r="63" spans="2:6" ht="15.75">
      <c r="B63" s="21"/>
      <c r="C63" s="11" t="s">
        <v>76</v>
      </c>
      <c r="E63" s="2">
        <f>-SQRT('analysis of trend (seq)'!E16^2+embed!E15^2)</f>
        <v>-0.0038585454720745636</v>
      </c>
      <c r="F63" s="2">
        <f>-SQRT('analysis of trend (seq)'!F16^2+embed!F15^2)</f>
        <v>-0.04660160028333249</v>
      </c>
    </row>
    <row r="64" spans="2:6" ht="12.75">
      <c r="B64" s="11"/>
      <c r="C64" s="11" t="s">
        <v>77</v>
      </c>
      <c r="E64" s="2">
        <f>SQRT('analysis of trend (seq)'!E17^2+embed!E14^2)</f>
        <v>0.0039057649344300194</v>
      </c>
      <c r="F64" s="2">
        <f>SQRT('analysis of trend (seq)'!F17^2+embed!F14^2)</f>
        <v>0.03684589075951115</v>
      </c>
    </row>
    <row r="65" spans="5:6" ht="12.75">
      <c r="E65" t="str">
        <f>IF(E62&lt;E63,"s-",IF(E62&gt;E64,"s+","ns"))</f>
        <v>s-</v>
      </c>
      <c r="F65" t="str">
        <f>IF(F62&lt;F63,"s-",IF(F62&gt;F64,"s+","ns"))</f>
        <v>s+</v>
      </c>
    </row>
    <row r="67" spans="1:2" ht="18">
      <c r="A67" s="29" t="s">
        <v>85</v>
      </c>
      <c r="B67" s="11"/>
    </row>
    <row r="68" ht="12.75">
      <c r="A68" s="11" t="s">
        <v>86</v>
      </c>
    </row>
    <row r="69" ht="12.75">
      <c r="A69" s="8" t="s">
        <v>88</v>
      </c>
    </row>
    <row r="70" ht="12.75">
      <c r="A70" s="11" t="s">
        <v>87</v>
      </c>
    </row>
    <row r="74" spans="10:11" ht="12.75">
      <c r="J74" s="2"/>
      <c r="K74" s="2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73"/>
  <sheetViews>
    <sheetView zoomScalePageLayoutView="0" workbookViewId="0" topLeftCell="A1">
      <selection activeCell="T38" sqref="T38"/>
    </sheetView>
  </sheetViews>
  <sheetFormatPr defaultColWidth="9.140625" defaultRowHeight="12.75"/>
  <cols>
    <col min="1" max="1" width="13.8515625" style="0" customWidth="1"/>
    <col min="2" max="2" width="20.8515625" style="8" customWidth="1"/>
    <col min="3" max="3" width="11.57421875" style="0" customWidth="1"/>
    <col min="4" max="4" width="12.421875" style="0" customWidth="1"/>
    <col min="5" max="8" width="10.7109375" style="0" customWidth="1"/>
    <col min="9" max="9" width="9.57421875" style="0" customWidth="1"/>
    <col min="10" max="10" width="10.140625" style="0" customWidth="1"/>
    <col min="16" max="16" width="12.421875" style="0" customWidth="1"/>
    <col min="17" max="17" width="10.140625" style="0" customWidth="1"/>
  </cols>
  <sheetData>
    <row r="1" spans="1:8" ht="15.75">
      <c r="A1" s="21" t="s">
        <v>63</v>
      </c>
      <c r="B1" s="32" t="s">
        <v>104</v>
      </c>
      <c r="C1" s="33">
        <v>183027</v>
      </c>
      <c r="D1" s="33">
        <v>9709</v>
      </c>
      <c r="E1" s="33">
        <v>353</v>
      </c>
      <c r="F1" s="33">
        <v>27</v>
      </c>
      <c r="G1" s="33">
        <v>8</v>
      </c>
      <c r="H1" s="33">
        <v>0</v>
      </c>
    </row>
    <row r="2" spans="2:8" ht="12.75">
      <c r="B2" s="18" t="s">
        <v>10</v>
      </c>
      <c r="C2" s="31">
        <f aca="true" t="shared" si="0" ref="C2:H2">C1+D2</f>
        <v>193124</v>
      </c>
      <c r="D2" s="31">
        <f t="shared" si="0"/>
        <v>10097</v>
      </c>
      <c r="E2" s="31">
        <f t="shared" si="0"/>
        <v>388</v>
      </c>
      <c r="F2" s="31">
        <f t="shared" si="0"/>
        <v>35</v>
      </c>
      <c r="G2" s="31">
        <f t="shared" si="0"/>
        <v>8</v>
      </c>
      <c r="H2" s="31">
        <f t="shared" si="0"/>
        <v>0</v>
      </c>
    </row>
    <row r="4" spans="2:8" ht="12.75">
      <c r="B4" s="8" t="s">
        <v>11</v>
      </c>
      <c r="C4" s="8"/>
      <c r="D4" s="25">
        <f>D2/C2</f>
        <v>0.05228247136554753</v>
      </c>
      <c r="E4" s="25">
        <f>E2/D2</f>
        <v>0.03842725562048133</v>
      </c>
      <c r="F4" s="25">
        <f>F2/E2</f>
        <v>0.09020618556701031</v>
      </c>
      <c r="G4" s="25">
        <f>G2/F2</f>
        <v>0.22857142857142856</v>
      </c>
      <c r="H4" s="25">
        <f>H2/G2</f>
        <v>0</v>
      </c>
    </row>
    <row r="5" spans="4:8" ht="12.75">
      <c r="D5" s="2"/>
      <c r="E5" s="2"/>
      <c r="F5" s="2"/>
      <c r="G5" s="2"/>
      <c r="H5" s="2"/>
    </row>
    <row r="6" spans="1:21" ht="18">
      <c r="A6" s="29" t="s">
        <v>66</v>
      </c>
      <c r="B6" s="29"/>
      <c r="C6" s="29"/>
      <c r="D6" s="29"/>
      <c r="E6" s="29"/>
      <c r="F6" s="29"/>
      <c r="G6" s="29"/>
      <c r="H6" s="29"/>
      <c r="J6" s="10" t="s">
        <v>29</v>
      </c>
      <c r="N6" s="1"/>
      <c r="Q6" s="1"/>
      <c r="R6" s="1"/>
      <c r="S6" s="1"/>
      <c r="T6" s="1"/>
      <c r="U6" s="1"/>
    </row>
    <row r="7" spans="10:21" ht="12.75">
      <c r="J7" s="1"/>
      <c r="K7" s="1"/>
      <c r="L7" s="1"/>
      <c r="M7" s="1"/>
      <c r="N7" s="1"/>
      <c r="Q7" s="1"/>
      <c r="R7" s="1"/>
      <c r="S7" s="1"/>
      <c r="T7" s="1"/>
      <c r="U7" s="1"/>
    </row>
    <row r="8" spans="1:12" ht="15">
      <c r="A8" s="22" t="s">
        <v>38</v>
      </c>
      <c r="B8" s="8" t="s">
        <v>61</v>
      </c>
      <c r="D8" s="25">
        <f>(D4+$C$40*$C$40/(2*C2))/(1+$C$40*$C$40/C2)</f>
        <v>0.05229137676957295</v>
      </c>
      <c r="E8" s="25">
        <f>(E4+$C$40*$C$40/(2*D2))/(1+$C$40*$C$40/D2)</f>
        <v>0.03860279599411367</v>
      </c>
      <c r="F8" s="25">
        <f>(F4+$C$40*$C$40/(2*E2))/(1+$C$40*$C$40/E2)</f>
        <v>0.09422362601345494</v>
      </c>
      <c r="G8" s="25">
        <f>(G4+$C$40*$C$40/(2*F2))/(1+$C$40*$C$40/F2)</f>
        <v>0.2554158852776957</v>
      </c>
      <c r="H8" s="25">
        <f>(H4+$C$40*$C$40/(2*G2))/(1+$C$40*$C$40/G2)</f>
        <v>0.16220333688215255</v>
      </c>
      <c r="J8" s="14" t="s">
        <v>28</v>
      </c>
      <c r="K8" s="1"/>
      <c r="L8" s="1"/>
    </row>
    <row r="9" spans="1:12" ht="12.75">
      <c r="A9" t="s">
        <v>15</v>
      </c>
      <c r="B9" s="8" t="s">
        <v>9</v>
      </c>
      <c r="C9" s="2"/>
      <c r="D9" s="2">
        <f>($C$40*SQRT((D4*(1-D4)/C2+$C$40*$C$40/(4*C2*C2))))/(1+$C$40*$C$40/C2)</f>
        <v>0.000992795381868743</v>
      </c>
      <c r="E9" s="2">
        <f>($C$40*SQRT((E4*(1-E4)/D2+$C$40*$C$40/(4*D2*D2))))/(1+$C$40*$C$40/D2)</f>
        <v>0.0037527948482407878</v>
      </c>
      <c r="F9" s="2">
        <f>($C$40*SQRT((F4*(1-F4)/E2+$C$40*$C$40/(4*E2*E2))))/(1+$C$40*$C$40/E2)</f>
        <v>0.028648017810600817</v>
      </c>
      <c r="G9" s="2">
        <f>($C$40*SQRT((G4*(1-G4)/F2+$C$40*$C$40/(4*F2*F2))))/(1+$C$40*$C$40/F2)</f>
        <v>0.13475692863044522</v>
      </c>
      <c r="H9" s="2">
        <f>($C$40*SQRT((H4*(1-H4)/G2+$C$40*$C$40/(4*G2*G2))))/(1+$C$40*$C$40/G2)</f>
        <v>0.16220333688215255</v>
      </c>
      <c r="J9" s="1"/>
      <c r="K9" s="1"/>
      <c r="L9" s="1"/>
    </row>
    <row r="10" spans="1:21" s="29" customFormat="1" ht="18">
      <c r="A10" t="s">
        <v>42</v>
      </c>
      <c r="B10" s="8" t="s">
        <v>3</v>
      </c>
      <c r="C10"/>
      <c r="D10" s="2">
        <f>D8+D9</f>
        <v>0.05328417215144169</v>
      </c>
      <c r="E10" s="2">
        <f>E8+E9</f>
        <v>0.042355590842354456</v>
      </c>
      <c r="F10" s="2">
        <f>F8+F9</f>
        <v>0.12287164382405576</v>
      </c>
      <c r="G10" s="2">
        <f>G8+G9</f>
        <v>0.39017281390814096</v>
      </c>
      <c r="H10" s="2">
        <f>H8+H9</f>
        <v>0.3244066737643051</v>
      </c>
      <c r="L10" s="30"/>
      <c r="M10" s="30"/>
      <c r="U10" s="30"/>
    </row>
    <row r="11" spans="2:21" ht="12.75">
      <c r="B11" s="8" t="s">
        <v>1</v>
      </c>
      <c r="C11" s="2"/>
      <c r="D11" s="2">
        <f>D8-D9</f>
        <v>0.051298581387704205</v>
      </c>
      <c r="E11" s="2">
        <f>E8-E9</f>
        <v>0.03485000114587288</v>
      </c>
      <c r="F11" s="2">
        <f>F8-F9</f>
        <v>0.06557560820285412</v>
      </c>
      <c r="G11" s="2">
        <f>G8-G9</f>
        <v>0.12065895664725049</v>
      </c>
      <c r="H11" s="2">
        <f>H8-H9</f>
        <v>0</v>
      </c>
      <c r="L11" s="1"/>
      <c r="M11" s="2"/>
      <c r="U11" s="1"/>
    </row>
    <row r="12" spans="2:21" ht="12.75">
      <c r="B12" s="23" t="s">
        <v>6</v>
      </c>
      <c r="C12" s="23"/>
      <c r="D12" s="23"/>
      <c r="E12" s="23" t="str">
        <f>IF((D4&lt;E11),"s+",IF((D4&gt;E10),"s-","ns"))</f>
        <v>s-</v>
      </c>
      <c r="F12" s="23" t="str">
        <f>IF((E4&lt;F11),"s+",IF((E4&gt;F10),"s-","ns"))</f>
        <v>s+</v>
      </c>
      <c r="G12" s="23" t="str">
        <f>IF((F4&lt;G11),"s+",IF((F4&gt;G10),"s-","ns"))</f>
        <v>s+</v>
      </c>
      <c r="H12" s="23" t="str">
        <f>IF((G4&lt;H11),"s+",IF((G4&gt;H10),"s-","ns"))</f>
        <v>ns</v>
      </c>
      <c r="J12" t="s">
        <v>43</v>
      </c>
      <c r="U12" s="2"/>
    </row>
    <row r="13" spans="2:21" ht="12.75">
      <c r="B13" s="13"/>
      <c r="C13" s="13"/>
      <c r="D13" s="13"/>
      <c r="E13" s="13"/>
      <c r="F13" s="13"/>
      <c r="G13" s="13"/>
      <c r="H13" s="13"/>
      <c r="J13" s="16" t="s">
        <v>45</v>
      </c>
      <c r="L13" s="2"/>
      <c r="M13" s="2"/>
      <c r="U13" s="2"/>
    </row>
    <row r="14" spans="1:21" ht="12.75">
      <c r="A14" t="s">
        <v>46</v>
      </c>
      <c r="B14" s="13" t="s">
        <v>48</v>
      </c>
      <c r="C14" s="27"/>
      <c r="D14" s="28">
        <f>D9+(D8-D4)</f>
        <v>0.0010017007858941639</v>
      </c>
      <c r="E14" s="28">
        <f>E9+(E8-E4)</f>
        <v>0.003928335221873123</v>
      </c>
      <c r="F14" s="28">
        <f>F9+(F8-F4)</f>
        <v>0.03266545825704545</v>
      </c>
      <c r="G14" s="28">
        <f>G9+(G8-G4)</f>
        <v>0.16160138533671237</v>
      </c>
      <c r="H14" s="28">
        <f>H9+(H8-H4)</f>
        <v>0.3244066737643051</v>
      </c>
      <c r="U14" s="2"/>
    </row>
    <row r="15" spans="2:21" ht="12.75">
      <c r="B15" s="13" t="s">
        <v>49</v>
      </c>
      <c r="C15" s="27"/>
      <c r="D15" s="28">
        <f>D9-(D8-D4)</f>
        <v>0.0009838899778433223</v>
      </c>
      <c r="E15" s="28">
        <f>E9-(E8-E4)</f>
        <v>0.0035772544746084526</v>
      </c>
      <c r="F15" s="28">
        <f>F9-(F8-F4)</f>
        <v>0.02463057736415619</v>
      </c>
      <c r="G15" s="28">
        <f>G9-(G8-G4)</f>
        <v>0.10791247192417808</v>
      </c>
      <c r="H15" s="28">
        <f>H9-(H8-H4)</f>
        <v>0</v>
      </c>
      <c r="J15" s="2"/>
      <c r="K15" s="2"/>
      <c r="U15" s="2"/>
    </row>
    <row r="16" spans="10:21" ht="12.75">
      <c r="J16" t="s">
        <v>51</v>
      </c>
      <c r="U16" s="2"/>
    </row>
    <row r="17" spans="14:21" ht="12.75">
      <c r="N17" s="2"/>
      <c r="U17" s="2"/>
    </row>
    <row r="18" spans="14:21" ht="12.75">
      <c r="N18" s="2"/>
      <c r="U18" s="2"/>
    </row>
    <row r="19" spans="12:21" ht="12.75">
      <c r="L19" s="2"/>
      <c r="U19" s="2"/>
    </row>
    <row r="20" spans="12:21" ht="12.75">
      <c r="L20" s="2"/>
      <c r="U20" s="1"/>
    </row>
    <row r="21" spans="10:11" ht="12.75">
      <c r="J21" s="15"/>
      <c r="K21" s="2"/>
    </row>
    <row r="22" spans="1:11" ht="15.75">
      <c r="A22" s="21" t="s">
        <v>62</v>
      </c>
      <c r="B22" s="21" t="s">
        <v>7</v>
      </c>
      <c r="C22" s="19"/>
      <c r="H22" s="10" t="s">
        <v>30</v>
      </c>
      <c r="J22" s="15"/>
      <c r="K22" s="2"/>
    </row>
    <row r="23" spans="1:11" ht="15">
      <c r="A23" s="22" t="s">
        <v>16</v>
      </c>
      <c r="B23" s="9" t="s">
        <v>8</v>
      </c>
      <c r="C23" s="9">
        <v>0.1</v>
      </c>
      <c r="D23" s="9">
        <f>C23+1</f>
        <v>1.1</v>
      </c>
      <c r="E23" s="9">
        <f>D23+1</f>
        <v>2.1</v>
      </c>
      <c r="F23" s="9">
        <f>E23+1</f>
        <v>3.1</v>
      </c>
      <c r="G23" s="9">
        <f>F23+1</f>
        <v>4.1</v>
      </c>
      <c r="H23" s="9">
        <f>G23+1</f>
        <v>5.1</v>
      </c>
      <c r="J23" s="15"/>
      <c r="K23" s="2"/>
    </row>
    <row r="24" spans="2:11" ht="12.75">
      <c r="B24" s="18" t="s">
        <v>2</v>
      </c>
      <c r="C24" s="19">
        <f aca="true" t="shared" si="1" ref="C24:H24">C1-C46</f>
        <v>90215</v>
      </c>
      <c r="D24" s="19">
        <f t="shared" si="1"/>
        <v>4301</v>
      </c>
      <c r="E24" s="19">
        <f t="shared" si="1"/>
        <v>125</v>
      </c>
      <c r="F24" s="19">
        <f t="shared" si="1"/>
        <v>5</v>
      </c>
      <c r="G24" s="19">
        <f t="shared" si="1"/>
        <v>1</v>
      </c>
      <c r="H24" s="19">
        <f t="shared" si="1"/>
        <v>0</v>
      </c>
      <c r="J24" s="10" t="s">
        <v>102</v>
      </c>
      <c r="K24" s="2"/>
    </row>
    <row r="25" spans="2:11" ht="12.75">
      <c r="B25" s="18" t="s">
        <v>10</v>
      </c>
      <c r="C25" s="31">
        <f aca="true" t="shared" si="2" ref="C25:H25">C24+D25</f>
        <v>94647</v>
      </c>
      <c r="D25" s="31">
        <f t="shared" si="2"/>
        <v>4432</v>
      </c>
      <c r="E25" s="31">
        <f t="shared" si="2"/>
        <v>131</v>
      </c>
      <c r="F25" s="31">
        <f t="shared" si="2"/>
        <v>6</v>
      </c>
      <c r="G25" s="31">
        <f t="shared" si="2"/>
        <v>1</v>
      </c>
      <c r="H25" s="31">
        <f t="shared" si="2"/>
        <v>0</v>
      </c>
      <c r="I25" s="20"/>
      <c r="K25" s="2"/>
    </row>
    <row r="26" ht="12.75">
      <c r="K26" s="2"/>
    </row>
    <row r="27" spans="2:21" ht="12.75">
      <c r="B27" s="8" t="s">
        <v>11</v>
      </c>
      <c r="C27" s="8"/>
      <c r="D27" s="25">
        <f>D25/C25</f>
        <v>0.04682662947584181</v>
      </c>
      <c r="E27" s="25">
        <f>E25/D25</f>
        <v>0.029557761732851986</v>
      </c>
      <c r="F27" s="25">
        <f>F25/E25</f>
        <v>0.04580152671755725</v>
      </c>
      <c r="G27" s="25">
        <f>G25/F25</f>
        <v>0.16666666666666666</v>
      </c>
      <c r="H27" s="25">
        <f>H25/G25</f>
        <v>0</v>
      </c>
      <c r="J27" s="14" t="s">
        <v>28</v>
      </c>
      <c r="N27" s="2"/>
      <c r="U27" s="2"/>
    </row>
    <row r="28" spans="4:21" ht="12.75">
      <c r="D28" s="2"/>
      <c r="E28" s="2"/>
      <c r="F28" s="2"/>
      <c r="G28" s="2"/>
      <c r="H28" s="2"/>
      <c r="J28" s="1"/>
      <c r="U28" s="1"/>
    </row>
    <row r="29" spans="1:21" ht="18">
      <c r="A29" s="29" t="s">
        <v>66</v>
      </c>
      <c r="B29" s="29"/>
      <c r="C29" s="29"/>
      <c r="D29" s="29"/>
      <c r="E29" s="29"/>
      <c r="F29" s="29"/>
      <c r="G29" s="29"/>
      <c r="H29" s="29"/>
      <c r="I29" s="29"/>
      <c r="J29" s="29"/>
      <c r="U29" s="2"/>
    </row>
    <row r="30" ht="12.75">
      <c r="U30" s="2"/>
    </row>
    <row r="31" spans="1:10" ht="15">
      <c r="A31" s="22" t="s">
        <v>38</v>
      </c>
      <c r="B31" s="8" t="s">
        <v>61</v>
      </c>
      <c r="D31" s="25">
        <f>(D27+$C$40*$C$40/(2*C25))/(1+$C$40*$C$40/C25)</f>
        <v>0.046845021702860645</v>
      </c>
      <c r="E31" s="25">
        <f>(E27+$C$40*$C$40/(2*D25))/(1+$C$40*$C$40/D25)</f>
        <v>0.02996516518968801</v>
      </c>
      <c r="F31" s="25">
        <f>(F27+$C$40*$C$40/(2*E25))/(1+$C$40*$C$40/E25)</f>
        <v>0.05874100286035809</v>
      </c>
      <c r="G31" s="25">
        <f>(G27+$C$40*$C$40/(2*F25))/(1+$C$40*$C$40/F25)</f>
        <v>0.2967777734392813</v>
      </c>
      <c r="H31" s="25">
        <f>(H27+$C$40*$C$40/(2*G25))/(1+$C$40*$C$40/G25)</f>
        <v>0.3967250096345734</v>
      </c>
      <c r="J31" t="s">
        <v>43</v>
      </c>
    </row>
    <row r="32" spans="1:12" ht="12.75">
      <c r="A32" t="s">
        <v>15</v>
      </c>
      <c r="B32" s="8" t="s">
        <v>9</v>
      </c>
      <c r="C32" s="2"/>
      <c r="D32" s="2">
        <f>($C$40*SQRT((D27*(1-D27)/C25+$C$40*$C$40/(4*C25*C25))))/(1+$C$40*$C$40/C25)</f>
        <v>0.001346039839925914</v>
      </c>
      <c r="E32" s="2">
        <f>($C$40*SQRT((E27*(1-E27)/D25+$C$40*$C$40/(4*D25*D25))))/(1+$C$40*$C$40/D25)</f>
        <v>0.005000643733078383</v>
      </c>
      <c r="F32" s="2">
        <f>($C$40*SQRT((F27*(1-F27)/E25+$C$40*$C$40/(4*E25*E25))))/(1+$C$40*$C$40/E25)</f>
        <v>0.03758308618165479</v>
      </c>
      <c r="G32" s="2">
        <f>($C$40*SQRT((G27*(1-G27)/F25+$C$40*$C$40/(4*F25*F25))))/(1+$C$40*$C$40/F25)</f>
        <v>0.26672431696575927</v>
      </c>
      <c r="H32" s="2">
        <f>($C$40*SQRT((H27*(1-H27)/G25+$C$40*$C$40/(4*G25*G25))))/(1+$C$40*$C$40/G25)</f>
        <v>0.3967250096345734</v>
      </c>
      <c r="J32" s="16" t="s">
        <v>45</v>
      </c>
      <c r="L32" s="2"/>
    </row>
    <row r="33" spans="1:13" ht="12.75">
      <c r="A33" t="s">
        <v>42</v>
      </c>
      <c r="B33" s="8" t="s">
        <v>3</v>
      </c>
      <c r="D33" s="2">
        <f>D31+D32</f>
        <v>0.04819106154278656</v>
      </c>
      <c r="E33" s="2">
        <f>E31+E32</f>
        <v>0.03496580892276639</v>
      </c>
      <c r="F33" s="2">
        <f>F31+F32</f>
        <v>0.09632408904201288</v>
      </c>
      <c r="G33" s="2">
        <f>G31+G32</f>
        <v>0.5635020904050405</v>
      </c>
      <c r="H33" s="2">
        <f>H31+H32</f>
        <v>0.7934500192691468</v>
      </c>
      <c r="L33" s="2"/>
      <c r="M33" s="2"/>
    </row>
    <row r="34" spans="2:13" ht="12.75">
      <c r="B34" s="8" t="s">
        <v>1</v>
      </c>
      <c r="C34" s="2"/>
      <c r="D34" s="2">
        <f>D31-D32</f>
        <v>0.04549898186293473</v>
      </c>
      <c r="E34" s="2">
        <f>E31-E32</f>
        <v>0.02496452145660963</v>
      </c>
      <c r="F34" s="2">
        <f>F31-F32</f>
        <v>0.0211579166787033</v>
      </c>
      <c r="G34" s="2">
        <f>G31-G32</f>
        <v>0.030053456473522033</v>
      </c>
      <c r="H34" s="2">
        <f>H31-H32</f>
        <v>0</v>
      </c>
      <c r="J34" s="2"/>
      <c r="K34" s="2"/>
      <c r="M34" s="2"/>
    </row>
    <row r="35" spans="2:11" ht="12.75">
      <c r="B35" s="23" t="s">
        <v>6</v>
      </c>
      <c r="C35" s="23"/>
      <c r="D35" s="23"/>
      <c r="E35" s="23" t="str">
        <f>IF((D27&lt;E34),"s+",IF((D27&gt;E33),"s-","ns"))</f>
        <v>s-</v>
      </c>
      <c r="F35" s="23" t="str">
        <f>IF((E27&lt;F34),"s+",IF((E27&gt;F33),"s-","ns"))</f>
        <v>ns</v>
      </c>
      <c r="G35" s="23" t="str">
        <f>IF((F27&lt;G34),"s+",IF((F27&gt;G33),"s-","ns"))</f>
        <v>ns</v>
      </c>
      <c r="H35" s="23" t="str">
        <f>IF((G27&lt;H34),"s+",IF((G27&gt;H33),"s-","ns"))</f>
        <v>ns</v>
      </c>
      <c r="J35" t="s">
        <v>51</v>
      </c>
      <c r="K35" s="2"/>
    </row>
    <row r="36" spans="2:10" ht="12.75">
      <c r="B36" s="13"/>
      <c r="C36" s="13"/>
      <c r="D36" s="13"/>
      <c r="E36" s="13"/>
      <c r="F36" s="13"/>
      <c r="G36" s="13"/>
      <c r="H36" s="13"/>
      <c r="J36" t="s">
        <v>93</v>
      </c>
    </row>
    <row r="37" spans="1:8" ht="12.75">
      <c r="A37" t="s">
        <v>46</v>
      </c>
      <c r="B37" s="13" t="s">
        <v>48</v>
      </c>
      <c r="C37" s="27"/>
      <c r="D37" s="28">
        <f>D32+(D31-D27)</f>
        <v>0.0013644320669447473</v>
      </c>
      <c r="E37" s="28">
        <f>E32+(E31-E27)</f>
        <v>0.005408047189914407</v>
      </c>
      <c r="F37" s="28">
        <f>F32+(F31-F27)</f>
        <v>0.05052256232445563</v>
      </c>
      <c r="G37" s="28">
        <f>G32+(G31-G27)</f>
        <v>0.3968354237383739</v>
      </c>
      <c r="H37" s="28">
        <f>H32+(H31-H27)</f>
        <v>0.7934500192691468</v>
      </c>
    </row>
    <row r="38" spans="2:8" ht="12.75">
      <c r="B38" s="13" t="s">
        <v>49</v>
      </c>
      <c r="C38" s="27"/>
      <c r="D38" s="28">
        <f>D32-(D31-D27)</f>
        <v>0.0013276476129070807</v>
      </c>
      <c r="E38" s="28">
        <f>E32-(E31-E27)</f>
        <v>0.004593240276242358</v>
      </c>
      <c r="F38" s="28">
        <f>F32-(F31-F27)</f>
        <v>0.02464361003885395</v>
      </c>
      <c r="G38" s="28">
        <f>G32-(G31-G27)</f>
        <v>0.13661321019314462</v>
      </c>
      <c r="H38" s="28">
        <f>H32-(H31-H27)</f>
        <v>0</v>
      </c>
    </row>
    <row r="40" spans="1:11" ht="12.75">
      <c r="A40" s="8">
        <v>0.05</v>
      </c>
      <c r="B40" s="8" t="s">
        <v>39</v>
      </c>
      <c r="C40" s="8">
        <v>1.95996</v>
      </c>
      <c r="D40" s="3"/>
      <c r="E40" s="3"/>
      <c r="F40" s="3"/>
      <c r="G40" s="3"/>
      <c r="H40" s="3"/>
      <c r="K40" s="2"/>
    </row>
    <row r="41" spans="1:11" ht="12.75">
      <c r="A41" s="8"/>
      <c r="C41" s="8"/>
      <c r="D41" s="3"/>
      <c r="E41" s="3"/>
      <c r="F41" s="3"/>
      <c r="G41" s="3"/>
      <c r="H41" s="3"/>
      <c r="K41" s="1"/>
    </row>
    <row r="42" spans="1:11" ht="12.75">
      <c r="A42" s="8"/>
      <c r="C42" s="8"/>
      <c r="D42" s="3"/>
      <c r="E42" s="3"/>
      <c r="F42" s="3"/>
      <c r="G42" s="3"/>
      <c r="H42" s="3"/>
      <c r="J42" s="16"/>
      <c r="K42" s="2"/>
    </row>
    <row r="43" spans="3:11" ht="12.75">
      <c r="C43" s="2"/>
      <c r="D43" s="1"/>
      <c r="E43" s="1"/>
      <c r="F43" s="1"/>
      <c r="G43" s="1"/>
      <c r="H43" s="1"/>
      <c r="J43" s="2"/>
      <c r="K43" s="2"/>
    </row>
    <row r="44" spans="1:12" ht="15.75">
      <c r="A44" s="21" t="s">
        <v>64</v>
      </c>
      <c r="B44" s="21" t="s">
        <v>7</v>
      </c>
      <c r="H44" s="10"/>
      <c r="J44" s="2"/>
      <c r="K44" s="2"/>
      <c r="L44" s="2"/>
    </row>
    <row r="45" spans="1:8" ht="15">
      <c r="A45" s="22" t="s">
        <v>16</v>
      </c>
      <c r="B45" s="9" t="s">
        <v>8</v>
      </c>
      <c r="C45" s="9">
        <v>-0.1</v>
      </c>
      <c r="D45" s="9">
        <f>C45+1</f>
        <v>0.9</v>
      </c>
      <c r="E45" s="9">
        <f>D45+1</f>
        <v>1.9</v>
      </c>
      <c r="F45" s="9">
        <f>E45+1</f>
        <v>2.9</v>
      </c>
      <c r="G45" s="9">
        <f>F45+1</f>
        <v>3.9</v>
      </c>
      <c r="H45" s="9">
        <f>G45+1</f>
        <v>4.9</v>
      </c>
    </row>
    <row r="46" spans="2:10" ht="12.75">
      <c r="B46" s="32" t="s">
        <v>2</v>
      </c>
      <c r="C46" s="33">
        <f>98477-D47</f>
        <v>92812</v>
      </c>
      <c r="D46" s="33">
        <f>5665-E47</f>
        <v>5408</v>
      </c>
      <c r="E46" s="33">
        <f>257-F47</f>
        <v>228</v>
      </c>
      <c r="F46" s="33">
        <v>22</v>
      </c>
      <c r="G46" s="33">
        <v>7</v>
      </c>
      <c r="H46" s="33">
        <v>0</v>
      </c>
      <c r="J46" s="10" t="s">
        <v>100</v>
      </c>
    </row>
    <row r="47" spans="2:10" ht="12.75">
      <c r="B47" s="32" t="s">
        <v>10</v>
      </c>
      <c r="C47" s="35">
        <f aca="true" t="shared" si="3" ref="C47:H47">C46+D47</f>
        <v>98477</v>
      </c>
      <c r="D47" s="35">
        <f t="shared" si="3"/>
        <v>5665</v>
      </c>
      <c r="E47" s="35">
        <f t="shared" si="3"/>
        <v>257</v>
      </c>
      <c r="F47" s="35">
        <f t="shared" si="3"/>
        <v>29</v>
      </c>
      <c r="G47" s="35">
        <f t="shared" si="3"/>
        <v>7</v>
      </c>
      <c r="H47" s="35">
        <f t="shared" si="3"/>
        <v>0</v>
      </c>
      <c r="I47" s="20"/>
      <c r="J47" s="10" t="s">
        <v>101</v>
      </c>
    </row>
    <row r="48" spans="1:8" ht="12.75">
      <c r="A48" s="17"/>
      <c r="B48" s="18"/>
      <c r="C48" s="19"/>
      <c r="D48" s="19"/>
      <c r="E48" s="19"/>
      <c r="F48" s="17"/>
      <c r="G48" s="17"/>
      <c r="H48" s="17"/>
    </row>
    <row r="49" spans="2:10" ht="12.75">
      <c r="B49" s="8" t="s">
        <v>11</v>
      </c>
      <c r="C49" s="8"/>
      <c r="D49" s="25">
        <f>D47/C47</f>
        <v>0.05752612285102105</v>
      </c>
      <c r="E49" s="25">
        <f>E47/D47</f>
        <v>0.04536628420123566</v>
      </c>
      <c r="F49" s="25">
        <f>F47/E47</f>
        <v>0.11284046692607004</v>
      </c>
      <c r="G49" s="25">
        <f>G47/F47</f>
        <v>0.2413793103448276</v>
      </c>
      <c r="H49" s="25">
        <f>H47/G47</f>
        <v>0</v>
      </c>
      <c r="J49" s="14" t="s">
        <v>28</v>
      </c>
    </row>
    <row r="50" spans="4:10" ht="12.75">
      <c r="D50" s="2"/>
      <c r="E50" s="2"/>
      <c r="F50" s="2"/>
      <c r="G50" s="2"/>
      <c r="H50" s="2"/>
      <c r="J50" s="1"/>
    </row>
    <row r="51" spans="1:10" ht="18">
      <c r="A51" s="29" t="s">
        <v>66</v>
      </c>
      <c r="B51" s="29"/>
      <c r="C51" s="29"/>
      <c r="D51" s="29"/>
      <c r="E51" s="29"/>
      <c r="F51" s="29"/>
      <c r="G51" s="29"/>
      <c r="H51" s="29"/>
      <c r="I51" s="29"/>
      <c r="J51" s="29"/>
    </row>
    <row r="53" spans="1:10" ht="15">
      <c r="A53" s="22" t="s">
        <v>38</v>
      </c>
      <c r="B53" s="8" t="s">
        <v>61</v>
      </c>
      <c r="D53" s="25">
        <f>(D49+$C$40*$C$40/(2*C47))/(1+$C$40*$C$40/C47)</f>
        <v>0.05754338243412727</v>
      </c>
      <c r="E53" s="25">
        <f>(E49+$C$40*$C$40/(2*D47))/(1+$C$40*$C$40/D47)</f>
        <v>0.045674362953176714</v>
      </c>
      <c r="F53" s="25">
        <f>(F49+$C$40*$C$40/(2*E47))/(1+$C$40*$C$40/E47)</f>
        <v>0.11854221177921442</v>
      </c>
      <c r="G53" s="25">
        <f>(G49+$C$40*$C$40/(2*F47))/(1+$C$40*$C$40/F47)</f>
        <v>0.2716300116910024</v>
      </c>
      <c r="H53" s="25">
        <f>(H49+$C$40*$C$40/(2*G47))/(1+$C$40*$C$40/G47)</f>
        <v>0.177164752430427</v>
      </c>
      <c r="J53" t="s">
        <v>43</v>
      </c>
    </row>
    <row r="54" spans="1:10" ht="12.75">
      <c r="A54" t="s">
        <v>15</v>
      </c>
      <c r="B54" s="8" t="s">
        <v>9</v>
      </c>
      <c r="C54" s="2"/>
      <c r="D54" s="2">
        <f>($C$40*SQRT((D49*(1-D49)/C47+$C$40*$C$40/(4*C47*C47))))/(1+$C$40*$C$40/C47)</f>
        <v>0.0014543506544505659</v>
      </c>
      <c r="E54" s="2">
        <f>($C$40*SQRT((E49*(1-E49)/D47+$C$40*$C$40/(4*D47*D47))))/(1+$C$40*$C$40/D47)</f>
        <v>0.00542607990214929</v>
      </c>
      <c r="F54" s="2">
        <f>($C$40*SQRT((F49*(1-F49)/E47+$C$40*$C$40/(4*E47*E47))))/(1+$C$40*$C$40/E47)</f>
        <v>0.03881758605716603</v>
      </c>
      <c r="G54" s="2">
        <f>($C$40*SQRT((G49*(1-G49)/F47+$C$40*$C$40/(4*F47*F47))))/(1+$C$40*$C$40/F47)</f>
        <v>0.14944561660306652</v>
      </c>
      <c r="H54" s="2">
        <f>($C$40*SQRT((H49*(1-H49)/G47+$C$40*$C$40/(4*G47*G47))))/(1+$C$40*$C$40/G47)</f>
        <v>0.177164752430427</v>
      </c>
      <c r="J54" s="16" t="s">
        <v>45</v>
      </c>
    </row>
    <row r="55" spans="1:8" ht="12.75">
      <c r="A55" t="s">
        <v>42</v>
      </c>
      <c r="B55" s="8" t="s">
        <v>3</v>
      </c>
      <c r="D55" s="2">
        <f>D53+D54</f>
        <v>0.058997733088577836</v>
      </c>
      <c r="E55" s="2">
        <f>E53+E54</f>
        <v>0.051100442855326</v>
      </c>
      <c r="F55" s="2">
        <f>F53+F54</f>
        <v>0.15735979783638046</v>
      </c>
      <c r="G55" s="2">
        <f>G53+G54</f>
        <v>0.42107562829406897</v>
      </c>
      <c r="H55" s="2">
        <f>H53+H54</f>
        <v>0.354329504860854</v>
      </c>
    </row>
    <row r="56" spans="2:10" ht="12.75">
      <c r="B56" s="8" t="s">
        <v>1</v>
      </c>
      <c r="C56" s="2"/>
      <c r="D56" s="2">
        <f>D53-D54</f>
        <v>0.05608903177967671</v>
      </c>
      <c r="E56" s="2">
        <f>E53-E54</f>
        <v>0.04024828305102743</v>
      </c>
      <c r="F56" s="2">
        <f>F53-F54</f>
        <v>0.07972462572204839</v>
      </c>
      <c r="G56" s="2">
        <f>G53-G54</f>
        <v>0.12218439508793591</v>
      </c>
      <c r="H56" s="2">
        <f>H53-H54</f>
        <v>0</v>
      </c>
      <c r="J56" s="2"/>
    </row>
    <row r="57" spans="2:10" ht="12.75">
      <c r="B57" s="23" t="s">
        <v>6</v>
      </c>
      <c r="C57" s="23"/>
      <c r="D57" s="23"/>
      <c r="E57" s="23" t="str">
        <f>IF((D49&lt;E56),"s+",IF((D49&gt;E55),"s-","ns"))</f>
        <v>s-</v>
      </c>
      <c r="F57" s="23" t="str">
        <f>IF((E49&lt;F56),"s+",IF((E49&gt;F55),"s-","ns"))</f>
        <v>s+</v>
      </c>
      <c r="G57" s="23" t="str">
        <f>IF((F49&lt;G56),"s+",IF((F49&gt;G55),"s-","ns"))</f>
        <v>s+</v>
      </c>
      <c r="H57" s="23" t="str">
        <f>IF((G49&lt;H56),"s+",IF((G49&gt;H55),"s-","ns"))</f>
        <v>ns</v>
      </c>
      <c r="J57" t="s">
        <v>51</v>
      </c>
    </row>
    <row r="58" spans="2:10" ht="12.75">
      <c r="B58" s="13"/>
      <c r="C58" s="13"/>
      <c r="D58" s="13"/>
      <c r="E58" s="13"/>
      <c r="F58" s="13"/>
      <c r="G58" s="13"/>
      <c r="H58" s="13"/>
      <c r="J58" t="s">
        <v>93</v>
      </c>
    </row>
    <row r="59" spans="1:8" ht="12.75">
      <c r="A59" t="s">
        <v>46</v>
      </c>
      <c r="B59" s="13" t="s">
        <v>48</v>
      </c>
      <c r="C59" s="27"/>
      <c r="D59" s="28">
        <f>D54+(D53-D49)</f>
        <v>0.0014716102375567875</v>
      </c>
      <c r="E59" s="28">
        <f>E54+(E53-E49)</f>
        <v>0.005734158654090344</v>
      </c>
      <c r="F59" s="28">
        <f>F54+(F53-F49)</f>
        <v>0.04451933091031041</v>
      </c>
      <c r="G59" s="28">
        <f>G54+(G53-G49)</f>
        <v>0.17969631794924135</v>
      </c>
      <c r="H59" s="28">
        <f>H54+(H53-H49)</f>
        <v>0.354329504860854</v>
      </c>
    </row>
    <row r="60" spans="2:8" ht="12.75">
      <c r="B60" s="13" t="s">
        <v>49</v>
      </c>
      <c r="C60" s="27"/>
      <c r="D60" s="28">
        <f>D54-(D53-D49)</f>
        <v>0.0014370910713443442</v>
      </c>
      <c r="E60" s="28">
        <f>E54-(E53-E49)</f>
        <v>0.005118001150208235</v>
      </c>
      <c r="F60" s="28">
        <f>F54-(F53-F49)</f>
        <v>0.03311584120402165</v>
      </c>
      <c r="G60" s="28">
        <f>G54-(G53-G49)</f>
        <v>0.11919491525689169</v>
      </c>
      <c r="H60" s="28">
        <f>H54-(H53-H49)</f>
        <v>0</v>
      </c>
    </row>
    <row r="61" spans="3:8" ht="12.75">
      <c r="C61" s="2"/>
      <c r="D61" s="2"/>
      <c r="E61" s="2"/>
      <c r="F61" s="2"/>
      <c r="G61" s="2"/>
      <c r="H61" s="2"/>
    </row>
    <row r="62" spans="2:8" ht="12.75">
      <c r="B62" s="23"/>
      <c r="C62" s="23"/>
      <c r="D62" s="23"/>
      <c r="E62" s="23"/>
      <c r="F62" s="23"/>
      <c r="G62" s="23"/>
      <c r="H62" s="23"/>
    </row>
    <row r="63" spans="2:9" ht="12.75">
      <c r="B63" s="11"/>
      <c r="C63" s="26"/>
      <c r="D63" s="26"/>
      <c r="E63" s="11"/>
      <c r="F63" s="11"/>
      <c r="G63" s="11"/>
      <c r="H63" s="11"/>
      <c r="I63" s="1"/>
    </row>
    <row r="64" spans="1:9" ht="18">
      <c r="A64" s="29" t="s">
        <v>65</v>
      </c>
      <c r="B64" s="21"/>
      <c r="C64" s="11"/>
      <c r="I64" s="1"/>
    </row>
    <row r="65" spans="2:10" ht="12.75">
      <c r="B65"/>
      <c r="C65" s="1" t="s">
        <v>67</v>
      </c>
      <c r="D65" s="34">
        <f>-SQRT(D37^2+D60^2)</f>
        <v>-0.0019816421505016364</v>
      </c>
      <c r="E65" s="34">
        <f>-SQRT(E37^2+E60^2)</f>
        <v>-0.007445865307798277</v>
      </c>
      <c r="F65" s="34">
        <f>-SQRT(F37^2+F60^2)</f>
        <v>-0.06040851134135389</v>
      </c>
      <c r="G65" s="34">
        <f>-SQRT(G37^2+G60^2)</f>
        <v>-0.4143498296810466</v>
      </c>
      <c r="H65" s="34">
        <f>-SQRT(H37^2+H60^2)</f>
        <v>-0.7934500192691468</v>
      </c>
      <c r="I65" s="1"/>
      <c r="J65" t="s">
        <v>94</v>
      </c>
    </row>
    <row r="66" spans="1:9" ht="12.75">
      <c r="A66" s="11" t="s">
        <v>70</v>
      </c>
      <c r="B66"/>
      <c r="C66" s="1" t="s">
        <v>68</v>
      </c>
      <c r="D66" s="34">
        <f>SQRT(D38^2+D59^2)</f>
        <v>0.001981990129980423</v>
      </c>
      <c r="E66" s="34">
        <f>SQRT(E38^2+E59^2)</f>
        <v>0.0073470015452274245</v>
      </c>
      <c r="F66" s="34">
        <f>SQRT(F38^2+F59^2)</f>
        <v>0.050884952003994496</v>
      </c>
      <c r="G66" s="34">
        <f>SQRT(G38^2+G59^2)</f>
        <v>0.22572978510553532</v>
      </c>
      <c r="H66" s="34">
        <f>SQRT(H38^2+H59^2)</f>
        <v>0.354329504860854</v>
      </c>
      <c r="I66" s="2"/>
    </row>
    <row r="67" spans="1:9" ht="12.75">
      <c r="A67" s="11" t="s">
        <v>71</v>
      </c>
      <c r="B67" s="11"/>
      <c r="C67" t="s">
        <v>69</v>
      </c>
      <c r="D67" s="34">
        <f>D27-D49</f>
        <v>-0.01069949337517924</v>
      </c>
      <c r="E67" s="34">
        <f>E27-E49</f>
        <v>-0.015808522468383674</v>
      </c>
      <c r="F67" s="34">
        <f>F27-F49</f>
        <v>-0.06703894020851278</v>
      </c>
      <c r="G67" s="34">
        <f>G27-G49</f>
        <v>-0.07471264367816094</v>
      </c>
      <c r="H67" s="34">
        <f>H27-H49</f>
        <v>0</v>
      </c>
      <c r="I67" s="11"/>
    </row>
    <row r="68" spans="2:8" ht="12.75">
      <c r="B68" s="11"/>
      <c r="C68" s="2"/>
      <c r="D68" s="1" t="str">
        <f>IF(D67&lt;D65,"s- (sp &gt; w)",IF(D67&gt;D66,"s+ (sp &lt; w)","ns"))</f>
        <v>s- (sp &gt; w)</v>
      </c>
      <c r="E68" s="1" t="str">
        <f>IF(E67&lt;E65,"s- (sp &gt; w)",IF(E67&gt;E66,"s+ (sp &lt; w)","ns"))</f>
        <v>s- (sp &gt; w)</v>
      </c>
      <c r="F68" s="1" t="str">
        <f>IF(F67&lt;F65,"s- (sp &gt; w)",IF(F67&gt;F66,"s+ (sp &lt; w)","ns"))</f>
        <v>s- (sp &gt; w)</v>
      </c>
      <c r="G68" s="1" t="str">
        <f>IF(G67&lt;G65,"s- (sp &lt; w)",IF(G67&gt;G66,"s+ (sp &gt; w)","ns"))</f>
        <v>ns</v>
      </c>
      <c r="H68" s="1" t="str">
        <f>IF(H67&lt;H65,"s- (sp &lt; w)",IF(H67&gt;H66,"s+ (sp &gt; w)","ns"))</f>
        <v>ns</v>
      </c>
    </row>
    <row r="69" spans="2:6" ht="12.75">
      <c r="B69" s="11"/>
      <c r="C69" s="2"/>
      <c r="D69" s="2"/>
      <c r="E69" s="2"/>
      <c r="F69" s="2"/>
    </row>
    <row r="73" spans="10:11" ht="12.75">
      <c r="J73" s="2"/>
      <c r="K73" s="2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73"/>
  <sheetViews>
    <sheetView zoomScalePageLayoutView="0" workbookViewId="0" topLeftCell="A1">
      <selection activeCell="M60" sqref="M60"/>
    </sheetView>
  </sheetViews>
  <sheetFormatPr defaultColWidth="9.140625" defaultRowHeight="12.75"/>
  <cols>
    <col min="1" max="1" width="13.8515625" style="0" customWidth="1"/>
    <col min="2" max="2" width="20.8515625" style="8" customWidth="1"/>
    <col min="3" max="3" width="11.57421875" style="0" customWidth="1"/>
    <col min="4" max="4" width="12.421875" style="0" customWidth="1"/>
    <col min="5" max="8" width="10.7109375" style="0" customWidth="1"/>
    <col min="9" max="9" width="9.57421875" style="0" customWidth="1"/>
    <col min="10" max="10" width="10.140625" style="0" customWidth="1"/>
    <col min="16" max="16" width="12.421875" style="0" customWidth="1"/>
    <col min="17" max="17" width="10.140625" style="0" customWidth="1"/>
  </cols>
  <sheetData>
    <row r="1" spans="1:8" ht="15.75">
      <c r="A1" s="21" t="s">
        <v>63</v>
      </c>
      <c r="B1" s="32" t="s">
        <v>104</v>
      </c>
      <c r="C1" s="33">
        <v>183027</v>
      </c>
      <c r="D1" s="35">
        <v>9866</v>
      </c>
      <c r="E1" s="35">
        <v>227</v>
      </c>
      <c r="F1" s="35">
        <v>4</v>
      </c>
      <c r="G1" s="35">
        <f>G2+H1</f>
        <v>0</v>
      </c>
      <c r="H1" s="35"/>
    </row>
    <row r="2" spans="2:10" ht="12.75">
      <c r="B2" s="18" t="s">
        <v>10</v>
      </c>
      <c r="C2" s="19">
        <f>C1+D2</f>
        <v>193124</v>
      </c>
      <c r="D2" s="19">
        <f>D1+E2</f>
        <v>10097</v>
      </c>
      <c r="E2" s="19">
        <f>E1+F2</f>
        <v>231</v>
      </c>
      <c r="F2" s="19">
        <f>F1+G1</f>
        <v>4</v>
      </c>
      <c r="G2" s="19">
        <v>0</v>
      </c>
      <c r="J2" s="10" t="s">
        <v>103</v>
      </c>
    </row>
    <row r="4" spans="2:8" ht="12.75">
      <c r="B4" s="8" t="s">
        <v>11</v>
      </c>
      <c r="C4" s="8"/>
      <c r="D4" s="25">
        <f>D1/C1</f>
        <v>0.05390461516606839</v>
      </c>
      <c r="E4" s="25">
        <f>E1/D1</f>
        <v>0.023008311372390025</v>
      </c>
      <c r="F4" s="25">
        <f>F1/E1</f>
        <v>0.01762114537444934</v>
      </c>
      <c r="G4" s="25">
        <f>G1/F1</f>
        <v>0</v>
      </c>
      <c r="H4" s="25"/>
    </row>
    <row r="5" spans="4:8" ht="12.75">
      <c r="D5" s="2"/>
      <c r="E5" s="2"/>
      <c r="F5" s="2"/>
      <c r="G5" s="2"/>
      <c r="H5" s="2"/>
    </row>
    <row r="6" spans="1:21" ht="18">
      <c r="A6" s="29" t="s">
        <v>66</v>
      </c>
      <c r="B6" s="29"/>
      <c r="C6" s="29"/>
      <c r="D6" s="29"/>
      <c r="E6" s="29"/>
      <c r="F6" s="29"/>
      <c r="G6" s="29"/>
      <c r="H6" s="29"/>
      <c r="N6" s="1"/>
      <c r="Q6" s="1"/>
      <c r="R6" s="1"/>
      <c r="S6" s="1"/>
      <c r="T6" s="1"/>
      <c r="U6" s="1"/>
    </row>
    <row r="7" spans="10:21" ht="12.75">
      <c r="J7" s="1"/>
      <c r="K7" s="1"/>
      <c r="L7" s="1"/>
      <c r="M7" s="1"/>
      <c r="N7" s="1"/>
      <c r="Q7" s="1"/>
      <c r="R7" s="1"/>
      <c r="S7" s="1"/>
      <c r="T7" s="1"/>
      <c r="U7" s="1"/>
    </row>
    <row r="8" spans="1:12" ht="15">
      <c r="A8" s="22" t="s">
        <v>38</v>
      </c>
      <c r="B8" s="8" t="s">
        <v>61</v>
      </c>
      <c r="D8" s="25">
        <f>(D4+$C$40*$C$40/(2*C1))/(1+$C$40*$C$40/C1)</f>
        <v>0.0539139777962668</v>
      </c>
      <c r="E8" s="25">
        <f>(E4+$C$40*$C$40/(2*D1))/(1+$C$40*$C$40/D1)</f>
        <v>0.02319396141449484</v>
      </c>
      <c r="F8" s="25">
        <f>(F4+$C$40*$C$40/(2*E1))/(1+$C$40*$C$40/E1)</f>
        <v>0.0256484343482001</v>
      </c>
      <c r="G8" s="25">
        <f>(G4+$C$40*$C$40/(2*F1))/(1+$C$40*$C$40/F1)</f>
        <v>0.24494491019307366</v>
      </c>
      <c r="H8" s="25"/>
      <c r="J8" s="14" t="s">
        <v>28</v>
      </c>
      <c r="K8" s="1"/>
      <c r="L8" s="1"/>
    </row>
    <row r="9" spans="1:12" ht="12.75">
      <c r="A9" t="s">
        <v>15</v>
      </c>
      <c r="B9" s="8" t="s">
        <v>9</v>
      </c>
      <c r="C9" s="2"/>
      <c r="D9" s="2">
        <f>($C$40*SQRT((D4*(1-D4)/C1+$C$40*$C$40/(4*C1*C1))))/(1+$C$40*$C$40/C1)</f>
        <v>0.001034625765974764</v>
      </c>
      <c r="E9" s="2">
        <f>($C$40*SQRT((E4*(1-E4)/D1+$C$40*$C$40/(4*D1*D1))))/(1+$C$40*$C$40/D1)</f>
        <v>0.0029636961598346443</v>
      </c>
      <c r="F9" s="2">
        <f>($C$40*SQRT((F4*(1-F4)/E1+$C$40*$C$40/(4*E1*E1))))/(1+$C$40*$C$40/E1)</f>
        <v>0.018775104379011323</v>
      </c>
      <c r="G9" s="2">
        <f>($C$40*SQRT((G4*(1-G4)/F1+$C$40*$C$40/(4*F1*F1))))/(1+$C$40*$C$40/F1)</f>
        <v>0.24494491019307366</v>
      </c>
      <c r="H9" s="2"/>
      <c r="J9" s="1"/>
      <c r="K9" s="1"/>
      <c r="L9" s="1"/>
    </row>
    <row r="10" spans="1:21" s="29" customFormat="1" ht="18">
      <c r="A10" t="s">
        <v>42</v>
      </c>
      <c r="B10" s="8" t="s">
        <v>3</v>
      </c>
      <c r="C10"/>
      <c r="D10" s="2">
        <f>D8+D9</f>
        <v>0.054948603562241564</v>
      </c>
      <c r="E10" s="2">
        <f>E8+E9</f>
        <v>0.026157657574329484</v>
      </c>
      <c r="F10" s="2">
        <f>F8+F9</f>
        <v>0.04442353872721142</v>
      </c>
      <c r="G10" s="2">
        <f>G8+G9</f>
        <v>0.4898898203861473</v>
      </c>
      <c r="H10" s="2"/>
      <c r="L10" s="30"/>
      <c r="M10" s="30"/>
      <c r="U10" s="30"/>
    </row>
    <row r="11" spans="2:21" ht="12.75">
      <c r="B11" s="8" t="s">
        <v>1</v>
      </c>
      <c r="C11" s="2"/>
      <c r="D11" s="2">
        <f>D8-D9</f>
        <v>0.05287935203029203</v>
      </c>
      <c r="E11" s="2">
        <f>E8-E9</f>
        <v>0.020230265254660196</v>
      </c>
      <c r="F11" s="2">
        <f>F8-F9</f>
        <v>0.006873329969188775</v>
      </c>
      <c r="G11" s="2">
        <f>G8-G9</f>
        <v>0</v>
      </c>
      <c r="H11" s="2"/>
      <c r="L11" s="1"/>
      <c r="M11" s="2"/>
      <c r="U11" s="1"/>
    </row>
    <row r="12" spans="2:21" ht="12.75">
      <c r="B12" s="23" t="s">
        <v>6</v>
      </c>
      <c r="C12" s="23"/>
      <c r="D12" s="23"/>
      <c r="E12" s="23" t="str">
        <f>IF((D4&lt;E11),"s+",IF((D4&gt;E10),"s-","ns"))</f>
        <v>s-</v>
      </c>
      <c r="F12" s="23" t="str">
        <f>IF((E4&lt;F11),"s+",IF((E4&gt;F10),"s-","ns"))</f>
        <v>ns</v>
      </c>
      <c r="G12" s="23" t="str">
        <f>IF((F4&lt;G11),"s+",IF((F4&gt;G10),"s-","ns"))</f>
        <v>ns</v>
      </c>
      <c r="H12" s="23"/>
      <c r="J12" t="s">
        <v>43</v>
      </c>
      <c r="U12" s="2"/>
    </row>
    <row r="13" spans="2:21" ht="12.75">
      <c r="B13" s="13"/>
      <c r="C13" s="13"/>
      <c r="D13" s="13"/>
      <c r="E13" s="13"/>
      <c r="F13" s="13"/>
      <c r="G13" s="13"/>
      <c r="H13" s="13"/>
      <c r="J13" s="16" t="s">
        <v>45</v>
      </c>
      <c r="L13" s="2"/>
      <c r="M13" s="2"/>
      <c r="U13" s="2"/>
    </row>
    <row r="14" spans="1:21" ht="12.75">
      <c r="A14" t="s">
        <v>46</v>
      </c>
      <c r="B14" s="13" t="s">
        <v>48</v>
      </c>
      <c r="C14" s="27"/>
      <c r="D14" s="28">
        <f>D9+(D8-D4)</f>
        <v>0.0010439883961731703</v>
      </c>
      <c r="E14" s="28">
        <f>E9+(E8-E4)</f>
        <v>0.0031493462019394594</v>
      </c>
      <c r="F14" s="28">
        <f>F9+(F8-F4)</f>
        <v>0.02680239335276208</v>
      </c>
      <c r="G14" s="28">
        <f>G9+(G8-G4)</f>
        <v>0.4898898203861473</v>
      </c>
      <c r="H14" s="28"/>
      <c r="U14" s="2"/>
    </row>
    <row r="15" spans="2:21" ht="12.75">
      <c r="B15" s="13" t="s">
        <v>49</v>
      </c>
      <c r="C15" s="27"/>
      <c r="D15" s="28">
        <f>D9-(D8-D4)</f>
        <v>0.0010252631357763578</v>
      </c>
      <c r="E15" s="28">
        <f>E9-(E8-E4)</f>
        <v>0.002778046117729829</v>
      </c>
      <c r="F15" s="28">
        <f>F9-(F8-F4)</f>
        <v>0.010747815405260566</v>
      </c>
      <c r="G15" s="28">
        <f>G9-(G8-G4)</f>
        <v>0</v>
      </c>
      <c r="H15" s="28"/>
      <c r="J15" s="2"/>
      <c r="K15" s="2"/>
      <c r="U15" s="2"/>
    </row>
    <row r="16" spans="10:21" ht="12.75">
      <c r="J16" t="s">
        <v>51</v>
      </c>
      <c r="U16" s="2"/>
    </row>
    <row r="17" spans="10:21" ht="12.75">
      <c r="J17" t="s">
        <v>93</v>
      </c>
      <c r="N17" s="2"/>
      <c r="U17" s="2"/>
    </row>
    <row r="18" spans="14:21" ht="12.75">
      <c r="N18" s="2"/>
      <c r="U18" s="2"/>
    </row>
    <row r="19" spans="12:21" ht="12.75">
      <c r="L19" s="2"/>
      <c r="U19" s="2"/>
    </row>
    <row r="20" spans="1:21" ht="12.75">
      <c r="A20" t="s">
        <v>73</v>
      </c>
      <c r="L20" s="2"/>
      <c r="U20" s="1"/>
    </row>
    <row r="21" spans="10:11" ht="12.75">
      <c r="J21" s="15"/>
      <c r="K21" s="2"/>
    </row>
    <row r="22" spans="1:11" ht="15.75">
      <c r="A22" s="21" t="s">
        <v>62</v>
      </c>
      <c r="B22" s="21" t="s">
        <v>7</v>
      </c>
      <c r="C22" s="19" t="s">
        <v>72</v>
      </c>
      <c r="H22" s="10" t="s">
        <v>30</v>
      </c>
      <c r="J22" s="15"/>
      <c r="K22" s="2"/>
    </row>
    <row r="23" spans="1:11" ht="15">
      <c r="A23" s="22" t="s">
        <v>16</v>
      </c>
      <c r="B23" s="9" t="s">
        <v>8</v>
      </c>
      <c r="C23" s="9">
        <v>0.1</v>
      </c>
      <c r="D23" s="9">
        <f>C23+1</f>
        <v>1.1</v>
      </c>
      <c r="E23" s="9">
        <f>D23+1</f>
        <v>2.1</v>
      </c>
      <c r="F23" s="9">
        <f>E23+1</f>
        <v>3.1</v>
      </c>
      <c r="G23" s="9"/>
      <c r="H23" s="9"/>
      <c r="J23" s="15"/>
      <c r="K23" s="2"/>
    </row>
    <row r="24" spans="2:11" ht="12.75">
      <c r="B24" s="18" t="s">
        <v>2</v>
      </c>
      <c r="C24" s="19">
        <f>C2-C46</f>
        <v>100312</v>
      </c>
      <c r="D24" s="19">
        <f>D2-D46</f>
        <v>4563</v>
      </c>
      <c r="E24" s="19">
        <f>E2-E46</f>
        <v>104</v>
      </c>
      <c r="F24" s="19">
        <f>F2-F46</f>
        <v>0</v>
      </c>
      <c r="G24" s="19"/>
      <c r="H24" s="19"/>
      <c r="J24" s="10" t="s">
        <v>102</v>
      </c>
      <c r="K24" s="2"/>
    </row>
    <row r="25" spans="2:11" ht="12.75">
      <c r="B25" s="18" t="s">
        <v>10</v>
      </c>
      <c r="C25" s="19">
        <f>C1-C47</f>
        <v>84550</v>
      </c>
      <c r="D25" s="19">
        <f>D1-D47</f>
        <v>4201</v>
      </c>
      <c r="E25" s="19">
        <f>E1-E47</f>
        <v>96</v>
      </c>
      <c r="F25" s="19">
        <f>F1-F47</f>
        <v>0</v>
      </c>
      <c r="G25" s="31"/>
      <c r="H25" s="31"/>
      <c r="I25" s="20"/>
      <c r="K25" s="2"/>
    </row>
    <row r="26" spans="3:11" ht="12.75">
      <c r="C26" s="1"/>
      <c r="K26" s="2"/>
    </row>
    <row r="27" spans="2:21" ht="12.75">
      <c r="B27" s="8" t="s">
        <v>11</v>
      </c>
      <c r="C27" s="8"/>
      <c r="D27" s="25">
        <f>D25/C25</f>
        <v>0.04968657599053814</v>
      </c>
      <c r="E27" s="25">
        <f>E25/D25</f>
        <v>0.022851701975720066</v>
      </c>
      <c r="F27" s="25">
        <f>F25/E25</f>
        <v>0</v>
      </c>
      <c r="G27" s="25"/>
      <c r="H27" s="25"/>
      <c r="N27" s="2"/>
      <c r="U27" s="2"/>
    </row>
    <row r="28" spans="4:21" ht="12.75">
      <c r="D28" s="2"/>
      <c r="E28" s="2"/>
      <c r="F28" s="2"/>
      <c r="G28" s="2"/>
      <c r="H28" s="2"/>
      <c r="J28" s="10"/>
      <c r="U28" s="1"/>
    </row>
    <row r="29" spans="1:21" ht="18">
      <c r="A29" s="29" t="s">
        <v>66</v>
      </c>
      <c r="B29" s="29"/>
      <c r="C29" s="29"/>
      <c r="D29" s="29"/>
      <c r="E29" s="29"/>
      <c r="F29" s="29"/>
      <c r="G29" s="29"/>
      <c r="H29" s="29"/>
      <c r="I29" s="29"/>
      <c r="J29" s="1"/>
      <c r="U29" s="2"/>
    </row>
    <row r="30" spans="10:21" ht="12.75">
      <c r="J30" s="14" t="s">
        <v>28</v>
      </c>
      <c r="U30" s="2"/>
    </row>
    <row r="31" spans="1:10" ht="15">
      <c r="A31" s="22" t="s">
        <v>38</v>
      </c>
      <c r="B31" s="8" t="s">
        <v>61</v>
      </c>
      <c r="D31" s="25">
        <f>(D27+$C$40*$C$40/(2*C25))/(1+$C$40*$C$40/C25)</f>
        <v>0.04970703459314831</v>
      </c>
      <c r="E31" s="25">
        <f>(E27+$C$40*$C$40/(2*D25))/(1+$C$40*$C$40/D25)</f>
        <v>0.023287613319907342</v>
      </c>
      <c r="F31" s="25">
        <f>(F27+$C$40*$C$40/(2*E25))/(1+$C$40*$C$40/E25)</f>
        <v>0.01923771871888586</v>
      </c>
      <c r="G31" s="25"/>
      <c r="H31" s="25"/>
      <c r="J31" s="1"/>
    </row>
    <row r="32" spans="1:12" ht="18">
      <c r="A32" t="s">
        <v>15</v>
      </c>
      <c r="B32" s="8" t="s">
        <v>9</v>
      </c>
      <c r="C32" s="2"/>
      <c r="D32" s="2">
        <f>($C$40*SQRT((D27*(1-D27)/C25+$C$40*$C$40/(4*C25*C25))))/(1+$C$40*$C$40/C25)</f>
        <v>0.0014647916895681365</v>
      </c>
      <c r="E32" s="2">
        <f>($C$40*SQRT((E27*(1-E27)/D25+$C$40*$C$40/(4*D25*D25))))/(1+$C$40*$C$40/D25)</f>
        <v>0.004537589747589736</v>
      </c>
      <c r="F32" s="2">
        <f>($C$40*SQRT((F27*(1-F27)/E25+$C$40*$C$40/(4*E25*E25))))/(1+$C$40*$C$40/E25)</f>
        <v>0.01923771871888586</v>
      </c>
      <c r="G32" s="2"/>
      <c r="H32" s="2"/>
      <c r="J32" s="29"/>
      <c r="L32" s="2"/>
    </row>
    <row r="33" spans="1:13" ht="12.75">
      <c r="A33" t="s">
        <v>42</v>
      </c>
      <c r="B33" s="8" t="s">
        <v>3</v>
      </c>
      <c r="D33" s="2">
        <f>D31+D32</f>
        <v>0.05117182628271645</v>
      </c>
      <c r="E33" s="2">
        <f>E31+E32</f>
        <v>0.027825203067497077</v>
      </c>
      <c r="F33" s="2">
        <f>F31+F32</f>
        <v>0.03847543743777172</v>
      </c>
      <c r="G33" s="2"/>
      <c r="H33" s="2"/>
      <c r="L33" s="2"/>
      <c r="M33" s="2"/>
    </row>
    <row r="34" spans="2:13" ht="12.75">
      <c r="B34" s="8" t="s">
        <v>1</v>
      </c>
      <c r="C34" s="2"/>
      <c r="D34" s="2">
        <f>D31-D32</f>
        <v>0.048242242903580174</v>
      </c>
      <c r="E34" s="2">
        <f>E31-E32</f>
        <v>0.018750023572317608</v>
      </c>
      <c r="F34" s="2">
        <f>F31-F32</f>
        <v>0</v>
      </c>
      <c r="G34" s="2"/>
      <c r="H34" s="2"/>
      <c r="J34" t="s">
        <v>43</v>
      </c>
      <c r="K34" s="2"/>
      <c r="M34" s="2"/>
    </row>
    <row r="35" spans="2:11" ht="12.75">
      <c r="B35" s="23" t="s">
        <v>6</v>
      </c>
      <c r="C35" s="23"/>
      <c r="D35" s="23"/>
      <c r="E35" s="23" t="str">
        <f>IF((D27&lt;E34),"s+",IF((D27&gt;E33),"s-","ns"))</f>
        <v>s-</v>
      </c>
      <c r="F35" s="23" t="str">
        <f>IF((E27&lt;F34),"s+",IF((E27&gt;F33),"s-","ns"))</f>
        <v>ns</v>
      </c>
      <c r="G35" s="23"/>
      <c r="H35" s="23"/>
      <c r="J35" s="16" t="s">
        <v>45</v>
      </c>
      <c r="K35" s="2"/>
    </row>
    <row r="36" spans="2:8" ht="12.75">
      <c r="B36" s="13"/>
      <c r="C36" s="13"/>
      <c r="D36" s="13"/>
      <c r="E36" s="13"/>
      <c r="F36" s="13"/>
      <c r="G36" s="13"/>
      <c r="H36" s="13"/>
    </row>
    <row r="37" spans="1:10" ht="12.75">
      <c r="A37" t="s">
        <v>46</v>
      </c>
      <c r="B37" s="13" t="s">
        <v>48</v>
      </c>
      <c r="C37" s="27"/>
      <c r="D37" s="28">
        <f>D32+(D31-D27)</f>
        <v>0.0014852502921783076</v>
      </c>
      <c r="E37" s="28">
        <f>E32+(E31-E27)</f>
        <v>0.004973501091777012</v>
      </c>
      <c r="F37" s="28">
        <f>F32+(F31-F27)</f>
        <v>0.03847543743777172</v>
      </c>
      <c r="G37" s="28"/>
      <c r="H37" s="28"/>
      <c r="J37" s="2"/>
    </row>
    <row r="38" spans="2:10" ht="12.75">
      <c r="B38" s="13" t="s">
        <v>49</v>
      </c>
      <c r="C38" s="27"/>
      <c r="D38" s="28">
        <f>D32-(D31-D27)</f>
        <v>0.0014443330869579655</v>
      </c>
      <c r="E38" s="28">
        <f>E32-(E31-E27)</f>
        <v>0.004101678403402459</v>
      </c>
      <c r="F38" s="28">
        <f>F32-(F31-F27)</f>
        <v>0</v>
      </c>
      <c r="G38" s="28"/>
      <c r="H38" s="28"/>
      <c r="J38" t="s">
        <v>51</v>
      </c>
    </row>
    <row r="39" spans="6:10" ht="12.75">
      <c r="F39" t="str">
        <f>IF((D27&lt;F34),"s+",IF((D27&gt;F33),"s-","ns"))</f>
        <v>s-</v>
      </c>
      <c r="J39" t="s">
        <v>93</v>
      </c>
    </row>
    <row r="40" spans="1:11" ht="12.75">
      <c r="A40" s="8">
        <v>0.05</v>
      </c>
      <c r="B40" s="8" t="s">
        <v>39</v>
      </c>
      <c r="C40" s="8">
        <v>1.95996</v>
      </c>
      <c r="D40" s="3"/>
      <c r="E40" s="3"/>
      <c r="F40" s="3" t="s">
        <v>74</v>
      </c>
      <c r="G40" s="3"/>
      <c r="H40" s="3"/>
      <c r="K40" s="2"/>
    </row>
    <row r="41" spans="1:11" ht="12.75">
      <c r="A41" s="8"/>
      <c r="C41" s="8"/>
      <c r="D41" s="3"/>
      <c r="E41" s="3"/>
      <c r="F41" s="3"/>
      <c r="G41" s="3"/>
      <c r="H41" s="3"/>
      <c r="K41" s="1"/>
    </row>
    <row r="42" spans="1:11" ht="12.75">
      <c r="A42" s="8"/>
      <c r="C42" s="8"/>
      <c r="D42" s="3"/>
      <c r="E42" s="3"/>
      <c r="F42" s="3"/>
      <c r="G42" s="3"/>
      <c r="H42" s="3"/>
      <c r="J42" s="16"/>
      <c r="K42" s="2"/>
    </row>
    <row r="43" spans="3:11" ht="12.75">
      <c r="C43" s="2"/>
      <c r="D43" s="1"/>
      <c r="E43" s="1"/>
      <c r="F43" s="1"/>
      <c r="G43" s="1"/>
      <c r="H43" s="1"/>
      <c r="J43" s="2"/>
      <c r="K43" s="2"/>
    </row>
    <row r="44" spans="1:12" ht="15.75">
      <c r="A44" s="21" t="s">
        <v>64</v>
      </c>
      <c r="B44" s="21" t="s">
        <v>7</v>
      </c>
      <c r="H44" s="10"/>
      <c r="J44" s="2"/>
      <c r="K44" s="2"/>
      <c r="L44" s="2"/>
    </row>
    <row r="45" spans="1:8" ht="15">
      <c r="A45" s="22" t="s">
        <v>16</v>
      </c>
      <c r="B45" s="9" t="s">
        <v>8</v>
      </c>
      <c r="C45" s="9">
        <v>-0.1</v>
      </c>
      <c r="D45" s="9">
        <f>C45+1</f>
        <v>0.9</v>
      </c>
      <c r="E45" s="9">
        <f>D45+1</f>
        <v>1.9</v>
      </c>
      <c r="F45" s="9">
        <f>E45+1</f>
        <v>2.9</v>
      </c>
      <c r="G45" s="9"/>
      <c r="H45" s="9"/>
    </row>
    <row r="46" spans="2:10" ht="12.75">
      <c r="B46" s="32" t="s">
        <v>2</v>
      </c>
      <c r="C46" s="33">
        <f>C47-D47</f>
        <v>92812</v>
      </c>
      <c r="D46" s="33">
        <f>D47-E47</f>
        <v>5534</v>
      </c>
      <c r="E46" s="33">
        <f>E47-F47</f>
        <v>127</v>
      </c>
      <c r="F46" s="33">
        <v>4</v>
      </c>
      <c r="G46" s="33"/>
      <c r="H46" s="33"/>
      <c r="J46" s="10" t="s">
        <v>100</v>
      </c>
    </row>
    <row r="47" spans="2:10" ht="12.75">
      <c r="B47" s="32" t="s">
        <v>10</v>
      </c>
      <c r="C47" s="35">
        <v>98477</v>
      </c>
      <c r="D47" s="35">
        <v>5665</v>
      </c>
      <c r="E47" s="35">
        <v>131</v>
      </c>
      <c r="F47" s="35">
        <v>4</v>
      </c>
      <c r="G47" s="35"/>
      <c r="H47" s="35"/>
      <c r="I47" s="20"/>
      <c r="J47" s="10" t="s">
        <v>101</v>
      </c>
    </row>
    <row r="48" spans="1:8" ht="12.75">
      <c r="A48" s="17"/>
      <c r="B48" s="18"/>
      <c r="C48" s="19" t="s">
        <v>72</v>
      </c>
      <c r="D48" s="19"/>
      <c r="E48" s="19"/>
      <c r="F48" s="17"/>
      <c r="G48" s="17"/>
      <c r="H48" s="17"/>
    </row>
    <row r="49" spans="2:10" ht="12.75">
      <c r="B49" s="8" t="s">
        <v>11</v>
      </c>
      <c r="C49" s="8"/>
      <c r="D49" s="25">
        <f>D47/C47</f>
        <v>0.05752612285102105</v>
      </c>
      <c r="E49" s="25">
        <f>E47/D47</f>
        <v>0.023124448367166813</v>
      </c>
      <c r="F49" s="25">
        <f>F47/E47</f>
        <v>0.030534351145038167</v>
      </c>
      <c r="G49" s="25"/>
      <c r="H49" s="25"/>
      <c r="J49" s="14" t="s">
        <v>28</v>
      </c>
    </row>
    <row r="50" spans="4:10" ht="12.75">
      <c r="D50" s="2"/>
      <c r="E50" s="2"/>
      <c r="F50" s="2"/>
      <c r="G50" s="2"/>
      <c r="H50" s="2"/>
      <c r="J50" s="1"/>
    </row>
    <row r="51" spans="1:10" ht="18">
      <c r="A51" s="29" t="s">
        <v>66</v>
      </c>
      <c r="B51" s="29"/>
      <c r="C51" s="29"/>
      <c r="D51" s="29"/>
      <c r="E51" s="29"/>
      <c r="F51" s="29"/>
      <c r="G51" s="29"/>
      <c r="H51" s="29"/>
      <c r="I51" s="29"/>
      <c r="J51" s="29"/>
    </row>
    <row r="53" spans="1:10" ht="15">
      <c r="A53" s="22" t="s">
        <v>38</v>
      </c>
      <c r="B53" s="8" t="s">
        <v>61</v>
      </c>
      <c r="D53" s="25">
        <f>(D49+$C$40*$C$40/(2*C47))/(1+$C$40*$C$40/C47)</f>
        <v>0.05754338243412727</v>
      </c>
      <c r="E53" s="25">
        <f>(E49+$C$40*$C$40/(2*D47))/(1+$C$40*$C$40/D47)</f>
        <v>0.023447599113961135</v>
      </c>
      <c r="F53" s="25">
        <f>(F49+$C$40*$C$40/(2*E47))/(1+$C$40*$C$40/E47)</f>
        <v>0.04390876766238694</v>
      </c>
      <c r="G53" s="25"/>
      <c r="H53" s="25"/>
      <c r="J53" t="s">
        <v>43</v>
      </c>
    </row>
    <row r="54" spans="1:10" ht="12.75">
      <c r="A54" t="s">
        <v>15</v>
      </c>
      <c r="B54" s="8" t="s">
        <v>9</v>
      </c>
      <c r="C54" s="2"/>
      <c r="D54" s="2">
        <f>($C$40*SQRT((D49*(1-D49)/C47+$C$40*$C$40/(4*C47*C47))))/(1+$C$40*$C$40/C47)</f>
        <v>0.0014543506544505659</v>
      </c>
      <c r="E54" s="2">
        <f>($C$40*SQRT((E49*(1-E49)/D47+$C$40*$C$40/(4*D47*D47))))/(1+$C$40*$C$40/D47)</f>
        <v>0.003925831645367727</v>
      </c>
      <c r="F54" s="2">
        <f>($C$40*SQRT((F49*(1-F49)/E47+$C$40*$C$40/(4*E47*E47))))/(1+$C$40*$C$40/E47)</f>
        <v>0.03197177696075376</v>
      </c>
      <c r="G54" s="2"/>
      <c r="H54" s="2"/>
      <c r="J54" s="16" t="s">
        <v>45</v>
      </c>
    </row>
    <row r="55" spans="1:8" ht="12.75">
      <c r="A55" t="s">
        <v>42</v>
      </c>
      <c r="B55" s="8" t="s">
        <v>3</v>
      </c>
      <c r="D55" s="2">
        <f>D53+D54</f>
        <v>0.058997733088577836</v>
      </c>
      <c r="E55" s="2">
        <f>E53+E54</f>
        <v>0.02737343075932886</v>
      </c>
      <c r="F55" s="2">
        <f>F53+F54</f>
        <v>0.0758805446231407</v>
      </c>
      <c r="G55" s="2"/>
      <c r="H55" s="2"/>
    </row>
    <row r="56" spans="2:10" ht="12.75">
      <c r="B56" s="8" t="s">
        <v>1</v>
      </c>
      <c r="C56" s="2"/>
      <c r="D56" s="2">
        <f>D53-D54</f>
        <v>0.05608903177967671</v>
      </c>
      <c r="E56" s="2">
        <f>E53-E54</f>
        <v>0.01952176746859341</v>
      </c>
      <c r="F56" s="2">
        <f>F53-F54</f>
        <v>0.011936990701633177</v>
      </c>
      <c r="G56" s="2"/>
      <c r="H56" s="2"/>
      <c r="J56" s="2"/>
    </row>
    <row r="57" spans="2:10" ht="12.75">
      <c r="B57" s="23" t="s">
        <v>6</v>
      </c>
      <c r="C57" s="23"/>
      <c r="D57" s="23"/>
      <c r="E57" s="23" t="str">
        <f>IF((D49&lt;E56),"s+",IF((D49&gt;E55),"s-","ns"))</f>
        <v>s-</v>
      </c>
      <c r="F57" s="23" t="str">
        <f>IF((E49&lt;F56),"s+",IF((E49&gt;F55),"s-","ns"))</f>
        <v>ns</v>
      </c>
      <c r="G57" s="23"/>
      <c r="H57" s="23"/>
      <c r="J57" t="s">
        <v>51</v>
      </c>
    </row>
    <row r="58" spans="2:10" ht="12.75">
      <c r="B58" s="13"/>
      <c r="C58" s="13"/>
      <c r="D58" s="13"/>
      <c r="E58" s="13"/>
      <c r="F58" s="13"/>
      <c r="G58" s="13"/>
      <c r="H58" s="13"/>
      <c r="J58" t="s">
        <v>93</v>
      </c>
    </row>
    <row r="59" spans="1:8" ht="12.75">
      <c r="A59" t="s">
        <v>46</v>
      </c>
      <c r="B59" s="13" t="s">
        <v>48</v>
      </c>
      <c r="C59" s="27"/>
      <c r="D59" s="28">
        <f>D54+(D53-D49)</f>
        <v>0.0014716102375567875</v>
      </c>
      <c r="E59" s="28">
        <f>E54+(E53-E49)</f>
        <v>0.0042489823921620495</v>
      </c>
      <c r="F59" s="28">
        <f>F54+(F53-F49)</f>
        <v>0.04534619347810254</v>
      </c>
      <c r="G59" s="28"/>
      <c r="H59" s="28"/>
    </row>
    <row r="60" spans="2:8" ht="12.75">
      <c r="B60" s="13" t="s">
        <v>49</v>
      </c>
      <c r="C60" s="27"/>
      <c r="D60" s="28">
        <f>D54-(D53-D49)</f>
        <v>0.0014370910713443442</v>
      </c>
      <c r="E60" s="28">
        <f>E54-(E53-E49)</f>
        <v>0.0036026808985734054</v>
      </c>
      <c r="F60" s="28">
        <f>F54-(F53-F49)</f>
        <v>0.01859736044340499</v>
      </c>
      <c r="G60" s="28"/>
      <c r="H60" s="28"/>
    </row>
    <row r="61" spans="3:8" ht="12.75">
      <c r="C61" s="2"/>
      <c r="D61" s="2"/>
      <c r="E61" s="2"/>
      <c r="F61" s="2"/>
      <c r="G61" s="2"/>
      <c r="H61" s="2"/>
    </row>
    <row r="62" spans="2:8" ht="12.75">
      <c r="B62" s="23"/>
      <c r="C62" s="23"/>
      <c r="D62" s="23"/>
      <c r="E62" s="23"/>
      <c r="F62" s="23"/>
      <c r="G62" s="23"/>
      <c r="H62" s="23"/>
    </row>
    <row r="63" spans="2:9" ht="12.75">
      <c r="B63" s="11"/>
      <c r="C63" s="26"/>
      <c r="D63" s="26"/>
      <c r="E63" s="11"/>
      <c r="F63" s="11"/>
      <c r="G63" s="11"/>
      <c r="H63" s="11"/>
      <c r="I63" s="1"/>
    </row>
    <row r="64" spans="1:9" ht="18">
      <c r="A64" s="29" t="s">
        <v>65</v>
      </c>
      <c r="B64" s="21"/>
      <c r="C64" s="11"/>
      <c r="I64" s="1"/>
    </row>
    <row r="65" spans="2:10" ht="12.75">
      <c r="B65"/>
      <c r="C65" s="1" t="s">
        <v>67</v>
      </c>
      <c r="D65" s="34">
        <f>-SQRT(D37^2+D60^2)</f>
        <v>-0.0020666879730025485</v>
      </c>
      <c r="E65" s="34">
        <f>-SQRT(E37^2+E60^2)</f>
        <v>-0.006141255797217114</v>
      </c>
      <c r="F65" s="34">
        <f>-SQRT(F37^2+F60^2)</f>
        <v>-0.04273430824864035</v>
      </c>
      <c r="G65" s="34"/>
      <c r="H65" s="34"/>
      <c r="I65" s="1"/>
      <c r="J65" t="s">
        <v>94</v>
      </c>
    </row>
    <row r="66" spans="1:9" ht="12.75">
      <c r="A66" s="11" t="s">
        <v>70</v>
      </c>
      <c r="B66"/>
      <c r="C66" s="1" t="s">
        <v>68</v>
      </c>
      <c r="D66" s="34">
        <f>SQRT(D38^2+D59^2)</f>
        <v>0.0020619735103447547</v>
      </c>
      <c r="E66" s="34">
        <f>SQRT(E38^2+E59^2)</f>
        <v>0.005905727482185516</v>
      </c>
      <c r="F66" s="34">
        <f>SQRT(F38^2+F59^2)</f>
        <v>0.04534619347810254</v>
      </c>
      <c r="G66" s="34"/>
      <c r="H66" s="34"/>
      <c r="I66" s="2"/>
    </row>
    <row r="67" spans="1:9" ht="12.75">
      <c r="A67" s="11" t="s">
        <v>71</v>
      </c>
      <c r="B67" s="11"/>
      <c r="C67" t="s">
        <v>69</v>
      </c>
      <c r="D67" s="34">
        <f>D27-D49</f>
        <v>-0.00783954686048291</v>
      </c>
      <c r="E67" s="34">
        <f>E27-E49</f>
        <v>-0.00027274639144674734</v>
      </c>
      <c r="F67" s="34">
        <f>F27-F49</f>
        <v>-0.030534351145038167</v>
      </c>
      <c r="G67" s="34"/>
      <c r="H67" s="34"/>
      <c r="I67" s="11"/>
    </row>
    <row r="68" spans="2:8" ht="12.75">
      <c r="B68" s="11"/>
      <c r="C68" s="2"/>
      <c r="D68" s="1" t="str">
        <f>IF(D67&lt;D65,"s- (sp &gt; w)",IF(D67&gt;D66,"s+ (sp &lt; w)","ns"))</f>
        <v>s- (sp &gt; w)</v>
      </c>
      <c r="E68" s="1" t="str">
        <f>IF(E67&lt;E65,"s- (sp &gt; w)",IF(E67&gt;E66,"s+ (sp &lt; w)","ns"))</f>
        <v>ns</v>
      </c>
      <c r="F68" s="1" t="str">
        <f>IF(F67&lt;F65,"s- (sp &gt; w)",IF(F67&gt;F66,"s+ (sp &lt; w)","ns"))</f>
        <v>ns</v>
      </c>
      <c r="G68" s="1"/>
      <c r="H68" s="1"/>
    </row>
    <row r="69" spans="2:6" ht="12.75">
      <c r="B69" s="11"/>
      <c r="C69" s="2"/>
      <c r="D69" s="2"/>
      <c r="E69" s="2"/>
      <c r="F69" s="2"/>
    </row>
    <row r="73" spans="10:11" ht="12.75">
      <c r="J73" s="2"/>
      <c r="K73" s="2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College London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Sean Wallis</dc:creator>
  <cp:keywords/>
  <dc:description/>
  <cp:lastModifiedBy>Sean Wallis</cp:lastModifiedBy>
  <dcterms:created xsi:type="dcterms:W3CDTF">2008-07-13T08:49:08Z</dcterms:created>
  <dcterms:modified xsi:type="dcterms:W3CDTF">2019-08-04T08:26:10Z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