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32760" windowWidth="6345" windowHeight="5085" activeTab="1"/>
  </bookViews>
  <sheets>
    <sheet name="analysis of trend" sheetId="1" r:id="rId1"/>
    <sheet name="written vs spok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<sst xmlns="http://schemas.openxmlformats.org/spreadsheetml/2006/main" count="151" uniqueCount="94">
  <si>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</si>
  <si>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</si>
  <si>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</si>
  <si>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</si>
  <si>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</si>
  <si>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</si>
  <si>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</si>
  <si>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</si>
  <si>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</si>
  <si>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</si>
  <si>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</si>
  <si>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</si>
  <si>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</si>
  <si>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</si>
  <si>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</si>
  <si>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</si>
  <si>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</si>
  <si>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</si>
  <si>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</si>
  <si>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</si>
  <si>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</si>
  <si>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</si>
  <si>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</si>
  <si>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</si>
  <si>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</si>
  <si>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</si>
  <si>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</si>
  <si>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</si>
  <si>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</si>
  <si>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2"/>
      </rPr>
      <t>Enter data in this row</t>
    </r>
  </si>
  <si>
    <r>
      <t>¯</t>
    </r>
    <r>
      <rPr>
        <b/>
        <sz val="10"/>
        <rFont val="Arial"/>
        <family val="2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</si>
  <si>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</si>
  <si>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</si>
  <si>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</si>
  <si>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</si>
  <si>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</si>
  <si>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</si>
  <si>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</si>
  <si>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</si>
  <si>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</si>
  <si>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</si>
  <si>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</si>
  <si>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</si>
  <si>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</si>
  <si>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</si>
  <si>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</si>
  <si>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</si>
  <si>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</si>
  <si>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</si>
  <si>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</si>
  <si>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</si>
  <si>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</si>
  <si>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</si>
  <si>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</si>
  <si>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</si>
  <si>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</si>
  <si>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</si>
  <si>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</si>
  <si>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</si>
  <si>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</si>
  <si>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</si>
  <si>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</si>
  <si>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written</t>
  </si>
  <si>
    <t>all</t>
  </si>
  <si>
    <t>spoken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</si>
  <si>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</si>
  <si>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</si>
  <si>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</si>
  <si>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</si>
  <si>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</si>
  <si>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</si>
  <si>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</si>
  <si>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Sources</t>
  </si>
  <si>
    <t>Data from ICE-GB R2</t>
  </si>
  <si>
    <t>ICECUP 3.1.1</t>
  </si>
  <si>
    <t>Search options: normal, skip over punctuation and pauses, discourse markers (except connectives)</t>
  </si>
  <si>
    <t>FTF: AVP preceding VP</t>
  </si>
  <si>
    <t>Wallis (2013)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</si>
  <si>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</si>
  <si>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t>common)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</si>
  <si>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</si>
  <si>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</si>
  <si>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</si>
  <si>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</si>
  <si>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</si>
  <si>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WALLIS, S.A. 2013, Binomial confidence intervals and contingency tests: Mathematical fundamentals and the evaluation of alternative methods. Journal of Quantitative Linguistics, 20(3), 178-208.</t>
  </si>
  <si>
    <t>WALLIS, S.A. 2018, Comparing χ² tables for separability of distribution and effect: Meta-tests for comparing homogeneity and goodness of fit test outcomes. Journal of Quantitative Linguistics. 10.1080/09296174.2018.1496537</t>
  </si>
  <si>
    <t>gradient test</t>
  </si>
  <si>
    <t>difference in gradients</t>
  </si>
  <si>
    <t>wd-</t>
  </si>
  <si>
    <t>wd+</t>
  </si>
  <si>
    <t>diff w</t>
  </si>
  <si>
    <t>diff sp</t>
  </si>
  <si>
    <t>Wallis (2018)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</si>
</sst>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AVPs before VP, spoken vs. written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15"/>
          <c:w val="0.94975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'written vs spoken'!$D$18:$H$18</c:f>
                <c:numCache>
                  <c:ptCount val="3"/>
                  <c:pt idx="0">
                    <c:v>0.001807382028649629</c:v>
                  </c:pt>
                  <c:pt idx="1">
                    <c:v>0.0074598964704968955</c:v>
                  </c:pt>
                  <c:pt idx="2">
                    <c:v>0.10717880917888133</c:v>
                  </c:pt>
                </c:numCache>
              </c:numRef>
            </c:plus>
            <c:minus>
              <c:numRef>
                <c:f>'written vs spoken'!$D$19:$H$19</c:f>
                <c:numCache>
                  <c:ptCount val="3"/>
                  <c:pt idx="0">
                    <c:v>0.0017291562863019445</c:v>
                  </c:pt>
                  <c:pt idx="1">
                    <c:v>0.005336887803795914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'written vs spoken'!$D$4:$F$4</c:f>
              <c:numCache/>
            </c:numRef>
          </c:xVal>
          <c:yVal>
            <c:numRef>
              <c:f>'written vs spoken'!$D$8:$F$8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'written vs spoken'!$D$40:$H$40</c:f>
                <c:numCache>
                  <c:ptCount val="3"/>
                  <c:pt idx="0">
                    <c:v>0.0014179143544416951</c:v>
                  </c:pt>
                  <c:pt idx="1">
                    <c:v>0.006182029958744531</c:v>
                  </c:pt>
                  <c:pt idx="2">
                    <c:v>0.04807047134497462</c:v>
                  </c:pt>
                </c:numCache>
              </c:numRef>
            </c:plus>
            <c:minus>
              <c:numRef>
                <c:f>'written vs spoken'!$D$41:$H$41</c:f>
                <c:numCache>
                  <c:ptCount val="3"/>
                  <c:pt idx="0">
                    <c:v>0.001376926201776656</c:v>
                  </c:pt>
                  <c:pt idx="1">
                    <c:v>0.005256641289497083</c:v>
                  </c:pt>
                  <c:pt idx="2">
                    <c:v>0.021756578684825015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'written vs spoken'!$D$26:$F$26</c:f>
              <c:numCache/>
            </c:numRef>
          </c:xVal>
          <c:yVal>
            <c:numRef>
              <c:f>'written vs spoken'!$D$30:$F$30</c:f>
              <c:numCache/>
            </c:numRef>
          </c:yVal>
          <c:smooth val="0"/>
        </c:ser>
        <c:axId val="29849106"/>
        <c:axId val="53320051"/>
      </c:scatterChart>
      <c:valAx>
        <c:axId val="2984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0051"/>
        <c:crosses val="autoZero"/>
        <c:crossBetween val="midCat"/>
        <c:dispUnits/>
        <c:majorUnit val="1"/>
      </c:valAx>
      <c:valAx>
        <c:axId val="53320051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0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AVPs before VP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25"/>
          <c:w val="0.949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3"/>
                  <c:pt idx="0">
                    <c:v>0.00107394769367695</c:v>
                  </c:pt>
                  <c:pt idx="1">
                    <c:v>0.004638308015237276</c:v>
                  </c:pt>
                  <c:pt idx="2">
                    <c:v>0.03696165285343451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3"/>
                  <c:pt idx="0">
                    <c:v>0.001048575014012463</c:v>
                  </c:pt>
                  <c:pt idx="1">
                    <c:v>0.0040235518205227454</c:v>
                  </c:pt>
                  <c:pt idx="2">
                    <c:v>0.01649476230958729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'analysis of trend'!$D$6:$F$6</c:f>
              <c:numCache>
                <c:ptCount val="3"/>
                <c:pt idx="0">
                  <c:v>0.04241698122740035</c:v>
                </c:pt>
                <c:pt idx="1">
                  <c:v>0.02943678747660371</c:v>
                </c:pt>
                <c:pt idx="2">
                  <c:v>0.028901734104046242</c:v>
                </c:pt>
              </c:numCache>
            </c:numRef>
          </c:yVal>
          <c:smooth val="0"/>
        </c:ser>
        <c:axId val="62545668"/>
        <c:axId val="44838853"/>
      </c:scatterChart>
      <c:valAx>
        <c:axId val="6254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8853"/>
        <c:crosses val="autoZero"/>
        <c:crossBetween val="midCat"/>
        <c:dispUnits/>
        <c:majorUnit val="1"/>
      </c:valAx>
      <c:valAx>
        <c:axId val="44838853"/>
        <c:scaling>
          <c:orientation val="minMax"/>
          <c:max val="0.0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5668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75"/>
          <c:w val="0.949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trend'!$C$4:$G$4</c:f>
              <c:numCache>
                <c:ptCount val="5"/>
                <c:pt idx="0">
                  <c:v>138553</c:v>
                </c:pt>
                <c:pt idx="1">
                  <c:v>5877</c:v>
                </c:pt>
                <c:pt idx="2">
                  <c:v>173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</c:ser>
        <c:axId val="49620150"/>
        <c:axId val="15468247"/>
      </c:scatterChart>
      <c:valAx>
        <c:axId val="4962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8247"/>
        <c:crosses val="autoZero"/>
        <c:crossBetween val="midCat"/>
        <c:dispUnits/>
        <c:majorUnit val="1"/>
      </c:valAx>
      <c:valAx>
        <c:axId val="15468247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0150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35</xdr:row>
      <xdr:rowOff>9525</xdr:rowOff>
    </xdr:from>
    <xdr:to>
      <xdr:col>17</xdr:col>
      <xdr:colOff>314325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9115425" y="6038850"/>
        <a:ext cx="3838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19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n\MYDOCU~1\Dropbox\DEPEND~1\SPREAD~1\ita%20se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of trend (seq)"/>
      <sheetName val="seq"/>
      <sheetName val="seq+cj"/>
      <sheetName val="emb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2</v>
      </c>
      <c r="C3" s="19">
        <f>'written vs spoken'!C1</f>
        <v>132676</v>
      </c>
      <c r="D3" s="19">
        <f>'written vs spoken'!D1</f>
        <v>5704</v>
      </c>
      <c r="E3" s="19">
        <f>'written vs spoken'!E1</f>
        <v>168</v>
      </c>
      <c r="F3" s="19">
        <f>'written vs spoken'!F1</f>
        <v>5</v>
      </c>
      <c r="G3" s="19">
        <f>'written vs spoken'!G1</f>
        <v>0</v>
      </c>
      <c r="H3" s="19">
        <f>'written vs spoken'!H1</f>
        <v>0</v>
      </c>
    </row>
    <row r="4" spans="2:21" ht="12.75">
      <c r="B4" s="18" t="s">
        <v>10</v>
      </c>
      <c r="C4" s="31">
        <f aca="true" t="shared" si="0" ref="C4:H4">C3+D4</f>
        <v>138553</v>
      </c>
      <c r="D4" s="31">
        <f t="shared" si="0"/>
        <v>5877</v>
      </c>
      <c r="E4" s="31">
        <f t="shared" si="0"/>
        <v>173</v>
      </c>
      <c r="F4" s="31">
        <f t="shared" si="0"/>
        <v>5</v>
      </c>
      <c r="G4" s="31">
        <f t="shared" si="0"/>
        <v>0</v>
      </c>
      <c r="H4" s="31">
        <f t="shared" si="0"/>
        <v>0</v>
      </c>
      <c r="I4" s="20"/>
      <c r="J4" s="10" t="s">
        <v>29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0.04241698122740035</v>
      </c>
      <c r="E6" s="25">
        <f>E4/D4</f>
        <v>0.02943678747660371</v>
      </c>
      <c r="F6" s="25">
        <f>F4/E4</f>
        <v>0.028901734104046242</v>
      </c>
      <c r="G6" s="25">
        <f>G4/F4</f>
        <v>0</v>
      </c>
      <c r="H6" s="25" t="e">
        <f>H4/G4</f>
        <v>#DIV/0!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0.04242966756723259</v>
      </c>
      <c r="E10" s="25">
        <f>(E6+$C$19*$C$19/(2*D4))/(1+$C$19*$C$19/D4)</f>
        <v>0.029744165573960975</v>
      </c>
      <c r="F10" s="25">
        <f>(F6+$C$19*$C$19/(2*E4))/(1+$C$19*$C$19/E4)</f>
        <v>0.03913517937596985</v>
      </c>
      <c r="G10" s="25">
        <f>(G6+$C$19*$C$19/(2*F4))/(1+$C$19*$C$19/F4)</f>
        <v>0.21724073287632667</v>
      </c>
      <c r="H10" s="25" t="e">
        <f>(H6+$C$19*$C$19/(2*G4))/(1+$C$19*$C$19/G4)</f>
        <v>#DIV/0!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0.0010612613538447065</v>
      </c>
      <c r="E11" s="2">
        <f>($C$19*SQRT((E6*(1-E6)/D4+$C$19*$C$19/(4*D4*D4))))/(1+$C$19*$C$19/D4)</f>
        <v>0.004330929917880011</v>
      </c>
      <c r="F11" s="2">
        <f>($C$19*SQRT((F6*(1-F6)/E4+$C$19*$C$19/(4*E4*E4))))/(1+$C$19*$C$19/E4)</f>
        <v>0.0267282075815109</v>
      </c>
      <c r="G11" s="2">
        <f>($C$19*SQRT((G6*(1-G6)/F4+$C$19*$C$19/(4*F4*F4))))/(1+$C$19*$C$19/F4)</f>
        <v>0.21724073287632667</v>
      </c>
      <c r="H11" s="2" t="e">
        <f>($C$19*SQRT((H6*(1-H6)/G4+$C$19*$C$19/(4*G4*G4))))/(1+$C$19*$C$19/G4)</f>
        <v>#DIV/0!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0.043490928921077296</v>
      </c>
      <c r="E12" s="2">
        <f>E10+E11</f>
        <v>0.034075095491840984</v>
      </c>
      <c r="F12" s="2">
        <f>F10+F11</f>
        <v>0.06586338695748076</v>
      </c>
      <c r="G12" s="2">
        <f>G10+G11</f>
        <v>0.43448146575265334</v>
      </c>
      <c r="H12" s="2" t="e">
        <f>H10+H11</f>
        <v>#DIV/0!</v>
      </c>
      <c r="U12" s="2"/>
    </row>
    <row r="13" spans="2:21" ht="12.75">
      <c r="B13" s="8" t="s">
        <v>1</v>
      </c>
      <c r="C13" s="2"/>
      <c r="D13" s="2">
        <f>D10-D11</f>
        <v>0.04136840621338789</v>
      </c>
      <c r="E13" s="2">
        <f>E10-E11</f>
        <v>0.025413235656080967</v>
      </c>
      <c r="F13" s="2">
        <f>F10-F11</f>
        <v>0.012406971794458953</v>
      </c>
      <c r="G13" s="2">
        <f>G10-G11</f>
        <v>0</v>
      </c>
      <c r="H13" s="2" t="e">
        <f>H10-H11</f>
        <v>#DIV/0!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ns</v>
      </c>
      <c r="G14" s="23" t="str">
        <f>IF((F6&lt;G13),"s+",IF((F6&gt;G12),"s-","ns"))</f>
        <v>ns</v>
      </c>
      <c r="H14" s="23" t="e">
        <f>IF((G6&lt;H13),"s+",IF((G6&gt;H12),"s-","ns"))</f>
        <v>#DIV/0!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77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0.00107394769367695</v>
      </c>
      <c r="E16" s="28">
        <f>E11+(E10-E6)</f>
        <v>0.004638308015237276</v>
      </c>
      <c r="F16" s="28">
        <f>F11+(F10-F6)</f>
        <v>0.03696165285343451</v>
      </c>
      <c r="G16" s="28">
        <f>G11+(G10-G6)</f>
        <v>0.43448146575265334</v>
      </c>
      <c r="H16" s="28" t="e">
        <f>H11+(H10-H6)</f>
        <v>#DIV/0!</v>
      </c>
      <c r="N16" s="2"/>
      <c r="U16" s="2"/>
    </row>
    <row r="17" spans="2:21" ht="12.75">
      <c r="B17" s="13" t="s">
        <v>49</v>
      </c>
      <c r="C17" s="27"/>
      <c r="D17" s="28">
        <f>D11-(D10-D6)</f>
        <v>0.001048575014012463</v>
      </c>
      <c r="E17" s="28">
        <f>E11-(E10-E6)</f>
        <v>0.0040235518205227454</v>
      </c>
      <c r="F17" s="28">
        <f>F11-(F10-F6)</f>
        <v>0.01649476230958729</v>
      </c>
      <c r="G17" s="28">
        <f>G11-(G10-G6)</f>
        <v>0</v>
      </c>
      <c r="H17" s="28" t="e">
        <f>H11-(H10-H6)</f>
        <v>#DIV/0!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173</v>
      </c>
      <c r="F22" s="4">
        <f>F4</f>
        <v>5</v>
      </c>
      <c r="G22" s="4">
        <f>G4</f>
        <v>0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5704</v>
      </c>
      <c r="F23" s="4">
        <f>E4-F22</f>
        <v>168</v>
      </c>
      <c r="G23" s="4">
        <f>F4-G22</f>
        <v>5</v>
      </c>
      <c r="H23" s="4">
        <f>G4-H22</f>
        <v>0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249.28459867343182</v>
      </c>
      <c r="F25" s="4">
        <f>E4*E4/D4</f>
        <v>5.092564233452442</v>
      </c>
      <c r="G25" s="4">
        <f>F4*F4/E4</f>
        <v>0.14450867052023122</v>
      </c>
      <c r="H25" s="4">
        <f>G4*G4/F4</f>
        <v>0</v>
      </c>
      <c r="J25" t="s">
        <v>25</v>
      </c>
      <c r="U25" s="2"/>
    </row>
    <row r="26" spans="2:21" ht="12.75">
      <c r="B26" s="8" t="s">
        <v>19</v>
      </c>
      <c r="E26" s="4">
        <f>D4-E25</f>
        <v>5627.715401326568</v>
      </c>
      <c r="F26" s="4">
        <f>E4-F25</f>
        <v>167.90743576654756</v>
      </c>
      <c r="G26" s="4">
        <f>F4-G25</f>
        <v>4.855491329479769</v>
      </c>
      <c r="H26" s="4">
        <f>G4-H25</f>
        <v>0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23.344161756218302</v>
      </c>
      <c r="F28" s="6">
        <f t="shared" si="1"/>
        <v>0.001682479969198044</v>
      </c>
      <c r="G28" s="6">
        <f t="shared" si="1"/>
        <v>0.14450867052023122</v>
      </c>
      <c r="H28" s="6" t="e">
        <f t="shared" si="1"/>
        <v>#DIV/0!</v>
      </c>
      <c r="L28" s="2"/>
    </row>
    <row r="29" spans="2:13" ht="12.75">
      <c r="B29" s="12" t="s">
        <v>23</v>
      </c>
      <c r="C29" s="5"/>
      <c r="D29" s="5"/>
      <c r="E29" s="6">
        <f t="shared" si="1"/>
        <v>1.0340501570841394</v>
      </c>
      <c r="F29" s="6">
        <f t="shared" si="1"/>
        <v>5.1028933147128775E-05</v>
      </c>
      <c r="G29" s="6">
        <f t="shared" si="1"/>
        <v>0.0043008532892926075</v>
      </c>
      <c r="H29" s="6" t="e">
        <f t="shared" si="1"/>
        <v>#DIV/0!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24.37821191330244</v>
      </c>
      <c r="F30" s="6">
        <f>F28+F29</f>
        <v>0.001733508902345173</v>
      </c>
      <c r="G30" s="6">
        <f>G28+G29</f>
        <v>0.14880952380952384</v>
      </c>
      <c r="H30" s="6" t="e">
        <f>H28+H29</f>
        <v>#DIV/0!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7.915893304858016E-07</v>
      </c>
      <c r="F31" s="7">
        <f>CHIDIST(F30,1)</f>
        <v>0.9667893299023624</v>
      </c>
      <c r="G31" s="7">
        <f>CHIDIST(G30,1)</f>
        <v>0.699675625677378</v>
      </c>
      <c r="H31" s="7" t="e">
        <f>CHIDIST(H30,1)</f>
        <v>#DIV/0!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ns</v>
      </c>
      <c r="G32" s="23" t="str">
        <f>IF((G31&lt;0.05),"s","ns")</f>
        <v>ns</v>
      </c>
      <c r="H32" s="23" t="e">
        <f>IF((H31&lt;0.05),"s","ns")</f>
        <v>#DIV/0!</v>
      </c>
    </row>
    <row r="34" spans="1:10" ht="15">
      <c r="A34" s="22" t="s">
        <v>41</v>
      </c>
      <c r="B34" s="8" t="s">
        <v>14</v>
      </c>
      <c r="C34" s="2"/>
      <c r="D34" s="1">
        <f>D4</f>
        <v>5877</v>
      </c>
      <c r="E34" s="1">
        <f>E4</f>
        <v>173</v>
      </c>
      <c r="F34" s="1">
        <f>F4</f>
        <v>5</v>
      </c>
      <c r="G34" s="1">
        <f>G4</f>
        <v>0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75.01810049132521</v>
      </c>
      <c r="E35" s="2">
        <f>SQRT(E34*(1-E6))</f>
        <v>12.957910162003268</v>
      </c>
      <c r="F35" s="2">
        <f>SQRT(F34*(1-F6))</f>
        <v>2.203517943988605</v>
      </c>
      <c r="G35" s="2">
        <f>SQRT(G34*(1-G6))</f>
        <v>0</v>
      </c>
      <c r="H35" s="2" t="e">
        <f>SQRT(H34*(1-H6))</f>
        <v>#DIV/0!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0.0010612002355703432</v>
      </c>
      <c r="E36" s="2">
        <f>(E35*$C$19)/D4</f>
        <v>0.004321420044430819</v>
      </c>
      <c r="F36" s="2">
        <f>(F35*$C$19)/E4</f>
        <v>0.02496420248265841</v>
      </c>
      <c r="G36" s="2">
        <f>(G35*$C$19)/F4</f>
        <v>0</v>
      </c>
      <c r="H36" s="2" t="e">
        <f>(H35*$C$19)/G4</f>
        <v>#DIV/0!</v>
      </c>
      <c r="J36" s="16" t="s">
        <v>40</v>
      </c>
      <c r="K36" s="2"/>
    </row>
    <row r="37" spans="1:11" ht="12.75">
      <c r="A37" t="s">
        <v>78</v>
      </c>
      <c r="B37" s="8" t="s">
        <v>3</v>
      </c>
      <c r="D37" s="2">
        <f>D6+D36</f>
        <v>0.043478181462970694</v>
      </c>
      <c r="E37" s="2">
        <f>E6+E36</f>
        <v>0.033758207521034526</v>
      </c>
      <c r="F37" s="2">
        <f>F6+F36</f>
        <v>0.05386593658670465</v>
      </c>
      <c r="G37" s="2">
        <f>G6+G36</f>
        <v>0</v>
      </c>
      <c r="H37" s="2" t="e">
        <f>H6+H36</f>
        <v>#DIV/0!</v>
      </c>
      <c r="J37" s="16" t="s">
        <v>36</v>
      </c>
      <c r="K37" s="1"/>
    </row>
    <row r="38" spans="1:11" ht="12.75">
      <c r="A38" t="s">
        <v>79</v>
      </c>
      <c r="B38" s="8" t="s">
        <v>1</v>
      </c>
      <c r="C38" s="2"/>
      <c r="D38" s="2">
        <f>D6-D36</f>
        <v>0.04135578099183</v>
      </c>
      <c r="E38" s="2">
        <f>E6-E36</f>
        <v>0.02511536743217289</v>
      </c>
      <c r="F38" s="2">
        <f>F6-F36</f>
        <v>0.003937531621387831</v>
      </c>
      <c r="G38" s="2">
        <f>G6-G36</f>
        <v>0</v>
      </c>
      <c r="H38" s="2" t="e">
        <f>H6-H36</f>
        <v>#DIV/0!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ns</v>
      </c>
      <c r="G39" s="23" t="str">
        <f>IF((G6&gt;0),IF((F6&lt;G38),"s+",IF((F6&gt;G37),"s-","ns")),"ns")</f>
        <v>ns</v>
      </c>
      <c r="H39" s="23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80</v>
      </c>
      <c r="C43" s="1"/>
      <c r="D43" s="1"/>
      <c r="E43" s="1"/>
      <c r="F43" s="1"/>
      <c r="I43" s="2"/>
    </row>
    <row r="44" spans="1:9" ht="12.75">
      <c r="A44" s="11"/>
      <c r="B44" t="s">
        <v>81</v>
      </c>
      <c r="D44" s="2"/>
      <c r="E44" s="2"/>
      <c r="F44" s="2"/>
      <c r="I44" s="11"/>
    </row>
    <row r="45" spans="2:6" ht="12.75">
      <c r="B45"/>
      <c r="C45" s="2"/>
      <c r="D45" s="1"/>
      <c r="E45" s="1"/>
      <c r="F45" s="1"/>
    </row>
    <row r="46" spans="2:6" ht="12.75">
      <c r="B46" s="11" t="s">
        <v>82</v>
      </c>
      <c r="C46" s="2"/>
      <c r="D46" s="2"/>
      <c r="E46" s="2"/>
      <c r="F46" s="2"/>
    </row>
    <row r="47" spans="2:6" ht="12.75">
      <c r="B47" s="11" t="s">
        <v>56</v>
      </c>
      <c r="C47" s="2"/>
      <c r="D47" s="2"/>
      <c r="E47" s="2"/>
      <c r="F47" s="2"/>
    </row>
    <row r="48" spans="2:6" ht="12.75">
      <c r="B48" s="11" t="s">
        <v>57</v>
      </c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ht="12.75">
      <c r="B50" s="11" t="s">
        <v>59</v>
      </c>
    </row>
    <row r="51" ht="12.75">
      <c r="B51" s="11" t="s">
        <v>60</v>
      </c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83</v>
      </c>
    </row>
    <row r="58" ht="12.75">
      <c r="B58" s="11" t="s">
        <v>84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85</v>
      </c>
    </row>
    <row r="63" ht="12.75">
      <c r="B63" s="11" t="s">
        <v>86</v>
      </c>
    </row>
    <row r="69" spans="10:11" ht="12.75">
      <c r="J69" s="2"/>
      <c r="K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18"/>
      <c r="C1" s="33">
        <f>C2-D2</f>
        <v>132676</v>
      </c>
      <c r="D1" s="33">
        <f>D2-E2</f>
        <v>5704</v>
      </c>
      <c r="E1" s="33">
        <f>E2-F2</f>
        <v>168</v>
      </c>
      <c r="F1" s="33">
        <f>F2-G2</f>
        <v>5</v>
      </c>
      <c r="G1" s="33">
        <v>0</v>
      </c>
      <c r="H1" s="33">
        <v>0</v>
      </c>
    </row>
    <row r="2" spans="3:8" ht="12.75">
      <c r="C2" s="31">
        <v>138553</v>
      </c>
      <c r="D2" s="31">
        <v>5877</v>
      </c>
      <c r="E2" s="31">
        <v>173</v>
      </c>
      <c r="F2" s="31">
        <v>5</v>
      </c>
      <c r="G2" s="31">
        <f>G1+H2</f>
        <v>0</v>
      </c>
      <c r="H2" s="31">
        <f>H1+I2</f>
        <v>0</v>
      </c>
    </row>
    <row r="3" spans="1:8" ht="15.75">
      <c r="A3" s="21" t="s">
        <v>62</v>
      </c>
      <c r="B3" s="21" t="s">
        <v>7</v>
      </c>
      <c r="H3" s="10" t="s">
        <v>30</v>
      </c>
    </row>
    <row r="4" spans="1:8" ht="15">
      <c r="A4" s="22" t="s">
        <v>16</v>
      </c>
      <c r="B4" s="9" t="s">
        <v>8</v>
      </c>
      <c r="C4" s="9">
        <v>0.1</v>
      </c>
      <c r="D4" s="9">
        <f>C4+1</f>
        <v>1.1</v>
      </c>
      <c r="E4" s="9">
        <f>D4+1</f>
        <v>2.1</v>
      </c>
      <c r="F4" s="9">
        <f>E4+1</f>
        <v>3.1</v>
      </c>
      <c r="G4" s="9">
        <f>F4+1</f>
        <v>4.1</v>
      </c>
      <c r="H4" s="9">
        <f>G4+1</f>
        <v>5.1</v>
      </c>
    </row>
    <row r="5" spans="2:8" ht="12.75">
      <c r="B5" s="18" t="s">
        <v>2</v>
      </c>
      <c r="C5" s="19">
        <f aca="true" t="shared" si="0" ref="C5:H5">C1-C27</f>
        <v>43597</v>
      </c>
      <c r="D5" s="19">
        <f t="shared" si="0"/>
        <v>1707</v>
      </c>
      <c r="E5" s="19">
        <f t="shared" si="0"/>
        <v>32</v>
      </c>
      <c r="F5" s="19">
        <f t="shared" si="0"/>
        <v>0</v>
      </c>
      <c r="G5" s="19">
        <f t="shared" si="0"/>
        <v>0</v>
      </c>
      <c r="H5" s="19">
        <f t="shared" si="0"/>
        <v>0</v>
      </c>
    </row>
    <row r="6" spans="2:21" ht="12.75">
      <c r="B6" s="18" t="s">
        <v>10</v>
      </c>
      <c r="C6" s="31">
        <f aca="true" t="shared" si="1" ref="C6:H6">C5+D6</f>
        <v>45336</v>
      </c>
      <c r="D6" s="31">
        <f t="shared" si="1"/>
        <v>1739</v>
      </c>
      <c r="E6" s="31">
        <f t="shared" si="1"/>
        <v>32</v>
      </c>
      <c r="F6" s="31">
        <f t="shared" si="1"/>
        <v>0</v>
      </c>
      <c r="G6" s="31">
        <f t="shared" si="1"/>
        <v>0</v>
      </c>
      <c r="H6" s="31">
        <f t="shared" si="1"/>
        <v>0</v>
      </c>
      <c r="I6" s="20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2:12" ht="12.75">
      <c r="B8" s="8" t="s">
        <v>11</v>
      </c>
      <c r="C8" s="8"/>
      <c r="D8" s="25">
        <f>D6/C6</f>
        <v>0.03835803776248456</v>
      </c>
      <c r="E8" s="25">
        <f>E6/D6</f>
        <v>0.018401380103507763</v>
      </c>
      <c r="F8" s="25">
        <f>F6/E6</f>
        <v>0</v>
      </c>
      <c r="G8" s="25" t="e">
        <f>G6/F6</f>
        <v>#DIV/0!</v>
      </c>
      <c r="H8" s="25" t="e">
        <f>H6/G6</f>
        <v>#DIV/0!</v>
      </c>
      <c r="J8" s="14" t="s">
        <v>28</v>
      </c>
      <c r="K8" s="1"/>
      <c r="L8" s="1"/>
    </row>
    <row r="9" spans="4:12" ht="12.75">
      <c r="D9" s="2"/>
      <c r="E9" s="2"/>
      <c r="F9" s="2"/>
      <c r="G9" s="2"/>
      <c r="H9" s="2"/>
      <c r="J9" s="1"/>
      <c r="K9" s="1"/>
      <c r="L9" s="1"/>
    </row>
    <row r="10" spans="1:21" s="29" customFormat="1" ht="18">
      <c r="A10" s="29" t="s">
        <v>66</v>
      </c>
      <c r="L10" s="30"/>
      <c r="M10" s="30"/>
      <c r="U10" s="30"/>
    </row>
    <row r="11" spans="12:21" ht="12.75">
      <c r="L11" s="1"/>
      <c r="M11" s="2"/>
      <c r="U11" s="1"/>
    </row>
    <row r="12" spans="1:21" ht="15">
      <c r="A12" s="22" t="s">
        <v>38</v>
      </c>
      <c r="B12" s="8" t="s">
        <v>61</v>
      </c>
      <c r="D12" s="25">
        <f>(D8+$C$21*$C$21/(2*C6))/(1+$C$21*$C$21/C6)</f>
        <v>0.0383971506336584</v>
      </c>
      <c r="E12" s="25">
        <f>(E8+$C$21*$C$21/(2*D6))/(1+$C$21*$C$21/D6)</f>
        <v>0.019462884436858254</v>
      </c>
      <c r="F12" s="25">
        <f>(F8+$C$21*$C$21/(2*E6))/(1+$C$21*$C$21/E6)</f>
        <v>0.05358940458944066</v>
      </c>
      <c r="G12" s="25" t="e">
        <f>(G8+$C$21*$C$21/(2*F6))/(1+$C$21*$C$21/F6)</f>
        <v>#DIV/0!</v>
      </c>
      <c r="H12" s="25" t="e">
        <f>(H8+$C$21*$C$21/(2*G6))/(1+$C$21*$C$21/G6)</f>
        <v>#DIV/0!</v>
      </c>
      <c r="J12" t="s">
        <v>43</v>
      </c>
      <c r="U12" s="2"/>
    </row>
    <row r="13" spans="1:21" ht="12.75">
      <c r="A13" t="s">
        <v>15</v>
      </c>
      <c r="B13" s="8" t="s">
        <v>9</v>
      </c>
      <c r="C13" s="2"/>
      <c r="D13" s="2">
        <f>($C$21*SQRT((D8*(1-D8)/C6+$C$21*$C$21/(4*C6*C6))))/(1+$C$21*$C$21/C6)</f>
        <v>0.0017682691574757868</v>
      </c>
      <c r="E13" s="2">
        <f>($C$21*SQRT((E8*(1-E8)/D6+$C$21*$C$21/(4*D6*D6))))/(1+$C$21*$C$21/D6)</f>
        <v>0.006398392137146405</v>
      </c>
      <c r="F13" s="2">
        <f>($C$21*SQRT((F8*(1-F8)/E6+$C$21*$C$21/(4*E6*E6))))/(1+$C$21*$C$21/E6)</f>
        <v>0.05358940458944066</v>
      </c>
      <c r="G13" s="2" t="e">
        <f>($C$21*SQRT((G8*(1-G8)/F6+$C$21*$C$21/(4*F6*F6))))/(1+$C$21*$C$21/F6)</f>
        <v>#DIV/0!</v>
      </c>
      <c r="H13" s="2" t="e">
        <f>($C$21*SQRT((H8*(1-H8)/G6+$C$21*$C$21/(4*G6*G6))))/(1+$C$21*$C$21/G6)</f>
        <v>#DIV/0!</v>
      </c>
      <c r="J13" s="16" t="s">
        <v>45</v>
      </c>
      <c r="L13" s="2"/>
      <c r="M13" s="2"/>
      <c r="U13" s="2"/>
    </row>
    <row r="14" spans="1:21" ht="12.75">
      <c r="A14" t="s">
        <v>42</v>
      </c>
      <c r="B14" s="8" t="s">
        <v>3</v>
      </c>
      <c r="D14" s="2">
        <f>D12+D13</f>
        <v>0.04016541979113419</v>
      </c>
      <c r="E14" s="2">
        <f>E12+E13</f>
        <v>0.02586127657400466</v>
      </c>
      <c r="F14" s="2">
        <f>F12+F13</f>
        <v>0.10717880917888133</v>
      </c>
      <c r="G14" s="2" t="e">
        <f>G12+G13</f>
        <v>#DIV/0!</v>
      </c>
      <c r="H14" s="2" t="e">
        <f>H12+H13</f>
        <v>#DIV/0!</v>
      </c>
      <c r="U14" s="2"/>
    </row>
    <row r="15" spans="2:21" ht="12.75">
      <c r="B15" s="8" t="s">
        <v>1</v>
      </c>
      <c r="C15" s="2"/>
      <c r="D15" s="2">
        <f>D12-D13</f>
        <v>0.036628881476182616</v>
      </c>
      <c r="E15" s="2">
        <f>E12-E13</f>
        <v>0.01306449229971185</v>
      </c>
      <c r="F15" s="2">
        <f>F12-F13</f>
        <v>0</v>
      </c>
      <c r="G15" s="2" t="e">
        <f>G12-G13</f>
        <v>#DIV/0!</v>
      </c>
      <c r="H15" s="2" t="e">
        <f>H12-H13</f>
        <v>#DIV/0!</v>
      </c>
      <c r="J15" s="2"/>
      <c r="K15" s="2"/>
      <c r="U15" s="2"/>
    </row>
    <row r="16" spans="2:21" ht="12.75">
      <c r="B16" s="23" t="s">
        <v>6</v>
      </c>
      <c r="C16" s="23"/>
      <c r="D16" s="23"/>
      <c r="E16" s="23" t="str">
        <f>IF((D8&lt;E15),"s+",IF((D8&gt;E14),"s-","ns"))</f>
        <v>s-</v>
      </c>
      <c r="F16" s="23" t="str">
        <f>IF((E8&lt;F15),"s+",IF((E8&gt;F14),"s-","ns"))</f>
        <v>ns</v>
      </c>
      <c r="G16" s="23" t="e">
        <f>IF((F8&lt;G15),"s+",IF((F8&gt;G14),"s-","ns"))</f>
        <v>#DIV/0!</v>
      </c>
      <c r="H16" s="23" t="e">
        <f>IF((G8&lt;H15),"s+",IF((G8&gt;H14),"s-","ns"))</f>
        <v>#DIV/0!</v>
      </c>
      <c r="J16" t="s">
        <v>51</v>
      </c>
      <c r="U16" s="2"/>
    </row>
    <row r="17" spans="2:21" ht="12.75">
      <c r="B17" s="13"/>
      <c r="C17" s="13"/>
      <c r="D17" s="13"/>
      <c r="E17" s="13"/>
      <c r="F17" s="13"/>
      <c r="G17" s="13"/>
      <c r="H17" s="13"/>
      <c r="J17" t="s">
        <v>77</v>
      </c>
      <c r="N17" s="2"/>
      <c r="U17" s="2"/>
    </row>
    <row r="18" spans="1:21" ht="12.75">
      <c r="A18" t="s">
        <v>46</v>
      </c>
      <c r="B18" s="13" t="s">
        <v>48</v>
      </c>
      <c r="C18" s="27"/>
      <c r="D18" s="28">
        <f>D13+(D12-D8)</f>
        <v>0.001807382028649629</v>
      </c>
      <c r="E18" s="28">
        <f>E13+(E12-E8)</f>
        <v>0.0074598964704968955</v>
      </c>
      <c r="F18" s="28">
        <f>F13+(F12-F8)</f>
        <v>0.10717880917888133</v>
      </c>
      <c r="G18" s="28" t="e">
        <f>G13+(G12-G8)</f>
        <v>#DIV/0!</v>
      </c>
      <c r="H18" s="28" t="e">
        <f>H13+(H12-H8)</f>
        <v>#DIV/0!</v>
      </c>
      <c r="N18" s="2"/>
      <c r="U18" s="2"/>
    </row>
    <row r="19" spans="2:21" ht="12.75">
      <c r="B19" s="13" t="s">
        <v>49</v>
      </c>
      <c r="C19" s="27"/>
      <c r="D19" s="28">
        <f>D13-(D12-D8)</f>
        <v>0.0017291562863019445</v>
      </c>
      <c r="E19" s="28">
        <f>E13-(E12-E8)</f>
        <v>0.005336887803795914</v>
      </c>
      <c r="F19" s="28">
        <f>F13-(F12-F8)</f>
        <v>0</v>
      </c>
      <c r="G19" s="28" t="e">
        <f>G13-(G12-G8)</f>
        <v>#DIV/0!</v>
      </c>
      <c r="H19" s="28" t="e">
        <f>H13-(H12-H8)</f>
        <v>#DIV/0!</v>
      </c>
      <c r="L19" s="2"/>
      <c r="U19" s="2"/>
    </row>
    <row r="20" spans="12:21" ht="12.75">
      <c r="L20" s="2"/>
      <c r="U20" s="1"/>
    </row>
    <row r="21" spans="1:11" ht="12.75">
      <c r="A21" s="8">
        <v>0.05</v>
      </c>
      <c r="B21" s="8" t="s">
        <v>39</v>
      </c>
      <c r="C21" s="8">
        <v>1.95996</v>
      </c>
      <c r="D21" s="3"/>
      <c r="E21" s="3"/>
      <c r="F21" s="3"/>
      <c r="G21" s="3"/>
      <c r="H21" s="3"/>
      <c r="J21" s="15"/>
      <c r="K21" s="2"/>
    </row>
    <row r="22" spans="1:11" ht="12.75">
      <c r="A22" s="8"/>
      <c r="C22" s="8"/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3:11" ht="12.75">
      <c r="C24" s="2"/>
      <c r="D24" s="1"/>
      <c r="E24" s="1"/>
      <c r="F24" s="1"/>
      <c r="G24" s="1"/>
      <c r="H24" s="1"/>
      <c r="J24" s="2"/>
      <c r="K24" s="2"/>
    </row>
    <row r="25" spans="1:11" ht="15.75">
      <c r="A25" s="21" t="s">
        <v>64</v>
      </c>
      <c r="B25" s="21" t="s">
        <v>7</v>
      </c>
      <c r="H25" s="10" t="s">
        <v>30</v>
      </c>
      <c r="K25" s="2"/>
    </row>
    <row r="26" spans="1:11" ht="15">
      <c r="A26" s="22" t="s">
        <v>16</v>
      </c>
      <c r="B26" s="9" t="s">
        <v>8</v>
      </c>
      <c r="C26" s="9">
        <v>-0.1</v>
      </c>
      <c r="D26" s="9">
        <f>C26+1</f>
        <v>0.9</v>
      </c>
      <c r="E26" s="9">
        <f>D26+1</f>
        <v>1.9</v>
      </c>
      <c r="F26" s="9">
        <f>E26+1</f>
        <v>2.9</v>
      </c>
      <c r="G26" s="9">
        <f>F26+1</f>
        <v>3.9</v>
      </c>
      <c r="H26" s="9">
        <f>G26+1</f>
        <v>4.9</v>
      </c>
      <c r="K26" s="2"/>
    </row>
    <row r="27" spans="2:21" ht="12.75">
      <c r="B27" s="32" t="s">
        <v>2</v>
      </c>
      <c r="C27" s="33">
        <f>C28+D28</f>
        <v>89079</v>
      </c>
      <c r="D27" s="33">
        <f>D28+E28</f>
        <v>3997</v>
      </c>
      <c r="E27" s="33">
        <f>E28+F28</f>
        <v>136</v>
      </c>
      <c r="F27" s="33">
        <f>F28+G28</f>
        <v>5</v>
      </c>
      <c r="G27" s="33">
        <v>0</v>
      </c>
      <c r="H27" s="33">
        <v>0</v>
      </c>
      <c r="N27" s="2"/>
      <c r="U27" s="2"/>
    </row>
    <row r="28" spans="2:21" ht="12.75">
      <c r="B28" s="18" t="s">
        <v>10</v>
      </c>
      <c r="C28" s="31">
        <v>85213</v>
      </c>
      <c r="D28" s="31">
        <v>3866</v>
      </c>
      <c r="E28" s="31">
        <v>131</v>
      </c>
      <c r="F28" s="31">
        <v>5</v>
      </c>
      <c r="G28" s="31">
        <f>G27+H28</f>
        <v>0</v>
      </c>
      <c r="H28" s="31">
        <f>H27+I28</f>
        <v>0</v>
      </c>
      <c r="I28" s="20"/>
      <c r="J28" s="10" t="s">
        <v>29</v>
      </c>
      <c r="U28" s="1"/>
    </row>
    <row r="29" spans="1:21" ht="12.75">
      <c r="A29" s="17"/>
      <c r="B29" s="18"/>
      <c r="C29" s="19"/>
      <c r="D29" s="19"/>
      <c r="E29" s="19"/>
      <c r="F29" s="17"/>
      <c r="G29" s="17"/>
      <c r="H29" s="17"/>
      <c r="J29" s="1"/>
      <c r="U29" s="2"/>
    </row>
    <row r="30" spans="2:21" ht="12.75">
      <c r="B30" s="8" t="s">
        <v>11</v>
      </c>
      <c r="C30" s="8"/>
      <c r="D30" s="25">
        <f>D28/C28</f>
        <v>0.0453686644056658</v>
      </c>
      <c r="E30" s="25">
        <f>E28/D28</f>
        <v>0.0338851526125194</v>
      </c>
      <c r="F30" s="25">
        <f>F28/E28</f>
        <v>0.03816793893129771</v>
      </c>
      <c r="G30" s="25">
        <f>G28/F28</f>
        <v>0</v>
      </c>
      <c r="H30" s="25" t="e">
        <f>H28/G28</f>
        <v>#DIV/0!</v>
      </c>
      <c r="J30" s="14" t="s">
        <v>28</v>
      </c>
      <c r="U30" s="2"/>
    </row>
    <row r="31" spans="4:10" ht="12.75">
      <c r="D31" s="2"/>
      <c r="E31" s="2"/>
      <c r="F31" s="2"/>
      <c r="G31" s="2"/>
      <c r="H31" s="2"/>
      <c r="J31" s="1"/>
    </row>
    <row r="32" spans="1:12" ht="18">
      <c r="A32" s="29" t="s">
        <v>66</v>
      </c>
      <c r="B32" s="29"/>
      <c r="C32" s="29"/>
      <c r="D32" s="29"/>
      <c r="E32" s="29"/>
      <c r="F32" s="29"/>
      <c r="G32" s="29"/>
      <c r="H32" s="29"/>
      <c r="I32" s="29"/>
      <c r="J32" s="29"/>
      <c r="L32" s="2"/>
    </row>
    <row r="33" spans="12:13" ht="12.75">
      <c r="L33" s="2"/>
      <c r="M33" s="2"/>
    </row>
    <row r="34" spans="1:13" ht="15">
      <c r="A34" s="22" t="s">
        <v>38</v>
      </c>
      <c r="B34" s="8" t="s">
        <v>61</v>
      </c>
      <c r="D34" s="25">
        <f>(D30+$C$21*$C$21/(2*C28))/(1+$C$21*$C$21/C28)</f>
        <v>0.04538915848199832</v>
      </c>
      <c r="E34" s="25">
        <f>(E30+$C$21*$C$21/(2*D28))/(1+$C$21*$C$21/D28)</f>
        <v>0.03434784694714312</v>
      </c>
      <c r="F34" s="25">
        <f>(F30+$C$21*$C$21/(2*E28))/(1+$C$21*$C$21/E28)</f>
        <v>0.051324885261372515</v>
      </c>
      <c r="G34" s="25"/>
      <c r="H34" s="25"/>
      <c r="J34" t="s">
        <v>43</v>
      </c>
      <c r="K34" s="2"/>
      <c r="M34" s="2"/>
    </row>
    <row r="35" spans="1:11" ht="12.75">
      <c r="A35" t="s">
        <v>15</v>
      </c>
      <c r="B35" s="8" t="s">
        <v>9</v>
      </c>
      <c r="C35" s="2"/>
      <c r="D35" s="2">
        <f>($C$21*SQRT((D30*(1-D30)/C28+$C$21*$C$21/(4*C28*C28))))/(1+$C$21*$C$21/C28)</f>
        <v>0.0013974202781091756</v>
      </c>
      <c r="E35" s="2">
        <f>($C$21*SQRT((E30*(1-E30)/D28+$C$21*$C$21/(4*D28*D28))))/(1+$C$21*$C$21/D28)</f>
        <v>0.005719335624120807</v>
      </c>
      <c r="F35" s="2">
        <f>($C$21*SQRT((F30*(1-F30)/E28+$C$21*$C$21/(4*E28*E28))))/(1+$C$21*$C$21/E28)</f>
        <v>0.03491352501489982</v>
      </c>
      <c r="G35" s="2"/>
      <c r="H35" s="2"/>
      <c r="J35" s="16" t="s">
        <v>45</v>
      </c>
      <c r="K35" s="2"/>
    </row>
    <row r="36" spans="1:8" ht="12.75">
      <c r="A36" t="s">
        <v>42</v>
      </c>
      <c r="B36" s="8" t="s">
        <v>3</v>
      </c>
      <c r="D36" s="2">
        <f>D34+D35</f>
        <v>0.0467865787601075</v>
      </c>
      <c r="E36" s="2">
        <f>E34+E35</f>
        <v>0.04006718257126393</v>
      </c>
      <c r="F36" s="2">
        <f>F34+F35</f>
        <v>0.08623841027627233</v>
      </c>
      <c r="G36" s="2"/>
      <c r="H36" s="2"/>
    </row>
    <row r="37" spans="2:10" ht="12.75">
      <c r="B37" s="8" t="s">
        <v>1</v>
      </c>
      <c r="C37" s="2"/>
      <c r="D37" s="2">
        <f>D34-D35</f>
        <v>0.043991738203889144</v>
      </c>
      <c r="E37" s="2">
        <f>E34-E35</f>
        <v>0.028628511323022316</v>
      </c>
      <c r="F37" s="2">
        <f>F34-F35</f>
        <v>0.016411360246472696</v>
      </c>
      <c r="G37" s="2"/>
      <c r="H37" s="2"/>
      <c r="J37" s="2"/>
    </row>
    <row r="38" spans="2:10" ht="12.75">
      <c r="B38" s="23" t="s">
        <v>6</v>
      </c>
      <c r="C38" s="23"/>
      <c r="D38" s="23"/>
      <c r="E38" s="23" t="str">
        <f>IF((D30&lt;E37),"s+",IF((D30&gt;E36),"s-","ns"))</f>
        <v>s-</v>
      </c>
      <c r="F38" s="23" t="str">
        <f>IF((E30&lt;F37),"s+",IF((E30&gt;F36),"s-","ns"))</f>
        <v>ns</v>
      </c>
      <c r="G38" s="23"/>
      <c r="H38" s="23"/>
      <c r="J38" t="s">
        <v>51</v>
      </c>
    </row>
    <row r="39" spans="2:10" ht="12.75">
      <c r="B39" s="13"/>
      <c r="C39" s="13"/>
      <c r="D39" s="13"/>
      <c r="E39" s="13"/>
      <c r="F39" s="13"/>
      <c r="G39" s="13"/>
      <c r="H39" s="13"/>
      <c r="J39" t="s">
        <v>77</v>
      </c>
    </row>
    <row r="40" spans="1:11" ht="12.75">
      <c r="A40" t="s">
        <v>46</v>
      </c>
      <c r="B40" s="13" t="s">
        <v>48</v>
      </c>
      <c r="C40" s="27"/>
      <c r="D40" s="28">
        <f>D35+(D34-D30)</f>
        <v>0.0014179143544416951</v>
      </c>
      <c r="E40" s="28">
        <f>E35+(E34-E30)</f>
        <v>0.006182029958744531</v>
      </c>
      <c r="F40" s="28">
        <f>F35+(F34-F30)</f>
        <v>0.04807047134497462</v>
      </c>
      <c r="G40" s="28"/>
      <c r="H40" s="28"/>
      <c r="K40" s="2"/>
    </row>
    <row r="41" spans="2:11" ht="12.75">
      <c r="B41" s="13" t="s">
        <v>49</v>
      </c>
      <c r="C41" s="27"/>
      <c r="D41" s="28">
        <f>D35-(D34-D30)</f>
        <v>0.001376926201776656</v>
      </c>
      <c r="E41" s="28">
        <f>E35-(E34-E30)</f>
        <v>0.005256641289497083</v>
      </c>
      <c r="F41" s="28">
        <f>F35-(F34-F30)</f>
        <v>0.021756578684825015</v>
      </c>
      <c r="G41" s="28"/>
      <c r="H41" s="28"/>
      <c r="K41" s="1"/>
    </row>
    <row r="42" spans="3:11" ht="12.75">
      <c r="C42" s="2"/>
      <c r="D42" s="2"/>
      <c r="E42" s="2"/>
      <c r="F42" s="2"/>
      <c r="G42" s="2"/>
      <c r="H42" s="2"/>
      <c r="J42" s="16"/>
      <c r="K42" s="2"/>
    </row>
    <row r="43" spans="2:11" ht="12.75">
      <c r="B43" s="23"/>
      <c r="C43" s="23"/>
      <c r="D43" s="23"/>
      <c r="E43" s="23"/>
      <c r="F43" s="23"/>
      <c r="G43" s="23"/>
      <c r="H43" s="23"/>
      <c r="J43" s="2"/>
      <c r="K43" s="2"/>
    </row>
    <row r="44" spans="2:12" ht="12.75">
      <c r="B44" s="11"/>
      <c r="C44" s="26"/>
      <c r="D44" s="26"/>
      <c r="E44" s="11"/>
      <c r="F44" s="11"/>
      <c r="G44" s="11"/>
      <c r="H44" s="11"/>
      <c r="I44" s="1"/>
      <c r="J44" s="2"/>
      <c r="K44" s="2"/>
      <c r="L44" s="2"/>
    </row>
    <row r="45" spans="1:9" ht="18">
      <c r="A45" s="29" t="s">
        <v>65</v>
      </c>
      <c r="B45" s="21"/>
      <c r="C45" s="11"/>
      <c r="I45" s="1"/>
    </row>
    <row r="46" spans="2:10" ht="12.75">
      <c r="B46"/>
      <c r="C46" s="1" t="s">
        <v>67</v>
      </c>
      <c r="D46" s="34">
        <f>-SQRT(D18^2+D41^2)</f>
        <v>-0.002272125780546653</v>
      </c>
      <c r="E46" s="34">
        <f>-SQRT(E18^2+E41^2)</f>
        <v>-0.009125915460762147</v>
      </c>
      <c r="F46" s="34">
        <f>-SQRT(F18^2+F41^2)</f>
        <v>-0.10936473770403346</v>
      </c>
      <c r="G46" s="34"/>
      <c r="H46" s="34"/>
      <c r="I46" s="1"/>
      <c r="J46" s="11" t="s">
        <v>93</v>
      </c>
    </row>
    <row r="47" spans="1:9" ht="12.75">
      <c r="A47" s="11" t="s">
        <v>70</v>
      </c>
      <c r="B47"/>
      <c r="C47" s="1" t="s">
        <v>68</v>
      </c>
      <c r="D47" s="34">
        <f>SQRT(D19^2+D40^2)</f>
        <v>0.002236171410914052</v>
      </c>
      <c r="E47" s="34">
        <f>SQRT(E19^2+E40^2)</f>
        <v>0.008166998582167165</v>
      </c>
      <c r="F47" s="34">
        <f>SQRT(F19^2+F40^2)</f>
        <v>0.04807047134497462</v>
      </c>
      <c r="G47" s="34"/>
      <c r="H47" s="34"/>
      <c r="I47" s="2"/>
    </row>
    <row r="48" spans="1:9" ht="12.75">
      <c r="A48" s="11" t="s">
        <v>71</v>
      </c>
      <c r="B48" s="11"/>
      <c r="C48" t="s">
        <v>69</v>
      </c>
      <c r="D48" s="34">
        <f>D8-D30</f>
        <v>-0.007010626643181243</v>
      </c>
      <c r="E48" s="34">
        <f>E8-E30</f>
        <v>-0.015483772509011635</v>
      </c>
      <c r="F48" s="34">
        <f>F8-F30</f>
        <v>-0.03816793893129771</v>
      </c>
      <c r="G48" s="34"/>
      <c r="H48" s="34"/>
      <c r="I48" s="11"/>
    </row>
    <row r="49" spans="2:8" ht="12.75">
      <c r="B49" s="11"/>
      <c r="C49" s="2"/>
      <c r="D49" s="1" t="str">
        <f>IF(D48&lt;D46,"s- (sp &gt; w)",IF(D48&gt;D47,"s+ (sp &lt; w)","ns"))</f>
        <v>s- (sp &gt; w)</v>
      </c>
      <c r="E49" s="1" t="str">
        <f>IF(E48&lt;E46,"s- (sp &gt; w)",IF(E48&gt;E47,"s+ (sp &lt; w)","ns"))</f>
        <v>s- (sp &gt; w)</v>
      </c>
      <c r="F49" s="1" t="str">
        <f>IF(F48&lt;F46,"s- (sp &gt; w)",IF(F48&gt;F47,"s+ (sp &lt; w)","ns"))</f>
        <v>ns</v>
      </c>
      <c r="G49" s="1"/>
      <c r="H49" s="1"/>
    </row>
    <row r="51" spans="1:6" ht="12.75">
      <c r="A51" s="11" t="s">
        <v>87</v>
      </c>
      <c r="C51" t="s">
        <v>91</v>
      </c>
      <c r="E51" s="2">
        <f>E8-D8</f>
        <v>-0.019956657658976796</v>
      </c>
      <c r="F51" s="2">
        <f>F8-E8</f>
        <v>-0.018401380103507763</v>
      </c>
    </row>
    <row r="52" spans="2:6" ht="12.75">
      <c r="B52" s="11"/>
      <c r="C52" t="s">
        <v>92</v>
      </c>
      <c r="E52" s="2">
        <f>E30-D30</f>
        <v>-0.011483511793146405</v>
      </c>
      <c r="F52" s="2">
        <f>F30-E30</f>
        <v>0.004282786318778313</v>
      </c>
    </row>
    <row r="53" spans="3:6" ht="12.75">
      <c r="C53" s="11" t="s">
        <v>88</v>
      </c>
      <c r="E53" s="2">
        <f>E51-E52</f>
        <v>-0.008473145865830391</v>
      </c>
      <c r="F53" s="2">
        <f>F51-F52</f>
        <v>-0.022684166422286076</v>
      </c>
    </row>
    <row r="54" spans="2:6" ht="15.75">
      <c r="B54" s="21"/>
      <c r="C54" s="11" t="s">
        <v>89</v>
      </c>
      <c r="E54" s="2">
        <f>-SQRT(E18^2+E41^2)</f>
        <v>-0.009125915460762147</v>
      </c>
      <c r="F54" s="2">
        <f>-SQRT(F18^2+F41^2)</f>
        <v>-0.10936473770403346</v>
      </c>
    </row>
    <row r="55" spans="2:6" ht="12.75">
      <c r="B55" s="11"/>
      <c r="C55" s="11" t="s">
        <v>90</v>
      </c>
      <c r="E55" s="2">
        <f>SQRT(E19^2+E40^2)</f>
        <v>0.008166998582167165</v>
      </c>
      <c r="F55" s="2">
        <f>SQRT(F19^2+F40^2)</f>
        <v>0.04807047134497462</v>
      </c>
    </row>
    <row r="56" spans="5:6" ht="12.75">
      <c r="E56" t="str">
        <f>IF(E53&lt;E54,"s-",IF(E53&gt;E55,"s+","ns"))</f>
        <v>ns</v>
      </c>
      <c r="F56" t="str">
        <f>IF(F53&lt;F54,"s-",IF(F53&gt;F55,"s+","ns"))</f>
        <v>ns</v>
      </c>
    </row>
    <row r="57" ht="12.75">
      <c r="B57" s="11"/>
    </row>
    <row r="58" spans="1:2" ht="18">
      <c r="A58" s="29" t="s">
        <v>72</v>
      </c>
      <c r="B58" s="11"/>
    </row>
    <row r="59" ht="12.75">
      <c r="A59" s="11" t="s">
        <v>73</v>
      </c>
    </row>
    <row r="60" spans="1:2" ht="12.75">
      <c r="A60" s="8" t="s">
        <v>74</v>
      </c>
      <c r="B60" s="11"/>
    </row>
    <row r="61" spans="1:2" ht="12.75">
      <c r="A61" s="11" t="s">
        <v>75</v>
      </c>
      <c r="B61" s="11"/>
    </row>
    <row r="62" ht="12.75">
      <c r="A62" t="s">
        <v>76</v>
      </c>
    </row>
    <row r="63" ht="12.75">
      <c r="B63" s="11"/>
    </row>
    <row r="66" ht="12.75">
      <c r="B66" s="11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2019-08-03T21:20:04Z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