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6585" activeTab="1"/>
  </bookViews>
  <sheets>
    <sheet name="analysis of trend" sheetId="1" r:id="rId1"/>
    <sheet name="common vs proper" sheetId="2" r:id="rId2"/>
  </sheets>
  <definedNames/>
  <calcPr fullCalcOnLoad="1"/>
</workbook>
</file>

<file path=xl/sharedStrings.xml><?xml version="1.0" encoding="utf-8"?>
<sst xmlns="http://schemas.openxmlformats.org/spreadsheetml/2006/main" count="144" uniqueCount="87">
  <si>
    <t>expected</t>
  </si>
  <si>
    <t>lower bound</t>
  </si>
  <si>
    <t>exactly x</t>
  </si>
  <si>
    <t>upper bound</t>
  </si>
  <si>
    <t>observed</t>
  </si>
  <si>
    <t>sig level</t>
  </si>
  <si>
    <t>significant (0.05)</t>
  </si>
  <si>
    <t>title</t>
  </si>
  <si>
    <t>x linguistic events</t>
  </si>
  <si>
    <r>
      <t>probability margin</t>
    </r>
    <r>
      <rPr>
        <b/>
        <i/>
        <sz val="10"/>
        <rFont val="Arial"/>
        <family val="2"/>
      </rPr>
      <t xml:space="preserve"> e</t>
    </r>
  </si>
  <si>
    <r>
      <t xml:space="preserve">at least x </t>
    </r>
    <r>
      <rPr>
        <b/>
        <i/>
        <sz val="10"/>
        <rFont val="Arial"/>
        <family val="2"/>
      </rPr>
      <t>F</t>
    </r>
  </si>
  <si>
    <r>
      <t xml:space="preserve">probability </t>
    </r>
    <r>
      <rPr>
        <b/>
        <i/>
        <sz val="10"/>
        <rFont val="Arial"/>
        <family val="2"/>
      </rPr>
      <t>p</t>
    </r>
  </si>
  <si>
    <t>binomial significance</t>
  </si>
  <si>
    <r>
      <t xml:space="preserve">s.dev. </t>
    </r>
    <r>
      <rPr>
        <b/>
        <i/>
        <sz val="10"/>
        <rFont val="Symbol"/>
        <family val="1"/>
      </rPr>
      <t>s</t>
    </r>
  </si>
  <si>
    <r>
      <t xml:space="preserve">mean </t>
    </r>
    <r>
      <rPr>
        <b/>
        <i/>
        <sz val="10"/>
        <rFont val="Symbol"/>
        <family val="1"/>
      </rPr>
      <t>m</t>
    </r>
  </si>
  <si>
    <t>binomial</t>
  </si>
  <si>
    <t>data</t>
  </si>
  <si>
    <r>
      <t xml:space="preserve">y: </t>
    </r>
    <r>
      <rPr>
        <b/>
        <i/>
        <sz val="10"/>
        <rFont val="Arial"/>
        <family val="2"/>
      </rPr>
      <t>F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>)</t>
    </r>
  </si>
  <si>
    <r>
      <t xml:space="preserve">n: </t>
    </r>
    <r>
      <rPr>
        <b/>
        <i/>
        <sz val="10"/>
        <rFont val="Arial"/>
        <family val="2"/>
      </rPr>
      <t>F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>-1)-</t>
    </r>
    <r>
      <rPr>
        <b/>
        <i/>
        <sz val="10"/>
        <rFont val="Arial"/>
        <family val="2"/>
      </rPr>
      <t>F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>)</t>
    </r>
  </si>
  <si>
    <r>
      <t xml:space="preserve">n: </t>
    </r>
    <r>
      <rPr>
        <b/>
        <i/>
        <sz val="10"/>
        <rFont val="Arial"/>
        <family val="2"/>
      </rPr>
      <t>F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>-1)-</t>
    </r>
    <r>
      <rPr>
        <b/>
        <i/>
        <sz val="10"/>
        <rFont val="Arial"/>
        <family val="2"/>
      </rPr>
      <t>E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y</t>
    </r>
    <r>
      <rPr>
        <b/>
        <sz val="10"/>
        <rFont val="Arial"/>
        <family val="2"/>
      </rPr>
      <t>)</t>
    </r>
  </si>
  <si>
    <r>
      <t xml:space="preserve">y: </t>
    </r>
    <r>
      <rPr>
        <b/>
        <i/>
        <sz val="10"/>
        <rFont val="Arial"/>
        <family val="2"/>
      </rPr>
      <t>F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>-1)²/</t>
    </r>
    <r>
      <rPr>
        <b/>
        <i/>
        <sz val="10"/>
        <rFont val="Arial"/>
        <family val="2"/>
      </rPr>
      <t>F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>-2)</t>
    </r>
  </si>
  <si>
    <r>
      <t xml:space="preserve">total </t>
    </r>
    <r>
      <rPr>
        <b/>
        <sz val="10"/>
        <rFont val="Symbol"/>
        <family val="1"/>
      </rPr>
      <t>c</t>
    </r>
    <r>
      <rPr>
        <b/>
        <sz val="10"/>
        <rFont val="Arial"/>
        <family val="2"/>
      </rPr>
      <t>²</t>
    </r>
  </si>
  <si>
    <r>
      <t>c</t>
    </r>
    <r>
      <rPr>
        <b/>
        <sz val="10"/>
        <rFont val="Arial"/>
        <family val="2"/>
      </rPr>
      <t>²(y)</t>
    </r>
  </si>
  <si>
    <r>
      <t>c</t>
    </r>
    <r>
      <rPr>
        <b/>
        <sz val="10"/>
        <rFont val="Arial"/>
        <family val="2"/>
      </rPr>
      <t>²(n)</t>
    </r>
  </si>
  <si>
    <t>chi-square</t>
  </si>
  <si>
    <t>probability of representativeness</t>
  </si>
  <si>
    <t>chi-square significance</t>
  </si>
  <si>
    <r>
      <t>np</t>
    </r>
    <r>
      <rPr>
        <sz val="10"/>
        <rFont val="Arial"/>
        <family val="0"/>
      </rPr>
      <t xml:space="preserve"> = </t>
    </r>
    <r>
      <rPr>
        <i/>
        <sz val="10"/>
        <rFont val="Arial"/>
        <family val="2"/>
      </rPr>
      <t>F</t>
    </r>
  </si>
  <si>
    <r>
      <t>p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) = </t>
    </r>
    <r>
      <rPr>
        <i/>
        <sz val="10"/>
        <rFont val="Arial"/>
        <family val="2"/>
      </rPr>
      <t>F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>)/</t>
    </r>
    <r>
      <rPr>
        <i/>
        <sz val="10"/>
        <rFont val="Arial"/>
        <family val="2"/>
      </rPr>
      <t>F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>-1)</t>
    </r>
  </si>
  <si>
    <r>
      <t xml:space="preserve">¬ </t>
    </r>
    <r>
      <rPr>
        <b/>
        <sz val="10"/>
        <rFont val="Arial"/>
        <family val="0"/>
      </rPr>
      <t>Enter data in this row</t>
    </r>
  </si>
  <si>
    <r>
      <t>¯</t>
    </r>
    <r>
      <rPr>
        <b/>
        <sz val="10"/>
        <rFont val="Arial"/>
        <family val="0"/>
      </rPr>
      <t xml:space="preserve"> extend sequence as required</t>
    </r>
  </si>
  <si>
    <t>chi-square contributions</t>
  </si>
  <si>
    <r>
      <t xml:space="preserve">compares observations of event at 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 xml:space="preserve">-1 and </t>
    </r>
    <r>
      <rPr>
        <i/>
        <sz val="10"/>
        <rFont val="Arial"/>
        <family val="2"/>
      </rPr>
      <t>x</t>
    </r>
  </si>
  <si>
    <t>Comments</t>
  </si>
  <si>
    <r>
      <t xml:space="preserve">Any recursively extensible linguistic phenomenon found in a corpus can be analysed provided that it exhibits </t>
    </r>
    <r>
      <rPr>
        <b/>
        <sz val="10"/>
        <rFont val="Arial"/>
        <family val="2"/>
      </rPr>
      <t xml:space="preserve">at least two </t>
    </r>
    <r>
      <rPr>
        <sz val="10"/>
        <rFont val="Arial"/>
        <family val="0"/>
      </rPr>
      <t>levels of addition.</t>
    </r>
  </si>
  <si>
    <r>
      <t xml:space="preserve">We need one additional event to find a probability </t>
    </r>
    <r>
      <rPr>
        <i/>
        <sz val="10"/>
        <rFont val="Arial"/>
        <family val="2"/>
      </rPr>
      <t>p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) = </t>
    </r>
    <r>
      <rPr>
        <i/>
        <sz val="10"/>
        <rFont val="Arial"/>
        <family val="2"/>
      </rPr>
      <t>F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>)/</t>
    </r>
    <r>
      <rPr>
        <i/>
        <sz val="10"/>
        <rFont val="Arial"/>
        <family val="2"/>
      </rPr>
      <t>F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>-1).</t>
    </r>
  </si>
  <si>
    <r>
      <t>p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>)+</t>
    </r>
    <r>
      <rPr>
        <i/>
        <sz val="10"/>
        <rFont val="Arial"/>
        <family val="2"/>
      </rPr>
      <t>e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>)</t>
    </r>
  </si>
  <si>
    <r>
      <t>p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>)-</t>
    </r>
    <r>
      <rPr>
        <i/>
        <sz val="10"/>
        <rFont val="Arial"/>
        <family val="2"/>
      </rPr>
      <t>e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>)</t>
    </r>
  </si>
  <si>
    <t>Wilson</t>
  </si>
  <si>
    <t>z(crit)</t>
  </si>
  <si>
    <r>
      <t>z</t>
    </r>
    <r>
      <rPr>
        <sz val="10"/>
        <rFont val="Symbol"/>
        <family val="1"/>
      </rPr>
      <t>s</t>
    </r>
    <r>
      <rPr>
        <sz val="10"/>
        <rFont val="Arial"/>
        <family val="0"/>
      </rPr>
      <t xml:space="preserve"> scaled by </t>
    </r>
    <r>
      <rPr>
        <i/>
        <sz val="10"/>
        <rFont val="Arial"/>
        <family val="2"/>
      </rPr>
      <t>F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>-1)</t>
    </r>
  </si>
  <si>
    <t>Gaussian</t>
  </si>
  <si>
    <t>approximation</t>
  </si>
  <si>
    <r>
      <t>(</t>
    </r>
    <r>
      <rPr>
        <i/>
        <sz val="10"/>
        <rFont val="Arial"/>
        <family val="2"/>
      </rPr>
      <t>p</t>
    </r>
    <r>
      <rPr>
        <sz val="10"/>
        <rFont val="Arial"/>
        <family val="0"/>
      </rPr>
      <t xml:space="preserve"> + </t>
    </r>
    <r>
      <rPr>
        <i/>
        <sz val="10"/>
        <rFont val="Arial"/>
        <family val="2"/>
      </rPr>
      <t>z</t>
    </r>
    <r>
      <rPr>
        <sz val="10"/>
        <rFont val="Arial"/>
        <family val="0"/>
      </rPr>
      <t>²/2</t>
    </r>
    <r>
      <rPr>
        <i/>
        <sz val="10"/>
        <rFont val="Arial"/>
        <family val="2"/>
      </rPr>
      <t>n</t>
    </r>
    <r>
      <rPr>
        <sz val="10"/>
        <rFont val="Arial"/>
        <family val="0"/>
      </rPr>
      <t>)/(1+</t>
    </r>
    <r>
      <rPr>
        <i/>
        <sz val="10"/>
        <rFont val="Arial"/>
        <family val="2"/>
      </rPr>
      <t>z</t>
    </r>
    <r>
      <rPr>
        <sz val="10"/>
        <rFont val="Arial"/>
        <family val="0"/>
      </rPr>
      <t>²/</t>
    </r>
    <r>
      <rPr>
        <i/>
        <sz val="10"/>
        <rFont val="Arial"/>
        <family val="2"/>
      </rPr>
      <t>n</t>
    </r>
    <r>
      <rPr>
        <sz val="10"/>
        <rFont val="Arial"/>
        <family val="0"/>
      </rPr>
      <t>)</t>
    </r>
  </si>
  <si>
    <r>
      <t>s = Ö</t>
    </r>
    <r>
      <rPr>
        <i/>
        <sz val="10"/>
        <rFont val="Arial"/>
        <family val="2"/>
      </rPr>
      <t>np</t>
    </r>
    <r>
      <rPr>
        <sz val="10"/>
        <rFont val="Arial"/>
        <family val="0"/>
      </rPr>
      <t>(1-</t>
    </r>
    <r>
      <rPr>
        <i/>
        <sz val="10"/>
        <rFont val="Arial"/>
        <family val="2"/>
      </rPr>
      <t>p</t>
    </r>
    <r>
      <rPr>
        <sz val="10"/>
        <rFont val="Arial"/>
        <family val="0"/>
      </rPr>
      <t>)</t>
    </r>
  </si>
  <si>
    <r>
      <t>z</t>
    </r>
    <r>
      <rPr>
        <sz val="10"/>
        <rFont val="Symbol"/>
        <family val="1"/>
      </rPr>
      <t>Ö[</t>
    </r>
    <r>
      <rPr>
        <i/>
        <sz val="10"/>
        <rFont val="Arial"/>
        <family val="2"/>
      </rPr>
      <t>p</t>
    </r>
    <r>
      <rPr>
        <sz val="10"/>
        <rFont val="Arial"/>
        <family val="0"/>
      </rPr>
      <t>(1-</t>
    </r>
    <r>
      <rPr>
        <i/>
        <sz val="10"/>
        <rFont val="Arial"/>
        <family val="2"/>
      </rPr>
      <t>p</t>
    </r>
    <r>
      <rPr>
        <sz val="10"/>
        <rFont val="Arial"/>
        <family val="0"/>
      </rPr>
      <t>)/</t>
    </r>
    <r>
      <rPr>
        <i/>
        <sz val="10"/>
        <rFont val="Arial"/>
        <family val="2"/>
      </rPr>
      <t>n</t>
    </r>
    <r>
      <rPr>
        <sz val="10"/>
        <rFont val="Arial"/>
        <family val="0"/>
      </rPr>
      <t xml:space="preserve"> + </t>
    </r>
    <r>
      <rPr>
        <i/>
        <sz val="10"/>
        <rFont val="Arial"/>
        <family val="2"/>
      </rPr>
      <t>z</t>
    </r>
    <r>
      <rPr>
        <sz val="10"/>
        <rFont val="Arial"/>
        <family val="0"/>
      </rPr>
      <t>²/4</t>
    </r>
    <r>
      <rPr>
        <i/>
        <sz val="10"/>
        <rFont val="Arial"/>
        <family val="2"/>
      </rPr>
      <t>n</t>
    </r>
    <r>
      <rPr>
        <sz val="10"/>
        <rFont val="Arial"/>
        <family val="0"/>
      </rPr>
      <t>²]/(1+</t>
    </r>
    <r>
      <rPr>
        <i/>
        <sz val="10"/>
        <rFont val="Arial"/>
        <family val="2"/>
      </rPr>
      <t>z</t>
    </r>
    <r>
      <rPr>
        <sz val="10"/>
        <rFont val="Arial"/>
        <family val="0"/>
      </rPr>
      <t>²/</t>
    </r>
    <r>
      <rPr>
        <i/>
        <sz val="10"/>
        <rFont val="Arial"/>
        <family val="2"/>
      </rPr>
      <t>n</t>
    </r>
    <r>
      <rPr>
        <sz val="10"/>
        <rFont val="Arial"/>
        <family val="0"/>
      </rPr>
      <t>)</t>
    </r>
  </si>
  <si>
    <t>(for plot)</t>
  </si>
  <si>
    <t>g.o.f.</t>
  </si>
  <si>
    <t>z.s+</t>
  </si>
  <si>
    <t>z.s-</t>
  </si>
  <si>
    <t>population proportion tests (simple)</t>
  </si>
  <si>
    <t>Wilson (1927)</t>
  </si>
  <si>
    <t>References</t>
  </si>
  <si>
    <r>
      <t xml:space="preserve">We need two additional events to see if that probability </t>
    </r>
    <r>
      <rPr>
        <i/>
        <sz val="10"/>
        <rFont val="Arial"/>
        <family val="2"/>
      </rPr>
      <t>changes</t>
    </r>
    <r>
      <rPr>
        <sz val="10"/>
        <rFont val="Arial"/>
        <family val="2"/>
      </rPr>
      <t xml:space="preserve"> between 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 = 1 and 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 = 2.</t>
    </r>
  </si>
  <si>
    <t>WILSON, E.B. 1927. Probable inference, the law of succession, and statistical inference. Journal of the American Statistical Association 22: 209-212.</t>
  </si>
  <si>
    <t>Companion datasheet for</t>
  </si>
  <si>
    <r>
      <t xml:space="preserve">* NPs with 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 = {0, 1, 2, 3, 4, 5...} adjective phrases before the noun,</t>
    </r>
  </si>
  <si>
    <r>
      <t xml:space="preserve">* VPs with 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 adverb phrases before the verb,</t>
    </r>
  </si>
  <si>
    <r>
      <t xml:space="preserve">* NPs containing 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 postmodifying clauses (i.e. modifying the same head),</t>
    </r>
  </si>
  <si>
    <r>
      <t xml:space="preserve">* NP chains of 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 embedded postmodifying clauses (i.e. modifying subsequent heads),</t>
    </r>
  </si>
  <si>
    <r>
      <t xml:space="preserve">* NPs with 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 co-ordinated adjectives before the noun, etc.</t>
    </r>
  </si>
  <si>
    <r>
      <t>adjusted</t>
    </r>
    <r>
      <rPr>
        <b/>
        <i/>
        <sz val="10"/>
        <rFont val="Arial"/>
        <family val="2"/>
      </rPr>
      <t xml:space="preserve"> p'</t>
    </r>
  </si>
  <si>
    <t>all</t>
  </si>
  <si>
    <t>separability tests</t>
  </si>
  <si>
    <t>population proportion tests</t>
  </si>
  <si>
    <t>w-</t>
  </si>
  <si>
    <t>w+</t>
  </si>
  <si>
    <t>p1-p2</t>
  </si>
  <si>
    <t>Difference in probabilities</t>
  </si>
  <si>
    <t>(paired 2x1 separability test, Wilson)</t>
  </si>
  <si>
    <t>common</t>
  </si>
  <si>
    <t>proper</t>
  </si>
  <si>
    <t>Sources</t>
  </si>
  <si>
    <t>Data from ICE-GB R2</t>
  </si>
  <si>
    <t>ICECUP 3.1.1</t>
  </si>
  <si>
    <t>Search options: normal, skip over punctuation and pauses, discourse markers (except connectives)</t>
  </si>
  <si>
    <t>Wallis (2013)</t>
  </si>
  <si>
    <r>
      <t>(</t>
    </r>
    <r>
      <rPr>
        <b/>
        <sz val="10"/>
        <rFont val="Arial"/>
        <family val="2"/>
      </rPr>
      <t>erroneous</t>
    </r>
    <r>
      <rPr>
        <sz val="10"/>
        <rFont val="Arial"/>
        <family val="0"/>
      </rPr>
      <t xml:space="preserve"> but</t>
    </r>
  </si>
  <si>
    <t>common)</t>
  </si>
  <si>
    <t>Principal statistical evaluation is a subset test - each additional term creates a subset of the first set, so we use a goodness of fit test (Wallis 2013).</t>
  </si>
  <si>
    <t>To compare results from different trends we selectively employ either point tests (one point is different from another) or gradient tests (one gradient is different from another). See Wallis (2018).</t>
  </si>
  <si>
    <t>Example phenomena capable of analysis include:</t>
  </si>
  <si>
    <r>
      <t xml:space="preserve">WALLIS, S.A. 2019, Investigating the additive probability of repeated language production decisions, </t>
    </r>
    <r>
      <rPr>
        <i/>
        <sz val="10"/>
        <rFont val="Arial"/>
        <family val="2"/>
      </rPr>
      <t>International Journal of Corpus Linguistics</t>
    </r>
  </si>
  <si>
    <t>See also http://corplingstats.wordpress.com/2012/12/04/linguistic-interaction</t>
  </si>
  <si>
    <t>WALLIS, S.A. 2013, Binomial confidence intervals and contingency tests: Mathematical fundamentals and the evaluation of alternative methods. Journal of Quantitative Linguistics, 20(3), 178-208.</t>
  </si>
  <si>
    <t>WALLIS, S.A. 2018, Comparing χ² tables for separability of distribution and effect: Meta-tests for comparing homogeneity and goodness of fit test outcomes. Journal of Quantitative Linguistics. 10.1080/09296174.2018.1496537</t>
  </si>
  <si>
    <t>Wallis (2018)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</si>
</sst>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#,##0.0000"/>
    <numFmt numFmtId="166" formatCode="#,##0.00000000000000"/>
    <numFmt numFmtId="167" formatCode="0.0000%"/>
    <numFmt numFmtId="168" formatCode="#,##0.000000000"/>
    <numFmt numFmtId="169" formatCode="0.0000_ ;[Red]\-0.0000\ "/>
    <numFmt numFmtId="170" formatCode="#,##0.000000000000000"/>
    <numFmt numFmtId="171" formatCode="#,##0.0000_ ;[Red]\-#,##0.0000\ "/>
    <numFmt numFmtId="172" formatCode="0.00000000"/>
    <numFmt numFmtId="173" formatCode="#,##0_ ;\-#,##0\ "/>
  </numFmts>
  <fonts count="3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name val="Symbol"/>
      <family val="1"/>
    </font>
    <font>
      <b/>
      <sz val="10"/>
      <name val="Symbol"/>
      <family val="1"/>
    </font>
    <font>
      <sz val="10"/>
      <name val="Symbol"/>
      <family val="1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color indexed="8"/>
      <name val="Times New Roman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17" fillId="17" borderId="0" applyNumberFormat="0" applyBorder="0" applyAlignment="0" applyProtection="0"/>
    <xf numFmtId="0" fontId="21" fillId="9" borderId="1" applyNumberFormat="0" applyAlignment="0" applyProtection="0"/>
    <xf numFmtId="0" fontId="23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3" borderId="1" applyNumberFormat="0" applyAlignment="0" applyProtection="0"/>
    <xf numFmtId="0" fontId="22" fillId="0" borderId="6" applyNumberFormat="0" applyFill="0" applyAlignment="0" applyProtection="0"/>
    <xf numFmtId="0" fontId="18" fillId="10" borderId="0" applyNumberFormat="0" applyBorder="0" applyAlignment="0" applyProtection="0"/>
    <xf numFmtId="0" fontId="0" fillId="5" borderId="7" applyNumberFormat="0" applyFont="0" applyAlignment="0" applyProtection="0"/>
    <xf numFmtId="0" fontId="20" fillId="9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165" fontId="5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165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165" fontId="9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0" fontId="1" fillId="10" borderId="0" xfId="0" applyFont="1" applyFill="1" applyAlignment="1">
      <alignment/>
    </xf>
    <xf numFmtId="3" fontId="0" fillId="10" borderId="0" xfId="0" applyNumberFormat="1" applyFill="1" applyAlignment="1">
      <alignment/>
    </xf>
    <xf numFmtId="164" fontId="0" fillId="0" borderId="0" xfId="0" applyNumberFormat="1" applyAlignment="1">
      <alignment/>
    </xf>
    <xf numFmtId="173" fontId="0" fillId="10" borderId="0" xfId="42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common vs. proper noun heads
Probability p (Wilson intervals)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93"/>
          <c:w val="0.94975"/>
          <c:h val="0.8735"/>
        </c:manualLayout>
      </c:layout>
      <c:scatterChart>
        <c:scatterStyle val="lineMarker"/>
        <c:varyColors val="0"/>
        <c:ser>
          <c:idx val="0"/>
          <c:order val="0"/>
          <c:tx>
            <c:v>common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'common vs proper'!$D$18:$H$18</c:f>
                <c:numCache>
                  <c:ptCount val="4"/>
                  <c:pt idx="0">
                    <c:v>0.0020971915440685445</c:v>
                  </c:pt>
                  <c:pt idx="1">
                    <c:v>0.0028548699144067286</c:v>
                  </c:pt>
                  <c:pt idx="2">
                    <c:v>0.008720891502242424</c:v>
                  </c:pt>
                  <c:pt idx="3">
                    <c:v>0.04423632033289583</c:v>
                  </c:pt>
                </c:numCache>
              </c:numRef>
            </c:plus>
            <c:minus>
              <c:numRef>
                <c:f>'common vs proper'!$D$19:$H$19</c:f>
                <c:numCache>
                  <c:ptCount val="4"/>
                  <c:pt idx="0">
                    <c:v>0.0020839211659791418</c:v>
                  </c:pt>
                  <c:pt idx="1">
                    <c:v>0.002765242566644262</c:v>
                  </c:pt>
                  <c:pt idx="2">
                    <c:v>0.007532516265229801</c:v>
                  </c:pt>
                  <c:pt idx="3">
                    <c:v>0.02139900446931138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'common vs proper'!$D$4:$G$4</c:f>
              <c:numCache/>
            </c:numRef>
          </c:xVal>
          <c:yVal>
            <c:numRef>
              <c:f>'common vs proper'!$D$8:$G$8</c:f>
              <c:numCache/>
            </c:numRef>
          </c:yVal>
          <c:smooth val="0"/>
        </c:ser>
        <c:ser>
          <c:idx val="1"/>
          <c:order val="1"/>
          <c:tx>
            <c:v>proper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'common vs proper'!$D$40:$H$40</c:f>
                <c:numCache>
                  <c:ptCount val="4"/>
                  <c:pt idx="0">
                    <c:v>0.0018516178709012357</c:v>
                  </c:pt>
                  <c:pt idx="1">
                    <c:v>0.012076934102829517</c:v>
                  </c:pt>
                  <c:pt idx="2">
                    <c:v>0.13604171694744982</c:v>
                  </c:pt>
                  <c:pt idx="3">
                    <c:v>0.44935751682278924</c:v>
                  </c:pt>
                </c:numCache>
              </c:numRef>
            </c:plus>
            <c:minus>
              <c:numRef>
                <c:f>'common vs proper'!$D$41:$H$41</c:f>
                <c:numCache>
                  <c:ptCount val="4"/>
                  <c:pt idx="0">
                    <c:v>0.0017521237967001127</c:v>
                  </c:pt>
                  <c:pt idx="1">
                    <c:v>0.008944996961342874</c:v>
                  </c:pt>
                  <c:pt idx="2">
                    <c:v>0.0635605096802812</c:v>
                  </c:pt>
                  <c:pt idx="3">
                    <c:v>0.2044126066297156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'common vs proper'!$D$26:$G$26</c:f>
              <c:numCache/>
            </c:numRef>
          </c:xVal>
          <c:yVal>
            <c:numRef>
              <c:f>'common vs proper'!$D$30:$G$30</c:f>
              <c:numCache/>
            </c:numRef>
          </c:yVal>
          <c:smooth val="0"/>
        </c:ser>
        <c:axId val="21594548"/>
        <c:axId val="60133205"/>
      </c:scatterChart>
      <c:valAx>
        <c:axId val="21594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33205"/>
        <c:crosses val="autoZero"/>
        <c:crossBetween val="midCat"/>
        <c:dispUnits/>
        <c:majorUnit val="1"/>
      </c:valAx>
      <c:valAx>
        <c:axId val="60133205"/>
        <c:scaling>
          <c:orientation val="minMax"/>
          <c:max val="0.25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9454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any noun head (for comparison)
Probability p (Wilson intervals)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9725"/>
          <c:w val="0.94975"/>
          <c:h val="0.868"/>
        </c:manualLayout>
      </c:layout>
      <c:scatterChart>
        <c:scatterStyle val="lineMarker"/>
        <c:varyColors val="0"/>
        <c:ser>
          <c:idx val="0"/>
          <c:order val="0"/>
          <c:tx>
            <c:strRef>
              <c:f>'analysis of trend'!$B$6</c:f>
              <c:strCache>
                <c:ptCount val="1"/>
                <c:pt idx="0">
                  <c:v>probability p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'analysis of trend'!$D$16:$H$16</c:f>
                <c:numCache>
                  <c:ptCount val="4"/>
                  <c:pt idx="0">
                    <c:v>0.0017668010683179797</c:v>
                  </c:pt>
                  <c:pt idx="1">
                    <c:v>0.0027794475929954518</c:v>
                  </c:pt>
                  <c:pt idx="2">
                    <c:v>0.008666094799576446</c:v>
                  </c:pt>
                  <c:pt idx="3">
                    <c:v>0.04511526896809422</c:v>
                  </c:pt>
                </c:numCache>
              </c:numRef>
            </c:plus>
            <c:minus>
              <c:numRef>
                <c:f>'analysis of trend'!$D$17:$H$17</c:f>
                <c:numCache>
                  <c:ptCount val="4"/>
                  <c:pt idx="0">
                    <c:v>0.0017545947992765648</c:v>
                  </c:pt>
                  <c:pt idx="1">
                    <c:v>0.002692735369850655</c:v>
                  </c:pt>
                  <c:pt idx="2">
                    <c:v>0.007500176118339488</c:v>
                  </c:pt>
                  <c:pt idx="3">
                    <c:v>0.023115505758976772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'analysis of trend'!$D$2:$G$2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'analysis of trend'!$D$6:$G$6</c:f>
              <c:numCache>
                <c:ptCount val="4"/>
                <c:pt idx="0">
                  <c:v>0.19316604875623952</c:v>
                </c:pt>
                <c:pt idx="1">
                  <c:v>0.07891703524996649</c:v>
                </c:pt>
                <c:pt idx="2">
                  <c:v>0.05264945652173913</c:v>
                </c:pt>
                <c:pt idx="3">
                  <c:v>0.04516129032258064</c:v>
                </c:pt>
              </c:numCache>
            </c:numRef>
          </c:yVal>
          <c:smooth val="0"/>
        </c:ser>
        <c:axId val="4327934"/>
        <c:axId val="38951407"/>
      </c:scatterChart>
      <c:valAx>
        <c:axId val="4327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51407"/>
        <c:crosses val="autoZero"/>
        <c:crossBetween val="midCat"/>
        <c:dispUnits/>
        <c:majorUnit val="1"/>
      </c:valAx>
      <c:valAx>
        <c:axId val="389514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7934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Frequency F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9775"/>
          <c:w val="0.9495"/>
          <c:h val="0.867"/>
        </c:manualLayout>
      </c:layout>
      <c:scatterChart>
        <c:scatterStyle val="lineMarker"/>
        <c:varyColors val="0"/>
        <c:ser>
          <c:idx val="0"/>
          <c:order val="0"/>
          <c:tx>
            <c:strRef>
              <c:f>'analysis of trend'!$B$4</c:f>
              <c:strCache>
                <c:ptCount val="1"/>
                <c:pt idx="0">
                  <c:v>at least x 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'analysis of trend'!$C$2:$G$2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xVal>
          <c:yVal>
            <c:numRef>
              <c:f>'analysis of trend'!$C$4:$G$4</c:f>
              <c:numCache>
                <c:ptCount val="5"/>
                <c:pt idx="0">
                  <c:v>193124</c:v>
                </c:pt>
                <c:pt idx="1">
                  <c:v>37305</c:v>
                </c:pt>
                <c:pt idx="2">
                  <c:v>2944</c:v>
                </c:pt>
                <c:pt idx="3">
                  <c:v>155</c:v>
                </c:pt>
                <c:pt idx="4">
                  <c:v>7</c:v>
                </c:pt>
              </c:numCache>
            </c:numRef>
          </c:yVal>
          <c:smooth val="0"/>
        </c:ser>
        <c:axId val="15018344"/>
        <c:axId val="947369"/>
      </c:scatterChart>
      <c:valAx>
        <c:axId val="15018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7369"/>
        <c:crosses val="autoZero"/>
        <c:crossBetween val="midCat"/>
        <c:dispUnits/>
        <c:majorUnit val="1"/>
      </c:valAx>
      <c:valAx>
        <c:axId val="947369"/>
        <c:scaling>
          <c:orientation val="minMax"/>
          <c:max val="200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18344"/>
        <c:crosses val="autoZero"/>
        <c:crossBetween val="midCat"/>
        <c:dispUnits/>
        <c:majorUnit val="50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342900</xdr:colOff>
      <xdr:row>35</xdr:row>
      <xdr:rowOff>47625</xdr:rowOff>
    </xdr:from>
    <xdr:to>
      <xdr:col>17</xdr:col>
      <xdr:colOff>238125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9039225" y="6076950"/>
        <a:ext cx="383857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342900</xdr:colOff>
      <xdr:row>17</xdr:row>
      <xdr:rowOff>85725</xdr:rowOff>
    </xdr:from>
    <xdr:to>
      <xdr:col>17</xdr:col>
      <xdr:colOff>238125</xdr:colOff>
      <xdr:row>34</xdr:row>
      <xdr:rowOff>0</xdr:rowOff>
    </xdr:to>
    <xdr:graphicFrame>
      <xdr:nvGraphicFramePr>
        <xdr:cNvPr id="2" name="Chart 18"/>
        <xdr:cNvGraphicFramePr/>
      </xdr:nvGraphicFramePr>
      <xdr:xfrm>
        <a:off x="9039225" y="3038475"/>
        <a:ext cx="3838575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361950</xdr:colOff>
      <xdr:row>0</xdr:row>
      <xdr:rowOff>57150</xdr:rowOff>
    </xdr:from>
    <xdr:to>
      <xdr:col>17</xdr:col>
      <xdr:colOff>247650</xdr:colOff>
      <xdr:row>16</xdr:row>
      <xdr:rowOff>47625</xdr:rowOff>
    </xdr:to>
    <xdr:graphicFrame>
      <xdr:nvGraphicFramePr>
        <xdr:cNvPr id="3" name="Chart 19"/>
        <xdr:cNvGraphicFramePr/>
      </xdr:nvGraphicFramePr>
      <xdr:xfrm>
        <a:off x="9058275" y="57150"/>
        <a:ext cx="3829050" cy="2781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13.8515625" style="0" customWidth="1"/>
    <col min="2" max="2" width="20.8515625" style="8" bestFit="1" customWidth="1"/>
    <col min="3" max="3" width="11.57421875" style="0" bestFit="1" customWidth="1"/>
    <col min="4" max="4" width="12.421875" style="0" bestFit="1" customWidth="1"/>
    <col min="5" max="8" width="10.7109375" style="0" customWidth="1"/>
    <col min="9" max="9" width="9.57421875" style="0" customWidth="1"/>
    <col min="10" max="10" width="10.140625" style="0" bestFit="1" customWidth="1"/>
    <col min="16" max="16" width="12.421875" style="0" bestFit="1" customWidth="1"/>
    <col min="17" max="17" width="10.140625" style="0" bestFit="1" customWidth="1"/>
  </cols>
  <sheetData>
    <row r="1" spans="2:8" ht="15.75">
      <c r="B1" s="21" t="s">
        <v>7</v>
      </c>
      <c r="H1" s="10" t="s">
        <v>30</v>
      </c>
    </row>
    <row r="2" spans="1:8" ht="15">
      <c r="A2" s="22" t="s">
        <v>16</v>
      </c>
      <c r="B2" s="9" t="s">
        <v>8</v>
      </c>
      <c r="C2" s="9">
        <v>0</v>
      </c>
      <c r="D2" s="9">
        <f>C2+1</f>
        <v>1</v>
      </c>
      <c r="E2" s="9">
        <f>D2+1</f>
        <v>2</v>
      </c>
      <c r="F2" s="9">
        <f>E2+1</f>
        <v>3</v>
      </c>
      <c r="G2" s="9">
        <f>F2+1</f>
        <v>4</v>
      </c>
      <c r="H2" s="9">
        <f>G2+1</f>
        <v>5</v>
      </c>
    </row>
    <row r="3" spans="2:8" ht="12.75">
      <c r="B3" s="18" t="s">
        <v>2</v>
      </c>
      <c r="C3" s="19">
        <f>C4-D4</f>
        <v>155819</v>
      </c>
      <c r="D3" s="19">
        <f>D4-E4</f>
        <v>34361</v>
      </c>
      <c r="E3" s="19">
        <f>E4-F4</f>
        <v>2789</v>
      </c>
      <c r="F3" s="19">
        <f>F4-G4</f>
        <v>148</v>
      </c>
      <c r="G3" s="19">
        <f>G4-H4</f>
        <v>7</v>
      </c>
      <c r="H3" s="19">
        <f>'common vs proper'!H1</f>
        <v>0</v>
      </c>
    </row>
    <row r="4" spans="2:21" ht="12.75">
      <c r="B4" s="18" t="s">
        <v>10</v>
      </c>
      <c r="C4" s="35">
        <v>193124</v>
      </c>
      <c r="D4" s="35">
        <v>37305</v>
      </c>
      <c r="E4" s="35">
        <v>2944</v>
      </c>
      <c r="F4" s="35">
        <v>155</v>
      </c>
      <c r="G4" s="35">
        <v>7</v>
      </c>
      <c r="H4" s="35">
        <v>0</v>
      </c>
      <c r="I4" s="20"/>
      <c r="J4" s="10" t="s">
        <v>29</v>
      </c>
      <c r="N4" s="1"/>
      <c r="Q4" s="1"/>
      <c r="R4" s="1"/>
      <c r="S4" s="1"/>
      <c r="T4" s="1"/>
      <c r="U4" s="1"/>
    </row>
    <row r="5" spans="1:21" ht="12.75">
      <c r="A5" s="17"/>
      <c r="B5" s="18"/>
      <c r="C5" s="19"/>
      <c r="D5" s="19"/>
      <c r="E5" s="19"/>
      <c r="F5" s="17"/>
      <c r="G5" s="17"/>
      <c r="H5" s="17"/>
      <c r="J5" s="1"/>
      <c r="K5" s="1"/>
      <c r="L5" s="1"/>
      <c r="M5" s="1"/>
      <c r="N5" s="1"/>
      <c r="Q5" s="1"/>
      <c r="R5" s="1"/>
      <c r="S5" s="1"/>
      <c r="T5" s="1"/>
      <c r="U5" s="1"/>
    </row>
    <row r="6" spans="2:12" ht="12.75">
      <c r="B6" s="8" t="s">
        <v>11</v>
      </c>
      <c r="C6" s="8"/>
      <c r="D6" s="25">
        <f>D4/C4</f>
        <v>0.19316604875623952</v>
      </c>
      <c r="E6" s="25">
        <f>E4/D4</f>
        <v>0.07891703524996649</v>
      </c>
      <c r="F6" s="25">
        <f>F4/E4</f>
        <v>0.05264945652173913</v>
      </c>
      <c r="G6" s="25">
        <f>G4/F4</f>
        <v>0.04516129032258064</v>
      </c>
      <c r="H6" s="25">
        <f>H4/G4</f>
        <v>0</v>
      </c>
      <c r="J6" s="14" t="s">
        <v>28</v>
      </c>
      <c r="K6" s="1"/>
      <c r="L6" s="1"/>
    </row>
    <row r="7" spans="4:12" ht="12.75">
      <c r="D7" s="2"/>
      <c r="E7" s="2"/>
      <c r="F7" s="2"/>
      <c r="G7" s="2"/>
      <c r="H7" s="2"/>
      <c r="J7" s="1"/>
      <c r="K7" s="1"/>
      <c r="L7" s="1"/>
    </row>
    <row r="8" spans="1:21" s="29" customFormat="1" ht="18">
      <c r="A8" s="29" t="s">
        <v>50</v>
      </c>
      <c r="L8" s="30"/>
      <c r="M8" s="30"/>
      <c r="U8" s="30"/>
    </row>
    <row r="9" spans="12:21" ht="12.75">
      <c r="L9" s="1"/>
      <c r="M9" s="2"/>
      <c r="U9" s="1"/>
    </row>
    <row r="10" spans="1:21" ht="15">
      <c r="A10" s="22" t="s">
        <v>38</v>
      </c>
      <c r="B10" s="8" t="s">
        <v>61</v>
      </c>
      <c r="D10" s="25">
        <f>(D6+$C$19*$C$19/(2*C4))/(1+$C$19*$C$19/C4)</f>
        <v>0.19317215189076023</v>
      </c>
      <c r="E10" s="25">
        <f>(E6+$C$19*$C$19/(2*D4))/(1+$C$19*$C$19/D4)</f>
        <v>0.07896039136153889</v>
      </c>
      <c r="F10" s="25">
        <f>(F6+$C$19*$C$19/(2*E4))/(1+$C$19*$C$19/E4)</f>
        <v>0.05323241586235761</v>
      </c>
      <c r="G10" s="25">
        <f>(G6+$C$19*$C$19/(2*F4))/(1+$C$19*$C$19/F4)</f>
        <v>0.05616117192713937</v>
      </c>
      <c r="H10" s="25">
        <f>(H6+$C$19*$C$19/(2*G4))/(1+$C$19*$C$19/G4)</f>
        <v>0.177164752430427</v>
      </c>
      <c r="J10" t="s">
        <v>43</v>
      </c>
      <c r="U10" s="2"/>
    </row>
    <row r="11" spans="1:21" ht="12.75">
      <c r="A11" t="s">
        <v>15</v>
      </c>
      <c r="B11" s="8" t="s">
        <v>9</v>
      </c>
      <c r="C11" s="2"/>
      <c r="D11" s="2">
        <f>($C$19*SQRT((D6*(1-D6)/C4+$C$19*$C$19/(4*C4*C4))))/(1+$C$19*$C$19/C4)</f>
        <v>0.0017606979337972722</v>
      </c>
      <c r="E11" s="2">
        <f>($C$19*SQRT((E6*(1-E6)/D4+$C$19*$C$19/(4*D4*D4))))/(1+$C$19*$C$19/D4)</f>
        <v>0.0027360914814230533</v>
      </c>
      <c r="F11" s="2">
        <f>($C$19*SQRT((F6*(1-F6)/E4+$C$19*$C$19/(4*E4*E4))))/(1+$C$19*$C$19/E4)</f>
        <v>0.008083135458957967</v>
      </c>
      <c r="G11" s="2">
        <f>($C$19*SQRT((G6*(1-G6)/F4+$C$19*$C$19/(4*F4*F4))))/(1+$C$19*$C$19/F4)</f>
        <v>0.0341153873635355</v>
      </c>
      <c r="H11" s="2">
        <f>($C$19*SQRT((H6*(1-H6)/G4+$C$19*$C$19/(4*G4*G4))))/(1+$C$19*$C$19/G4)</f>
        <v>0.177164752430427</v>
      </c>
      <c r="J11" s="16" t="s">
        <v>45</v>
      </c>
      <c r="L11" s="2"/>
      <c r="M11" s="2"/>
      <c r="U11" s="2"/>
    </row>
    <row r="12" spans="1:21" ht="12.75">
      <c r="A12" t="s">
        <v>42</v>
      </c>
      <c r="B12" s="8" t="s">
        <v>3</v>
      </c>
      <c r="D12" s="2">
        <f>D10+D11</f>
        <v>0.1949328498245575</v>
      </c>
      <c r="E12" s="2">
        <f>E10+E11</f>
        <v>0.08169648284296194</v>
      </c>
      <c r="F12" s="2">
        <f>F10+F11</f>
        <v>0.061315551321315574</v>
      </c>
      <c r="G12" s="2">
        <f>G10+G11</f>
        <v>0.09027655929067487</v>
      </c>
      <c r="H12" s="2">
        <f>H10+H11</f>
        <v>0.354329504860854</v>
      </c>
      <c r="U12" s="2"/>
    </row>
    <row r="13" spans="2:21" ht="12.75">
      <c r="B13" s="8" t="s">
        <v>1</v>
      </c>
      <c r="C13" s="2"/>
      <c r="D13" s="2">
        <f>D10-D11</f>
        <v>0.19141145395696296</v>
      </c>
      <c r="E13" s="2">
        <f>E10-E11</f>
        <v>0.07622429988011584</v>
      </c>
      <c r="F13" s="2">
        <f>F10-F11</f>
        <v>0.04514928040339964</v>
      </c>
      <c r="G13" s="2">
        <f>G10-G11</f>
        <v>0.02204578456360387</v>
      </c>
      <c r="H13" s="2">
        <f>H10-H11</f>
        <v>0</v>
      </c>
      <c r="J13" s="2"/>
      <c r="K13" s="2"/>
      <c r="U13" s="2"/>
    </row>
    <row r="14" spans="2:21" ht="12.75">
      <c r="B14" s="23" t="s">
        <v>6</v>
      </c>
      <c r="C14" s="23"/>
      <c r="D14" s="23"/>
      <c r="E14" s="23" t="str">
        <f>IF((D6&lt;E13),"s+",IF((D6&gt;E12),"s-","ns"))</f>
        <v>s-</v>
      </c>
      <c r="F14" s="23" t="str">
        <f>IF((E6&lt;F13),"s+",IF((E6&gt;F12),"s-","ns"))</f>
        <v>s-</v>
      </c>
      <c r="G14" s="23" t="str">
        <f>IF((F6&lt;G13),"s+",IF((F6&gt;G12),"s-","ns"))</f>
        <v>ns</v>
      </c>
      <c r="H14" s="23" t="str">
        <f>IF((G6&lt;H13),"s+",IF((G6&gt;H12),"s-","ns"))</f>
        <v>ns</v>
      </c>
      <c r="J14" t="s">
        <v>51</v>
      </c>
      <c r="U14" s="2"/>
    </row>
    <row r="15" spans="2:21" ht="12.75">
      <c r="B15" s="13"/>
      <c r="C15" s="13"/>
      <c r="D15" s="13"/>
      <c r="E15" s="13"/>
      <c r="F15" s="13"/>
      <c r="G15" s="13"/>
      <c r="H15" s="13"/>
      <c r="J15" t="s">
        <v>76</v>
      </c>
      <c r="N15" s="2"/>
      <c r="U15" s="2"/>
    </row>
    <row r="16" spans="1:21" ht="12.75">
      <c r="A16" t="s">
        <v>46</v>
      </c>
      <c r="B16" s="13" t="s">
        <v>48</v>
      </c>
      <c r="C16" s="27"/>
      <c r="D16" s="28">
        <f>D11+(D10-D6)</f>
        <v>0.0017668010683179797</v>
      </c>
      <c r="E16" s="28">
        <f>E11+(E10-E6)</f>
        <v>0.0027794475929954518</v>
      </c>
      <c r="F16" s="28">
        <f>F11+(F10-F6)</f>
        <v>0.008666094799576446</v>
      </c>
      <c r="G16" s="28">
        <f>G11+(G10-G6)</f>
        <v>0.04511526896809422</v>
      </c>
      <c r="H16" s="28">
        <f>H11+(H10-H6)</f>
        <v>0.354329504860854</v>
      </c>
      <c r="N16" s="2"/>
      <c r="U16" s="2"/>
    </row>
    <row r="17" spans="2:21" ht="12.75">
      <c r="B17" s="13" t="s">
        <v>49</v>
      </c>
      <c r="C17" s="27"/>
      <c r="D17" s="28">
        <f>D11-(D10-D6)</f>
        <v>0.0017545947992765648</v>
      </c>
      <c r="E17" s="28">
        <f>E11-(E10-E6)</f>
        <v>0.002692735369850655</v>
      </c>
      <c r="F17" s="28">
        <f>F11-(F10-F6)</f>
        <v>0.007500176118339488</v>
      </c>
      <c r="G17" s="28">
        <f>G11-(G10-G6)</f>
        <v>0.023115505758976772</v>
      </c>
      <c r="H17" s="28">
        <f>H11-(H10-H6)</f>
        <v>0</v>
      </c>
      <c r="L17" s="2"/>
      <c r="U17" s="2"/>
    </row>
    <row r="18" spans="12:21" ht="12.75">
      <c r="L18" s="2"/>
      <c r="U18" s="1"/>
    </row>
    <row r="19" spans="1:11" ht="12.75">
      <c r="A19" s="8">
        <v>0.05</v>
      </c>
      <c r="B19" s="8" t="s">
        <v>39</v>
      </c>
      <c r="C19" s="8">
        <v>1.95996</v>
      </c>
      <c r="D19" s="3"/>
      <c r="E19" s="3"/>
      <c r="F19" s="3"/>
      <c r="G19" s="3"/>
      <c r="H19" s="3"/>
      <c r="J19" s="15"/>
      <c r="K19" s="2"/>
    </row>
    <row r="20" spans="3:11" ht="12.75">
      <c r="C20" s="2"/>
      <c r="D20" s="1"/>
      <c r="E20" s="1"/>
      <c r="F20" s="1"/>
      <c r="G20" s="1"/>
      <c r="H20" s="1"/>
      <c r="J20" s="2"/>
      <c r="K20" s="2"/>
    </row>
    <row r="21" spans="1:11" ht="15">
      <c r="A21" s="22" t="s">
        <v>24</v>
      </c>
      <c r="B21" s="11" t="s">
        <v>4</v>
      </c>
      <c r="J21" s="2"/>
      <c r="K21" s="2"/>
    </row>
    <row r="22" spans="1:11" ht="12.75">
      <c r="A22" t="s">
        <v>47</v>
      </c>
      <c r="B22" s="8" t="s">
        <v>17</v>
      </c>
      <c r="E22" s="4">
        <f>E4</f>
        <v>2944</v>
      </c>
      <c r="F22" s="4">
        <f>F4</f>
        <v>155</v>
      </c>
      <c r="G22" s="4">
        <f>G4</f>
        <v>7</v>
      </c>
      <c r="H22" s="4">
        <f>H4</f>
        <v>0</v>
      </c>
      <c r="J22" s="2" t="s">
        <v>31</v>
      </c>
      <c r="K22" s="2"/>
    </row>
    <row r="23" spans="2:21" ht="12.75">
      <c r="B23" s="8" t="s">
        <v>18</v>
      </c>
      <c r="E23" s="4">
        <f>D4-E22</f>
        <v>34361</v>
      </c>
      <c r="F23" s="4">
        <f>E4-F22</f>
        <v>2789</v>
      </c>
      <c r="G23" s="4">
        <f>F4-G22</f>
        <v>148</v>
      </c>
      <c r="H23" s="4">
        <f>G4-H22</f>
        <v>7</v>
      </c>
      <c r="J23" s="2" t="s">
        <v>32</v>
      </c>
      <c r="N23" s="2"/>
      <c r="U23" s="2"/>
    </row>
    <row r="24" spans="2:21" ht="12.75">
      <c r="B24" s="11" t="s">
        <v>0</v>
      </c>
      <c r="E24" s="4"/>
      <c r="F24" s="4"/>
      <c r="G24" s="4"/>
      <c r="H24" s="4"/>
      <c r="U24" s="1"/>
    </row>
    <row r="25" spans="2:21" ht="12.75">
      <c r="B25" s="8" t="s">
        <v>20</v>
      </c>
      <c r="E25" s="4">
        <f>D4*D4/C4</f>
        <v>7206.059448851515</v>
      </c>
      <c r="F25" s="4">
        <f>E4*E4/D4</f>
        <v>232.33175177590135</v>
      </c>
      <c r="G25" s="4">
        <f>F4*F4/E4</f>
        <v>8.160665760869565</v>
      </c>
      <c r="H25" s="4">
        <f>G4*G4/F4</f>
        <v>0.3161290322580645</v>
      </c>
      <c r="J25" t="s">
        <v>25</v>
      </c>
      <c r="U25" s="2"/>
    </row>
    <row r="26" spans="2:21" ht="12.75">
      <c r="B26" s="8" t="s">
        <v>19</v>
      </c>
      <c r="E26" s="4">
        <f>D4-E25</f>
        <v>30098.940551148484</v>
      </c>
      <c r="F26" s="4">
        <f>E4-F25</f>
        <v>2711.6682482240985</v>
      </c>
      <c r="G26" s="4">
        <f>F4-G25</f>
        <v>146.83933423913044</v>
      </c>
      <c r="H26" s="4">
        <f>G4-H25</f>
        <v>6.683870967741935</v>
      </c>
      <c r="J26" t="s">
        <v>26</v>
      </c>
      <c r="U26" s="2"/>
    </row>
    <row r="27" spans="5:8" ht="12.75">
      <c r="E27" s="4"/>
      <c r="F27" s="4"/>
      <c r="G27" s="4"/>
      <c r="H27" s="4"/>
    </row>
    <row r="28" spans="2:12" ht="12.75">
      <c r="B28" s="12" t="s">
        <v>22</v>
      </c>
      <c r="C28" s="5"/>
      <c r="D28" s="5"/>
      <c r="E28" s="6">
        <f aca="true" t="shared" si="0" ref="E28:H29">(E22-E25)^2/E25</f>
        <v>2520.816109620023</v>
      </c>
      <c r="F28" s="6">
        <f t="shared" si="0"/>
        <v>25.73991624914834</v>
      </c>
      <c r="G28" s="6">
        <f t="shared" si="0"/>
        <v>0.16507783162919043</v>
      </c>
      <c r="H28" s="6">
        <f t="shared" si="0"/>
        <v>0.3161290322580645</v>
      </c>
      <c r="L28" s="2"/>
    </row>
    <row r="29" spans="2:13" ht="12.75">
      <c r="B29" s="12" t="s">
        <v>23</v>
      </c>
      <c r="C29" s="5"/>
      <c r="D29" s="5"/>
      <c r="E29" s="6">
        <f t="shared" si="0"/>
        <v>603.5146225388111</v>
      </c>
      <c r="F29" s="6">
        <f t="shared" si="0"/>
        <v>2.2053582095251283</v>
      </c>
      <c r="G29" s="6">
        <f t="shared" si="0"/>
        <v>0.009174278918079754</v>
      </c>
      <c r="H29" s="6">
        <f t="shared" si="0"/>
        <v>0.01495204882301659</v>
      </c>
      <c r="L29" s="2"/>
      <c r="M29" s="2"/>
    </row>
    <row r="30" spans="2:13" ht="12.75">
      <c r="B30" s="13" t="s">
        <v>21</v>
      </c>
      <c r="C30" s="5"/>
      <c r="D30" s="5"/>
      <c r="E30" s="6">
        <f>E28+E29</f>
        <v>3124.330732158834</v>
      </c>
      <c r="F30" s="6">
        <f>F28+F29</f>
        <v>27.945274458673467</v>
      </c>
      <c r="G30" s="6">
        <f>G28+G29</f>
        <v>0.1742521105472702</v>
      </c>
      <c r="H30" s="6">
        <f>H28+H29</f>
        <v>0.3310810810810811</v>
      </c>
      <c r="J30" s="2"/>
      <c r="K30" s="2"/>
      <c r="M30" s="2"/>
    </row>
    <row r="31" spans="2:11" ht="12.75">
      <c r="B31" s="13" t="s">
        <v>5</v>
      </c>
      <c r="C31" s="5"/>
      <c r="D31" s="5"/>
      <c r="E31" s="7">
        <f>CHIDIST(E30,1)</f>
        <v>0</v>
      </c>
      <c r="F31" s="7">
        <f>CHIDIST(F30,1)</f>
        <v>1.2479535306917041E-07</v>
      </c>
      <c r="G31" s="7">
        <f>CHIDIST(G30,1)</f>
        <v>0.6763601438865974</v>
      </c>
      <c r="H31" s="7">
        <f>CHIDIST(H30,1)</f>
        <v>0.5650232008417054</v>
      </c>
      <c r="J31" s="2"/>
      <c r="K31" s="2"/>
    </row>
    <row r="32" spans="2:8" ht="12.75">
      <c r="B32" s="23" t="s">
        <v>6</v>
      </c>
      <c r="C32" s="24"/>
      <c r="D32" s="24"/>
      <c r="E32" s="23" t="str">
        <f>IF((E31&lt;0.05),"s","ns")</f>
        <v>s</v>
      </c>
      <c r="F32" s="23" t="str">
        <f>IF((F31&lt;0.05),"s","ns")</f>
        <v>s</v>
      </c>
      <c r="G32" s="23" t="str">
        <f>IF((G31&lt;0.05),"s","ns")</f>
        <v>ns</v>
      </c>
      <c r="H32" s="23" t="str">
        <f>IF((H31&lt;0.05),"s","ns")</f>
        <v>ns</v>
      </c>
    </row>
    <row r="34" spans="1:10" ht="15">
      <c r="A34" s="22" t="s">
        <v>41</v>
      </c>
      <c r="B34" s="8" t="s">
        <v>14</v>
      </c>
      <c r="C34" s="2"/>
      <c r="D34" s="1">
        <f>D4</f>
        <v>37305</v>
      </c>
      <c r="E34" s="1">
        <f>E4</f>
        <v>2944</v>
      </c>
      <c r="F34" s="1">
        <f>F4</f>
        <v>155</v>
      </c>
      <c r="G34" s="1">
        <f>G4</f>
        <v>7</v>
      </c>
      <c r="H34" s="1">
        <f>H4</f>
        <v>0</v>
      </c>
      <c r="J34" s="14" t="s">
        <v>27</v>
      </c>
    </row>
    <row r="35" spans="1:10" ht="12.75">
      <c r="A35" t="s">
        <v>15</v>
      </c>
      <c r="B35" s="8" t="s">
        <v>13</v>
      </c>
      <c r="C35" s="2"/>
      <c r="D35" s="2">
        <f>SQRT(D34*(1-D6))</f>
        <v>173.49046242127687</v>
      </c>
      <c r="E35" s="2">
        <f>SQRT(E34*(1-E6))</f>
        <v>52.07368095520134</v>
      </c>
      <c r="F35" s="2">
        <f>SQRT(F34*(1-F6))</f>
        <v>12.117728097260247</v>
      </c>
      <c r="G35" s="2">
        <f>SQRT(G34*(1-G6))</f>
        <v>2.5853183493995346</v>
      </c>
      <c r="H35" s="2">
        <f>SQRT(H34*(1-H6))</f>
        <v>0</v>
      </c>
      <c r="J35" s="15" t="s">
        <v>44</v>
      </c>
    </row>
    <row r="36" spans="1:11" ht="12.75">
      <c r="A36" t="s">
        <v>42</v>
      </c>
      <c r="B36" s="8" t="s">
        <v>9</v>
      </c>
      <c r="C36" s="2"/>
      <c r="D36" s="2">
        <f>(D35*$C$19)/C4</f>
        <v>0.001760704866962189</v>
      </c>
      <c r="E36" s="2">
        <f>(E35*$C$19)/D4</f>
        <v>0.00273588880109788</v>
      </c>
      <c r="F36" s="2">
        <f>(F35*$C$19)/E4</f>
        <v>0.00806734455214205</v>
      </c>
      <c r="G36" s="2">
        <f>(G35*$C$19)/F4</f>
        <v>0.032691100336058786</v>
      </c>
      <c r="H36" s="2">
        <f>(H35*$C$19)/G4</f>
        <v>0</v>
      </c>
      <c r="J36" s="16" t="s">
        <v>40</v>
      </c>
      <c r="K36" s="2"/>
    </row>
    <row r="37" spans="1:11" ht="12.75">
      <c r="A37" t="s">
        <v>77</v>
      </c>
      <c r="B37" s="8" t="s">
        <v>3</v>
      </c>
      <c r="D37" s="2">
        <f>D6+D36</f>
        <v>0.19492675362320172</v>
      </c>
      <c r="E37" s="2">
        <f>E6+E36</f>
        <v>0.08165292405106436</v>
      </c>
      <c r="F37" s="2">
        <f>F6+F36</f>
        <v>0.06071680107388118</v>
      </c>
      <c r="G37" s="2">
        <f>G6+G36</f>
        <v>0.07785239065863943</v>
      </c>
      <c r="H37" s="2">
        <f>H6+H36</f>
        <v>0</v>
      </c>
      <c r="J37" s="16" t="s">
        <v>36</v>
      </c>
      <c r="K37" s="1"/>
    </row>
    <row r="38" spans="1:11" ht="12.75">
      <c r="A38" t="s">
        <v>78</v>
      </c>
      <c r="B38" s="8" t="s">
        <v>1</v>
      </c>
      <c r="C38" s="2"/>
      <c r="D38" s="2">
        <f>D6-D36</f>
        <v>0.19140534388927732</v>
      </c>
      <c r="E38" s="2">
        <f>E6-E36</f>
        <v>0.07618114644886861</v>
      </c>
      <c r="F38" s="2">
        <f>F6-F36</f>
        <v>0.04458211196959708</v>
      </c>
      <c r="G38" s="2">
        <f>G6-G36</f>
        <v>0.012470189986521857</v>
      </c>
      <c r="H38" s="2">
        <f>H6-H36</f>
        <v>0</v>
      </c>
      <c r="J38" s="16" t="s">
        <v>37</v>
      </c>
      <c r="K38" s="2"/>
    </row>
    <row r="39" spans="2:11" ht="12.75">
      <c r="B39" s="23" t="s">
        <v>6</v>
      </c>
      <c r="C39" s="23"/>
      <c r="D39" s="23"/>
      <c r="E39" s="23" t="str">
        <f>IF((E6&gt;0),IF((D6&lt;E38),"s+",IF((D6&gt;E37),"s-","ns")),"ns")</f>
        <v>s-</v>
      </c>
      <c r="F39" s="23" t="str">
        <f>IF((F6&gt;0),IF((E6&lt;F38),"s+",IF((E6&gt;F37),"s-","ns")),"ns")</f>
        <v>s-</v>
      </c>
      <c r="G39" s="23" t="str">
        <f>IF((G6&gt;0),IF((F6&lt;G38),"s+",IF((F6&gt;G37),"s-","ns")),"ns")</f>
        <v>ns</v>
      </c>
      <c r="H39" s="23" t="str">
        <f>IF((H19&gt;0),IF((G6&lt;H38),"s+",IF((G6&gt;H37),"s-","ns")),"ns")</f>
        <v>ns</v>
      </c>
      <c r="J39" s="2" t="s">
        <v>12</v>
      </c>
      <c r="K39" s="2"/>
    </row>
    <row r="40" spans="2:12" ht="12.75">
      <c r="B40" s="11"/>
      <c r="C40" s="26"/>
      <c r="D40" s="26"/>
      <c r="E40" s="11"/>
      <c r="F40" s="11"/>
      <c r="G40" s="11"/>
      <c r="H40" s="11"/>
      <c r="I40" s="1"/>
      <c r="J40" s="2"/>
      <c r="K40" s="2"/>
      <c r="L40" s="2"/>
    </row>
    <row r="41" spans="2:9" ht="15.75">
      <c r="B41" s="21" t="s">
        <v>33</v>
      </c>
      <c r="C41" s="11"/>
      <c r="D41" s="11"/>
      <c r="E41" s="11"/>
      <c r="F41" s="11"/>
      <c r="G41" s="11"/>
      <c r="H41" s="11"/>
      <c r="I41" s="1"/>
    </row>
    <row r="42" spans="2:9" ht="12.75">
      <c r="B42" t="s">
        <v>34</v>
      </c>
      <c r="C42" s="1"/>
      <c r="D42" s="1"/>
      <c r="E42" s="1"/>
      <c r="F42" s="1"/>
      <c r="I42" s="1"/>
    </row>
    <row r="43" spans="1:9" ht="12.75">
      <c r="A43" s="11"/>
      <c r="B43" t="s">
        <v>79</v>
      </c>
      <c r="C43" s="1"/>
      <c r="D43" s="1"/>
      <c r="E43" s="1"/>
      <c r="F43" s="1"/>
      <c r="I43" s="2"/>
    </row>
    <row r="44" spans="1:9" ht="12.75">
      <c r="A44" s="11"/>
      <c r="B44" t="s">
        <v>80</v>
      </c>
      <c r="D44" s="2"/>
      <c r="E44" s="2"/>
      <c r="F44" s="2"/>
      <c r="I44" s="11"/>
    </row>
    <row r="45" spans="2:6" ht="12.75">
      <c r="B45"/>
      <c r="C45" s="2"/>
      <c r="D45" s="1"/>
      <c r="E45" s="1"/>
      <c r="F45" s="1"/>
    </row>
    <row r="46" spans="2:6" ht="12.75">
      <c r="B46" s="11" t="s">
        <v>81</v>
      </c>
      <c r="C46" s="2"/>
      <c r="D46" s="2"/>
      <c r="E46" s="2"/>
      <c r="F46" s="2"/>
    </row>
    <row r="47" spans="2:6" ht="12.75">
      <c r="B47" s="11" t="s">
        <v>56</v>
      </c>
      <c r="C47" s="2"/>
      <c r="D47" s="2"/>
      <c r="E47" s="2"/>
      <c r="F47" s="2"/>
    </row>
    <row r="48" spans="2:6" ht="12.75">
      <c r="B48" s="11" t="s">
        <v>57</v>
      </c>
      <c r="E48" s="2"/>
      <c r="F48" s="2"/>
    </row>
    <row r="49" spans="2:6" ht="12.75">
      <c r="B49" s="11" t="s">
        <v>58</v>
      </c>
      <c r="C49" s="2"/>
      <c r="D49" s="2"/>
      <c r="E49" s="2"/>
      <c r="F49" s="2"/>
    </row>
    <row r="50" ht="12.75">
      <c r="B50" s="11" t="s">
        <v>59</v>
      </c>
    </row>
    <row r="51" ht="12.75">
      <c r="B51" s="11" t="s">
        <v>60</v>
      </c>
    </row>
    <row r="52" ht="12.75">
      <c r="B52" s="11"/>
    </row>
    <row r="53" ht="12.75">
      <c r="B53" s="11" t="s">
        <v>35</v>
      </c>
    </row>
    <row r="54" ht="12.75">
      <c r="B54" s="11" t="s">
        <v>53</v>
      </c>
    </row>
    <row r="55" ht="12.75">
      <c r="B55" s="11"/>
    </row>
    <row r="56" ht="12.75">
      <c r="B56" s="8" t="s">
        <v>55</v>
      </c>
    </row>
    <row r="57" ht="12.75">
      <c r="B57" s="11" t="s">
        <v>82</v>
      </c>
    </row>
    <row r="58" ht="12.75">
      <c r="B58" s="11" t="s">
        <v>83</v>
      </c>
    </row>
    <row r="60" ht="15.75">
      <c r="B60" s="21" t="s">
        <v>52</v>
      </c>
    </row>
    <row r="61" ht="12.75">
      <c r="B61" s="11" t="s">
        <v>54</v>
      </c>
    </row>
    <row r="62" ht="12.75">
      <c r="B62" s="11" t="s">
        <v>84</v>
      </c>
    </row>
    <row r="63" ht="12.75">
      <c r="B63" s="11" t="s">
        <v>85</v>
      </c>
    </row>
    <row r="69" spans="10:11" ht="12.75">
      <c r="J69" s="2"/>
      <c r="K69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3"/>
  <sheetViews>
    <sheetView tabSelected="1" zoomScalePageLayoutView="0" workbookViewId="0" topLeftCell="A1">
      <selection activeCell="A50" sqref="A50"/>
    </sheetView>
  </sheetViews>
  <sheetFormatPr defaultColWidth="9.140625" defaultRowHeight="12.75"/>
  <cols>
    <col min="1" max="1" width="13.8515625" style="0" customWidth="1"/>
    <col min="2" max="2" width="20.8515625" style="8" customWidth="1"/>
    <col min="3" max="3" width="11.57421875" style="0" customWidth="1"/>
    <col min="4" max="4" width="12.421875" style="0" customWidth="1"/>
    <col min="5" max="8" width="10.7109375" style="0" customWidth="1"/>
    <col min="9" max="9" width="9.57421875" style="0" customWidth="1"/>
    <col min="10" max="10" width="10.140625" style="0" customWidth="1"/>
    <col min="16" max="16" width="12.421875" style="0" customWidth="1"/>
    <col min="17" max="17" width="10.140625" style="0" customWidth="1"/>
  </cols>
  <sheetData>
    <row r="1" spans="1:8" ht="15.75">
      <c r="A1" s="21" t="s">
        <v>62</v>
      </c>
      <c r="B1" s="18"/>
      <c r="C1">
        <f>C2-D2</f>
        <v>155819</v>
      </c>
      <c r="D1">
        <f>D2-E2</f>
        <v>34361</v>
      </c>
      <c r="E1">
        <f>E2-F2</f>
        <v>2789</v>
      </c>
      <c r="F1">
        <f>F2-G2</f>
        <v>148</v>
      </c>
      <c r="G1">
        <f>G2-H2</f>
        <v>7</v>
      </c>
      <c r="H1">
        <v>0</v>
      </c>
    </row>
    <row r="2" spans="3:8" ht="12.75">
      <c r="C2" s="1">
        <f>'analysis of trend'!C4</f>
        <v>193124</v>
      </c>
      <c r="D2" s="1">
        <f>'analysis of trend'!D4</f>
        <v>37305</v>
      </c>
      <c r="E2" s="1">
        <f>'analysis of trend'!E4</f>
        <v>2944</v>
      </c>
      <c r="F2" s="1">
        <f>'analysis of trend'!F4</f>
        <v>155</v>
      </c>
      <c r="G2" s="1">
        <f>'analysis of trend'!G4</f>
        <v>7</v>
      </c>
      <c r="H2" s="1">
        <f>'analysis of trend'!H4</f>
        <v>0</v>
      </c>
    </row>
    <row r="3" spans="1:8" ht="15.75">
      <c r="A3" s="21" t="s">
        <v>70</v>
      </c>
      <c r="B3" s="21" t="s">
        <v>7</v>
      </c>
      <c r="H3" s="10" t="s">
        <v>30</v>
      </c>
    </row>
    <row r="4" spans="1:8" ht="15">
      <c r="A4" s="22" t="s">
        <v>16</v>
      </c>
      <c r="B4" s="9" t="s">
        <v>8</v>
      </c>
      <c r="C4" s="9">
        <v>0.1</v>
      </c>
      <c r="D4" s="9">
        <f>C4+1</f>
        <v>1.1</v>
      </c>
      <c r="E4" s="9">
        <f>D4+1</f>
        <v>2.1</v>
      </c>
      <c r="F4" s="9">
        <f>E4+1</f>
        <v>3.1</v>
      </c>
      <c r="G4" s="9">
        <f>F4+1</f>
        <v>4.1</v>
      </c>
      <c r="H4" s="9">
        <f>G4+1</f>
        <v>5.1</v>
      </c>
    </row>
    <row r="5" spans="2:8" ht="12.75">
      <c r="B5" s="18" t="s">
        <v>2</v>
      </c>
      <c r="C5" s="33">
        <f>C6-D6</f>
        <v>119989</v>
      </c>
      <c r="D5" s="33">
        <f>D6-E6</f>
        <v>33075</v>
      </c>
      <c r="E5" s="33">
        <f>E6-F6</f>
        <v>2740</v>
      </c>
      <c r="F5" s="33">
        <f>F6-G6</f>
        <v>145</v>
      </c>
      <c r="G5" s="33">
        <f>G6-H6</f>
        <v>6</v>
      </c>
      <c r="H5" s="33">
        <v>0</v>
      </c>
    </row>
    <row r="6" spans="2:21" ht="12.75">
      <c r="B6" s="18" t="s">
        <v>10</v>
      </c>
      <c r="C6" s="1">
        <v>155955</v>
      </c>
      <c r="D6" s="1">
        <v>35966</v>
      </c>
      <c r="E6" s="1">
        <v>2891</v>
      </c>
      <c r="F6">
        <v>151</v>
      </c>
      <c r="G6">
        <v>6</v>
      </c>
      <c r="H6" s="31">
        <f>H5+I6</f>
        <v>0</v>
      </c>
      <c r="I6" s="20"/>
      <c r="J6" s="10" t="s">
        <v>29</v>
      </c>
      <c r="N6" s="1"/>
      <c r="Q6" s="1"/>
      <c r="R6" s="1"/>
      <c r="S6" s="1"/>
      <c r="T6" s="1"/>
      <c r="U6" s="1"/>
    </row>
    <row r="7" spans="10:21" ht="12.75">
      <c r="J7" s="1"/>
      <c r="K7" s="1"/>
      <c r="L7" s="1"/>
      <c r="M7" s="1"/>
      <c r="N7" s="1"/>
      <c r="Q7" s="1"/>
      <c r="R7" s="1"/>
      <c r="S7" s="1"/>
      <c r="T7" s="1"/>
      <c r="U7" s="1"/>
    </row>
    <row r="8" spans="2:12" ht="12.75">
      <c r="B8" s="8" t="s">
        <v>11</v>
      </c>
      <c r="C8" s="8"/>
      <c r="D8" s="25">
        <f>D6/C6</f>
        <v>0.23061780641851817</v>
      </c>
      <c r="E8" s="25">
        <f>E6/D6</f>
        <v>0.08038147138964577</v>
      </c>
      <c r="F8" s="25">
        <f>F6/E6</f>
        <v>0.05223106191629194</v>
      </c>
      <c r="G8" s="25">
        <f>G6/F6</f>
        <v>0.039735099337748346</v>
      </c>
      <c r="H8" s="25">
        <f>H6/G6</f>
        <v>0</v>
      </c>
      <c r="J8" s="14" t="s">
        <v>28</v>
      </c>
      <c r="K8" s="1"/>
      <c r="L8" s="1"/>
    </row>
    <row r="9" spans="4:12" ht="12.75">
      <c r="D9" s="2"/>
      <c r="E9" s="2"/>
      <c r="F9" s="2"/>
      <c r="G9" s="2"/>
      <c r="H9" s="2"/>
      <c r="J9" s="1"/>
      <c r="K9" s="1"/>
      <c r="L9" s="1"/>
    </row>
    <row r="10" spans="1:21" s="29" customFormat="1" ht="18">
      <c r="A10" s="29" t="s">
        <v>64</v>
      </c>
      <c r="L10" s="30"/>
      <c r="M10" s="30"/>
      <c r="U10" s="30"/>
    </row>
    <row r="11" spans="12:21" ht="12.75">
      <c r="L11" s="1"/>
      <c r="M11" s="2"/>
      <c r="U11" s="1"/>
    </row>
    <row r="12" spans="1:21" ht="15">
      <c r="A12" s="22" t="s">
        <v>38</v>
      </c>
      <c r="B12" s="8" t="s">
        <v>61</v>
      </c>
      <c r="D12" s="25">
        <f>(D8+$C$21*$C$21/(2*C6))/(1+$C$21*$C$21/C6)</f>
        <v>0.23062444160756287</v>
      </c>
      <c r="E12" s="25">
        <f>(E8+$C$21*$C$21/(2*D6))/(1+$C$21*$C$21/D6)</f>
        <v>0.080426285063527</v>
      </c>
      <c r="F12" s="25">
        <f>(F8+$C$21*$C$21/(2*E6))/(1+$C$21*$C$21/E6)</f>
        <v>0.05282524953479825</v>
      </c>
      <c r="G12" s="25">
        <f>(G8+$C$21*$C$21/(2*F6))/(1+$C$21*$C$21/F6)</f>
        <v>0.05115375726954057</v>
      </c>
      <c r="H12" s="25">
        <f>(H8+$C$21*$C$21/(2*G6))/(1+$C$21*$C$21/G6)</f>
        <v>0.19516666015892192</v>
      </c>
      <c r="J12" t="s">
        <v>43</v>
      </c>
      <c r="U12" s="2"/>
    </row>
    <row r="13" spans="1:21" ht="12.75">
      <c r="A13" t="s">
        <v>15</v>
      </c>
      <c r="B13" s="8" t="s">
        <v>9</v>
      </c>
      <c r="C13" s="2"/>
      <c r="D13" s="2">
        <f>($C$21*SQRT((D8*(1-D8)/C6+$C$21*$C$21/(4*C6*C6))))/(1+$C$21*$C$21/C6)</f>
        <v>0.002090556355023843</v>
      </c>
      <c r="E13" s="2">
        <f>($C$21*SQRT((E8*(1-E8)/D6+$C$21*$C$21/(4*D6*D6))))/(1+$C$21*$C$21/D6)</f>
        <v>0.0028100562405254954</v>
      </c>
      <c r="F13" s="2">
        <f>($C$21*SQRT((F8*(1-F8)/E6+$C$21*$C$21/(4*E6*E6))))/(1+$C$21*$C$21/E6)</f>
        <v>0.008126703883736113</v>
      </c>
      <c r="G13" s="2">
        <f>($C$21*SQRT((G8*(1-G8)/F6+$C$21*$C$21/(4*F6*F6))))/(1+$C$21*$C$21/F6)</f>
        <v>0.032817662401103606</v>
      </c>
      <c r="H13" s="2">
        <f>($C$21*SQRT((H8*(1-H8)/G6+$C$21*$C$21/(4*G6*G6))))/(1+$C$21*$C$21/G6)</f>
        <v>0.19516666015892192</v>
      </c>
      <c r="J13" s="16" t="s">
        <v>45</v>
      </c>
      <c r="L13" s="2"/>
      <c r="M13" s="2"/>
      <c r="U13" s="2"/>
    </row>
    <row r="14" spans="1:21" ht="12.75">
      <c r="A14" t="s">
        <v>42</v>
      </c>
      <c r="B14" s="8" t="s">
        <v>3</v>
      </c>
      <c r="D14" s="2">
        <f>D12+D13</f>
        <v>0.2327149979625867</v>
      </c>
      <c r="E14" s="2">
        <f>E12+E13</f>
        <v>0.0832363413040525</v>
      </c>
      <c r="F14" s="2">
        <f>F12+F13</f>
        <v>0.06095195341853436</v>
      </c>
      <c r="G14" s="2">
        <f>G12+G13</f>
        <v>0.08397141967064417</v>
      </c>
      <c r="H14" s="2">
        <f>H12+H13</f>
        <v>0.39033332031784385</v>
      </c>
      <c r="U14" s="2"/>
    </row>
    <row r="15" spans="2:21" ht="12.75">
      <c r="B15" s="8" t="s">
        <v>1</v>
      </c>
      <c r="C15" s="2"/>
      <c r="D15" s="2">
        <f>D12-D13</f>
        <v>0.22853388525253904</v>
      </c>
      <c r="E15" s="2">
        <f>E12-E13</f>
        <v>0.07761622882300151</v>
      </c>
      <c r="F15" s="2">
        <f>F12-F13</f>
        <v>0.04469854565106214</v>
      </c>
      <c r="G15" s="2">
        <f>G12-G13</f>
        <v>0.018336094868436965</v>
      </c>
      <c r="H15" s="2">
        <f>H12-H13</f>
        <v>0</v>
      </c>
      <c r="J15" s="2"/>
      <c r="K15" s="2"/>
      <c r="U15" s="2"/>
    </row>
    <row r="16" spans="2:21" ht="12.75">
      <c r="B16" s="23" t="s">
        <v>6</v>
      </c>
      <c r="C16" s="23"/>
      <c r="D16" s="23"/>
      <c r="E16" s="23" t="str">
        <f>IF((D8&lt;E15),"s+",IF((D8&gt;E14),"s-","ns"))</f>
        <v>s-</v>
      </c>
      <c r="F16" s="23" t="str">
        <f>IF((E8&lt;F15),"s+",IF((E8&gt;F14),"s-","ns"))</f>
        <v>s-</v>
      </c>
      <c r="G16" s="23" t="str">
        <f>IF((F8&lt;G15),"s+",IF((F8&gt;G14),"s-","ns"))</f>
        <v>ns</v>
      </c>
      <c r="H16" s="23" t="str">
        <f>IF((G8&lt;H15),"s+",IF((G8&gt;H14),"s-","ns"))</f>
        <v>ns</v>
      </c>
      <c r="J16" t="s">
        <v>51</v>
      </c>
      <c r="U16" s="2"/>
    </row>
    <row r="17" spans="2:21" ht="12.75">
      <c r="B17" s="13"/>
      <c r="C17" s="13"/>
      <c r="D17" s="13"/>
      <c r="E17" s="13"/>
      <c r="F17" s="13"/>
      <c r="G17" s="13"/>
      <c r="H17" s="13"/>
      <c r="J17" t="s">
        <v>76</v>
      </c>
      <c r="N17" s="2"/>
      <c r="U17" s="2"/>
    </row>
    <row r="18" spans="1:21" ht="12.75">
      <c r="A18" t="s">
        <v>46</v>
      </c>
      <c r="B18" s="13" t="s">
        <v>48</v>
      </c>
      <c r="C18" s="27"/>
      <c r="D18" s="28">
        <f>D13+(D12-D8)</f>
        <v>0.0020971915440685445</v>
      </c>
      <c r="E18" s="28">
        <f>E13+(E12-E8)</f>
        <v>0.0028548699144067286</v>
      </c>
      <c r="F18" s="28">
        <f>F13+(F12-F8)</f>
        <v>0.008720891502242424</v>
      </c>
      <c r="G18" s="28">
        <f>G13+(G12-G8)</f>
        <v>0.04423632033289583</v>
      </c>
      <c r="H18" s="28">
        <f>H13+(H12-H8)</f>
        <v>0.39033332031784385</v>
      </c>
      <c r="N18" s="2"/>
      <c r="U18" s="2"/>
    </row>
    <row r="19" spans="2:21" ht="12.75">
      <c r="B19" s="13" t="s">
        <v>49</v>
      </c>
      <c r="C19" s="27"/>
      <c r="D19" s="28">
        <f>D13-(D12-D8)</f>
        <v>0.0020839211659791418</v>
      </c>
      <c r="E19" s="28">
        <f>E13-(E12-E8)</f>
        <v>0.002765242566644262</v>
      </c>
      <c r="F19" s="28">
        <f>F13-(F12-F8)</f>
        <v>0.007532516265229801</v>
      </c>
      <c r="G19" s="28">
        <f>G13-(G12-G8)</f>
        <v>0.02139900446931138</v>
      </c>
      <c r="H19" s="28">
        <f>H13-(H12-H8)</f>
        <v>0</v>
      </c>
      <c r="L19" s="2"/>
      <c r="U19" s="2"/>
    </row>
    <row r="20" spans="12:21" ht="12.75">
      <c r="L20" s="2"/>
      <c r="U20" s="1"/>
    </row>
    <row r="21" spans="1:11" ht="12.75">
      <c r="A21" s="8">
        <v>0.05</v>
      </c>
      <c r="B21" s="8" t="s">
        <v>39</v>
      </c>
      <c r="C21" s="8">
        <v>1.95996</v>
      </c>
      <c r="D21" s="3"/>
      <c r="E21" s="3"/>
      <c r="F21" s="3"/>
      <c r="G21" s="3"/>
      <c r="H21" s="3"/>
      <c r="J21" s="15"/>
      <c r="K21" s="2"/>
    </row>
    <row r="22" spans="1:11" ht="12.75">
      <c r="A22" s="8"/>
      <c r="C22" s="8"/>
      <c r="D22" s="3"/>
      <c r="E22" s="3"/>
      <c r="F22" s="3"/>
      <c r="G22" s="3"/>
      <c r="H22" s="3"/>
      <c r="J22" s="15"/>
      <c r="K22" s="2"/>
    </row>
    <row r="23" spans="1:11" ht="12.75">
      <c r="A23" s="8"/>
      <c r="C23" s="8"/>
      <c r="D23" s="3"/>
      <c r="E23" s="3"/>
      <c r="F23" s="3"/>
      <c r="G23" s="3"/>
      <c r="H23" s="3"/>
      <c r="J23" s="15"/>
      <c r="K23" s="2"/>
    </row>
    <row r="24" spans="3:11" ht="12.75">
      <c r="C24" s="2"/>
      <c r="D24" s="1"/>
      <c r="E24" s="1"/>
      <c r="F24" s="1"/>
      <c r="G24" s="1"/>
      <c r="H24" s="1"/>
      <c r="J24" s="2"/>
      <c r="K24" s="2"/>
    </row>
    <row r="25" spans="1:11" ht="15.75">
      <c r="A25" s="21" t="s">
        <v>71</v>
      </c>
      <c r="B25" s="21" t="s">
        <v>7</v>
      </c>
      <c r="H25" s="10" t="s">
        <v>30</v>
      </c>
      <c r="K25" s="2"/>
    </row>
    <row r="26" spans="1:11" ht="15">
      <c r="A26" s="22" t="s">
        <v>16</v>
      </c>
      <c r="B26" s="9" t="s">
        <v>8</v>
      </c>
      <c r="C26" s="9">
        <v>-0.1</v>
      </c>
      <c r="D26" s="9">
        <f>C26+1</f>
        <v>0.9</v>
      </c>
      <c r="E26" s="9">
        <f>D26+1</f>
        <v>1.9</v>
      </c>
      <c r="F26" s="9">
        <f>E26+1</f>
        <v>2.9</v>
      </c>
      <c r="G26" s="9">
        <f>F26+1</f>
        <v>3.9</v>
      </c>
      <c r="H26" s="9">
        <f>G26+1</f>
        <v>4.9</v>
      </c>
      <c r="K26" s="2"/>
    </row>
    <row r="27" spans="2:21" ht="12.75">
      <c r="B27" s="32" t="s">
        <v>2</v>
      </c>
      <c r="C27" s="33">
        <f>C28-D28</f>
        <v>35029</v>
      </c>
      <c r="D27" s="33">
        <f>D28-E28</f>
        <v>1103</v>
      </c>
      <c r="E27" s="33">
        <f>E28-F28</f>
        <v>34</v>
      </c>
      <c r="F27" s="33">
        <f>F28-G28</f>
        <v>3</v>
      </c>
      <c r="G27" s="33">
        <f>G28-H28</f>
        <v>1</v>
      </c>
      <c r="H27" s="33">
        <v>0</v>
      </c>
      <c r="N27" s="2"/>
      <c r="U27" s="2"/>
    </row>
    <row r="28" spans="2:21" ht="12.75">
      <c r="B28" s="18" t="s">
        <v>10</v>
      </c>
      <c r="C28" s="1">
        <v>36170</v>
      </c>
      <c r="D28" s="1">
        <v>1141</v>
      </c>
      <c r="E28" s="1">
        <v>38</v>
      </c>
      <c r="F28">
        <v>4</v>
      </c>
      <c r="G28">
        <v>1</v>
      </c>
      <c r="H28" s="31">
        <f>H27+I28</f>
        <v>0</v>
      </c>
      <c r="I28" s="20"/>
      <c r="J28" s="10" t="s">
        <v>29</v>
      </c>
      <c r="U28" s="1"/>
    </row>
    <row r="29" spans="1:21" ht="12.75">
      <c r="A29" s="17"/>
      <c r="B29" s="18"/>
      <c r="C29" s="19"/>
      <c r="D29" s="19"/>
      <c r="E29" s="19"/>
      <c r="F29" s="17"/>
      <c r="G29" s="17"/>
      <c r="H29" s="17"/>
      <c r="J29" s="1"/>
      <c r="U29" s="2"/>
    </row>
    <row r="30" spans="2:21" ht="12.75">
      <c r="B30" s="8" t="s">
        <v>11</v>
      </c>
      <c r="C30" s="8"/>
      <c r="D30" s="25">
        <f>D28/C28</f>
        <v>0.03154547967929223</v>
      </c>
      <c r="E30" s="25">
        <f>E28/D28</f>
        <v>0.033304119193689745</v>
      </c>
      <c r="F30" s="25">
        <f>F28/E28</f>
        <v>0.10526315789473684</v>
      </c>
      <c r="G30" s="25">
        <f>G28/F28</f>
        <v>0.25</v>
      </c>
      <c r="H30" s="25">
        <f>H28/G28</f>
        <v>0</v>
      </c>
      <c r="J30" s="14" t="s">
        <v>28</v>
      </c>
      <c r="U30" s="2"/>
    </row>
    <row r="31" spans="4:10" ht="12.75">
      <c r="D31" s="2"/>
      <c r="E31" s="2"/>
      <c r="F31" s="2"/>
      <c r="G31" s="2"/>
      <c r="H31" s="2"/>
      <c r="J31" s="1"/>
    </row>
    <row r="32" spans="1:12" ht="18">
      <c r="A32" s="29" t="s">
        <v>64</v>
      </c>
      <c r="B32" s="29"/>
      <c r="C32" s="29"/>
      <c r="D32" s="29"/>
      <c r="E32" s="29"/>
      <c r="F32" s="29"/>
      <c r="G32" s="29"/>
      <c r="H32" s="29"/>
      <c r="I32" s="29"/>
      <c r="J32" s="29"/>
      <c r="L32" s="2"/>
    </row>
    <row r="33" spans="12:13" ht="12.75">
      <c r="L33" s="2"/>
      <c r="M33" s="2"/>
    </row>
    <row r="34" spans="1:13" ht="15">
      <c r="A34" s="22" t="s">
        <v>38</v>
      </c>
      <c r="B34" s="8" t="s">
        <v>61</v>
      </c>
      <c r="D34" s="25">
        <f>(D30+$C$21*$C$21/(2*C28))/(1+$C$21*$C$21/C28)</f>
        <v>0.03159522671639279</v>
      </c>
      <c r="E34" s="25">
        <f>(E30+$C$21*$C$21/(2*D28))/(1+$C$21*$C$21/D28)</f>
        <v>0.034870087764433066</v>
      </c>
      <c r="F34" s="25">
        <f>(F30+$C$21*$C$21/(2*E28))/(1+$C$21*$C$21/E28)</f>
        <v>0.14150376152832114</v>
      </c>
      <c r="G34" s="25">
        <f>(G30+$C$21*$C$21/(2*F28))/(1+$C$21*$C$21/F28)</f>
        <v>0.3724724550965368</v>
      </c>
      <c r="H34" s="25">
        <f>(H30+$C$21*$C$21/(2*G28))/(1+$C$21*$C$21/G28)</f>
        <v>0.3967250096345734</v>
      </c>
      <c r="J34" t="s">
        <v>43</v>
      </c>
      <c r="K34" s="2"/>
      <c r="M34" s="2"/>
    </row>
    <row r="35" spans="1:11" ht="12.75">
      <c r="A35" t="s">
        <v>15</v>
      </c>
      <c r="B35" s="8" t="s">
        <v>9</v>
      </c>
      <c r="C35" s="2"/>
      <c r="D35" s="2">
        <f>($C$21*SQRT((D30*(1-D30)/C28+$C$21*$C$21/(4*C28*C28))))/(1+$C$21*$C$21/C28)</f>
        <v>0.0018018708338006742</v>
      </c>
      <c r="E35" s="2">
        <f>($C$21*SQRT((E30*(1-E30)/D28+$C$21*$C$21/(4*D28*D28))))/(1+$C$21*$C$21/D28)</f>
        <v>0.010510965532086195</v>
      </c>
      <c r="F35" s="2">
        <f>($C$21*SQRT((F30*(1-F30)/E28+$C$21*$C$21/(4*E28*E28))))/(1+$C$21*$C$21/E28)</f>
        <v>0.0998011133138655</v>
      </c>
      <c r="G35" s="2">
        <f>($C$21*SQRT((G30*(1-G30)/F28+$C$21*$C$21/(4*F28*F28))))/(1+$C$21*$C$21/F28)</f>
        <v>0.3268850617262524</v>
      </c>
      <c r="H35" s="2">
        <f>($C$21*SQRT((H30*(1-H30)/G28+$C$21*$C$21/(4*G28*G28))))/(1+$C$21*$C$21/G28)</f>
        <v>0.3967250096345734</v>
      </c>
      <c r="J35" s="16" t="s">
        <v>45</v>
      </c>
      <c r="K35" s="2"/>
    </row>
    <row r="36" spans="1:8" ht="12.75">
      <c r="A36" t="s">
        <v>42</v>
      </c>
      <c r="B36" s="8" t="s">
        <v>3</v>
      </c>
      <c r="D36" s="2">
        <f>D34+D35</f>
        <v>0.03339709755019346</v>
      </c>
      <c r="E36" s="2">
        <f>E34+E35</f>
        <v>0.04538105329651926</v>
      </c>
      <c r="F36" s="2">
        <f>F34+F35</f>
        <v>0.24130487484218666</v>
      </c>
      <c r="G36" s="2">
        <f>G34+G35</f>
        <v>0.6993575168227892</v>
      </c>
      <c r="H36" s="2">
        <f>H34+H35</f>
        <v>0.7934500192691468</v>
      </c>
    </row>
    <row r="37" spans="2:10" ht="12.75">
      <c r="B37" s="8" t="s">
        <v>1</v>
      </c>
      <c r="C37" s="2"/>
      <c r="D37" s="2">
        <f>D34-D35</f>
        <v>0.029793355882592115</v>
      </c>
      <c r="E37" s="2">
        <f>E34-E35</f>
        <v>0.02435912223234687</v>
      </c>
      <c r="F37" s="2">
        <f>F34-F35</f>
        <v>0.04170264821445564</v>
      </c>
      <c r="G37" s="2">
        <f>G34-G35</f>
        <v>0.04558739337028439</v>
      </c>
      <c r="H37" s="2">
        <f>H34-H35</f>
        <v>0</v>
      </c>
      <c r="J37" s="2"/>
    </row>
    <row r="38" spans="2:10" ht="12.75">
      <c r="B38" s="23" t="s">
        <v>6</v>
      </c>
      <c r="C38" s="23"/>
      <c r="D38" s="23"/>
      <c r="E38" s="23" t="str">
        <f>IF((D30&lt;E37),"s+",IF((D30&gt;E36),"s-","ns"))</f>
        <v>ns</v>
      </c>
      <c r="F38" s="23" t="str">
        <f>IF((E30&lt;F37),"s+",IF((E30&gt;F36),"s-","ns"))</f>
        <v>s+</v>
      </c>
      <c r="G38" s="23" t="str">
        <f>IF((F30&lt;G37),"s+",IF((F30&gt;G36),"s-","ns"))</f>
        <v>ns</v>
      </c>
      <c r="H38" s="23" t="str">
        <f>IF((G30&lt;H37),"s+",IF((G30&gt;H36),"s-","ns"))</f>
        <v>ns</v>
      </c>
      <c r="J38" t="s">
        <v>51</v>
      </c>
    </row>
    <row r="39" spans="2:10" ht="12.75">
      <c r="B39" s="13"/>
      <c r="C39" s="13"/>
      <c r="D39" s="13"/>
      <c r="E39" s="13"/>
      <c r="F39" s="13"/>
      <c r="G39" s="13"/>
      <c r="H39" s="13"/>
      <c r="J39" t="s">
        <v>76</v>
      </c>
    </row>
    <row r="40" spans="1:11" ht="12.75">
      <c r="A40" t="s">
        <v>46</v>
      </c>
      <c r="B40" s="13" t="s">
        <v>48</v>
      </c>
      <c r="C40" s="27"/>
      <c r="D40" s="28">
        <f>D35+(D34-D30)</f>
        <v>0.0018516178709012357</v>
      </c>
      <c r="E40" s="28">
        <f>E35+(E34-E30)</f>
        <v>0.012076934102829517</v>
      </c>
      <c r="F40" s="28">
        <f>F35+(F34-F30)</f>
        <v>0.13604171694744982</v>
      </c>
      <c r="G40" s="28">
        <f>G35+(G34-G30)</f>
        <v>0.44935751682278924</v>
      </c>
      <c r="H40" s="28">
        <f>H35+(H34-H30)</f>
        <v>0.7934500192691468</v>
      </c>
      <c r="K40" s="2"/>
    </row>
    <row r="41" spans="2:11" ht="12.75">
      <c r="B41" s="13" t="s">
        <v>49</v>
      </c>
      <c r="C41" s="27"/>
      <c r="D41" s="28">
        <f>D35-(D34-D30)</f>
        <v>0.0017521237967001127</v>
      </c>
      <c r="E41" s="28">
        <f>E35-(E34-E30)</f>
        <v>0.008944996961342874</v>
      </c>
      <c r="F41" s="28">
        <f>F35-(F34-F30)</f>
        <v>0.0635605096802812</v>
      </c>
      <c r="G41" s="28">
        <f>G35-(G34-G30)</f>
        <v>0.2044126066297156</v>
      </c>
      <c r="H41" s="28">
        <f>H35-(H34-H30)</f>
        <v>0</v>
      </c>
      <c r="K41" s="1"/>
    </row>
    <row r="42" spans="3:11" ht="12.75">
      <c r="C42" s="2"/>
      <c r="D42" s="2"/>
      <c r="E42" s="2"/>
      <c r="F42" s="2"/>
      <c r="G42" s="2"/>
      <c r="H42" s="2"/>
      <c r="J42" s="16"/>
      <c r="K42" s="2"/>
    </row>
    <row r="43" spans="2:11" ht="12.75">
      <c r="B43" s="23"/>
      <c r="C43" s="23"/>
      <c r="D43" s="23"/>
      <c r="E43" s="23"/>
      <c r="F43" s="23"/>
      <c r="G43" s="23"/>
      <c r="H43" s="23"/>
      <c r="J43" s="2"/>
      <c r="K43" s="2"/>
    </row>
    <row r="44" spans="2:12" ht="12.75">
      <c r="B44" s="11"/>
      <c r="C44" s="26"/>
      <c r="D44" s="26"/>
      <c r="E44" s="11"/>
      <c r="F44" s="11"/>
      <c r="G44" s="11"/>
      <c r="H44" s="11"/>
      <c r="I44" s="1"/>
      <c r="J44" s="2"/>
      <c r="K44" s="2"/>
      <c r="L44" s="2"/>
    </row>
    <row r="45" spans="1:9" ht="18">
      <c r="A45" s="29" t="s">
        <v>63</v>
      </c>
      <c r="B45" s="21"/>
      <c r="C45" s="11"/>
      <c r="I45" s="1"/>
    </row>
    <row r="46" spans="2:10" ht="12.75">
      <c r="B46"/>
      <c r="C46" s="1" t="s">
        <v>65</v>
      </c>
      <c r="D46" s="34">
        <f>-SQRT(D18^2+D41^2)</f>
        <v>-0.0027327916443584616</v>
      </c>
      <c r="E46" s="34">
        <f>-SQRT(E18^2+E41^2)</f>
        <v>-0.009389528894817775</v>
      </c>
      <c r="F46" s="34">
        <f>-SQRT(F18^2+F41^2)</f>
        <v>-0.06415600002658367</v>
      </c>
      <c r="G46" s="34">
        <f>-SQRT(G18^2+G41^2)</f>
        <v>-0.2091443658953055</v>
      </c>
      <c r="H46" s="34">
        <f>-SQRT(H18^2+H41^2)</f>
        <v>-0.39033332031784385</v>
      </c>
      <c r="I46" s="1"/>
      <c r="J46" t="s">
        <v>86</v>
      </c>
    </row>
    <row r="47" spans="1:9" ht="12.75">
      <c r="A47" s="11" t="s">
        <v>68</v>
      </c>
      <c r="B47"/>
      <c r="C47" s="1" t="s">
        <v>66</v>
      </c>
      <c r="D47" s="34">
        <f>SQRT(D19^2+D40^2)</f>
        <v>0.00278769011295314</v>
      </c>
      <c r="E47" s="34">
        <f>SQRT(E19^2+E40^2)</f>
        <v>0.012389467453303549</v>
      </c>
      <c r="F47" s="34">
        <f>SQRT(F19^2+F40^2)</f>
        <v>0.13625009193133047</v>
      </c>
      <c r="G47" s="34">
        <f>SQRT(G19^2+G40^2)</f>
        <v>0.44986675284735245</v>
      </c>
      <c r="H47" s="34">
        <f>SQRT(H19^2+H40^2)</f>
        <v>0.7934500192691468</v>
      </c>
      <c r="I47" s="2"/>
    </row>
    <row r="48" spans="1:9" ht="12.75">
      <c r="A48" s="11" t="s">
        <v>69</v>
      </c>
      <c r="B48" s="11"/>
      <c r="C48" t="s">
        <v>67</v>
      </c>
      <c r="D48" s="34">
        <f>D8-D30</f>
        <v>0.19907232673922595</v>
      </c>
      <c r="E48" s="34">
        <f>E8-E30</f>
        <v>0.047077352195956025</v>
      </c>
      <c r="F48" s="34">
        <f>F8-F30</f>
        <v>-0.053032095978444896</v>
      </c>
      <c r="G48" s="34">
        <f>G8-G30</f>
        <v>-0.21026490066225165</v>
      </c>
      <c r="H48" s="34">
        <f>H8-H30</f>
        <v>0</v>
      </c>
      <c r="I48" s="11"/>
    </row>
    <row r="49" spans="2:8" ht="12.75">
      <c r="B49" s="11"/>
      <c r="C49" s="2"/>
      <c r="D49" s="1" t="str">
        <f>IF(D48&lt;D46,"s- (proper &gt; common)",IF(D48&gt;D47,"s+ (common &gt; proper)","ns"))</f>
        <v>s+ (common &gt; proper)</v>
      </c>
      <c r="E49" s="1" t="str">
        <f>IF(E48&lt;E46,"s- (proper &gt; common)",IF(E48&gt;E47,"s+ (common &gt; proper)","ns"))</f>
        <v>s+ (common &gt; proper)</v>
      </c>
      <c r="F49" s="1" t="str">
        <f>IF(F48&lt;F46,"s- (proper &gt; common)",IF(F48&gt;F47,"s+ (common &gt; proper)","ns"))</f>
        <v>ns</v>
      </c>
      <c r="G49" s="1" t="str">
        <f>IF(G48&lt;G46,"s- (proper &gt; common)",IF(G48&gt;G47,"s+ (common &gt; proper)","ns"))</f>
        <v>s- (proper &gt; common)</v>
      </c>
      <c r="H49" s="1" t="str">
        <f>IF(H48&lt;H46,"s- (proper &gt; common)",IF(H48&gt;H47,"s+ (common &gt; proper)","ns"))</f>
        <v>ns</v>
      </c>
    </row>
    <row r="50" spans="2:6" ht="12.75">
      <c r="B50" s="11"/>
      <c r="C50" s="2"/>
      <c r="D50" s="2"/>
      <c r="E50" s="2"/>
      <c r="F50" s="2"/>
    </row>
    <row r="51" spans="1:6" ht="18">
      <c r="A51" s="29" t="s">
        <v>72</v>
      </c>
      <c r="B51" s="11"/>
      <c r="C51" s="2"/>
      <c r="D51" s="2"/>
      <c r="E51" s="2"/>
      <c r="F51" s="2"/>
    </row>
    <row r="52" spans="1:6" ht="12.75">
      <c r="A52" s="11" t="s">
        <v>73</v>
      </c>
      <c r="B52" s="11"/>
      <c r="E52" s="2"/>
      <c r="F52" s="2"/>
    </row>
    <row r="53" spans="1:6" ht="12.75">
      <c r="A53" s="8" t="s">
        <v>74</v>
      </c>
      <c r="B53" s="11"/>
      <c r="C53" s="2"/>
      <c r="D53" s="2"/>
      <c r="E53" s="2"/>
      <c r="F53" s="2"/>
    </row>
    <row r="54" spans="1:2" ht="12.75">
      <c r="A54" s="11" t="s">
        <v>75</v>
      </c>
      <c r="B54" s="11"/>
    </row>
    <row r="55" ht="12.75">
      <c r="B55" s="11"/>
    </row>
    <row r="56" ht="12.75">
      <c r="B56" s="11"/>
    </row>
    <row r="57" ht="12.75">
      <c r="B57" s="11"/>
    </row>
    <row r="59" ht="12.75">
      <c r="B59" s="11"/>
    </row>
    <row r="60" ht="12.75">
      <c r="B60" s="11"/>
    </row>
    <row r="62" ht="15.75">
      <c r="B62" s="21"/>
    </row>
    <row r="63" ht="12.75">
      <c r="B63" s="11"/>
    </row>
    <row r="66" ht="12.75">
      <c r="B66" s="11"/>
    </row>
    <row r="73" spans="10:11" ht="12.75">
      <c r="J73" s="2"/>
      <c r="K73" s="2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College London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Wallis</dc:creator>
  <cp:keywords/>
  <dc:description/>
  <cp:lastModifiedBy>Sean Wallis</cp:lastModifiedBy>
  <dcterms:created xsi:type="dcterms:W3CDTF">2008-07-13T08:49:08Z</dcterms:created>
  <dcterms:modified xsi:type="dcterms:W3CDTF">2019-08-03T20:47:30Z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