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<sst xmlns="http://schemas.openxmlformats.org/spreadsheetml/2006/main" count="112" uniqueCount="44">
  <si>
    <t>alpha</t>
  </si>
  <si>
    <t>k</t>
  </si>
  <si>
    <t>z</t>
  </si>
  <si>
    <t>z2</t>
  </si>
  <si>
    <t>LLC</t>
  </si>
  <si>
    <t>p1</t>
  </si>
  <si>
    <t>max</t>
  </si>
  <si>
    <t>p2</t>
  </si>
  <si>
    <t>n</t>
  </si>
  <si>
    <t>p</t>
  </si>
  <si>
    <t>z2/n</t>
  </si>
  <si>
    <t>p'</t>
  </si>
  <si>
    <t>e'</t>
  </si>
  <si>
    <t>w-</t>
  </si>
  <si>
    <t>w+</t>
  </si>
  <si>
    <t>y-</t>
  </si>
  <si>
    <t>y+</t>
  </si>
  <si>
    <t>diversity</t>
  </si>
  <si>
    <t>d</t>
  </si>
  <si>
    <t>interval</t>
  </si>
  <si>
    <t>d1</t>
  </si>
  <si>
    <t>upper</t>
  </si>
  <si>
    <t>lower</t>
  </si>
  <si>
    <t>l1</t>
  </si>
  <si>
    <t>u1</t>
  </si>
  <si>
    <t>ICE-GB</t>
  </si>
  <si>
    <t>d2</t>
  </si>
  <si>
    <t>d1-d2</t>
  </si>
  <si>
    <t>CI</t>
  </si>
  <si>
    <t>SU</t>
  </si>
  <si>
    <t>OD</t>
  </si>
  <si>
    <t>CS</t>
  </si>
  <si>
    <t>CO</t>
  </si>
  <si>
    <t>A</t>
  </si>
  <si>
    <t>PC</t>
  </si>
  <si>
    <t>All</t>
  </si>
  <si>
    <t>Raw data</t>
  </si>
  <si>
    <t>d(w-)</t>
  </si>
  <si>
    <t>d(w+)</t>
  </si>
  <si>
    <t>Analysis of diversity</t>
  </si>
  <si>
    <t>&lt;-assume p1 = w1-</t>
  </si>
  <si>
    <t>&lt;-compute p2 on that basis</t>
  </si>
  <si>
    <t>&lt;-assume p1 = w1+</t>
  </si>
  <si>
    <t>(k+2)/k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</si>
</sst>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000000000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/>
    </xf>
    <xf numFmtId="3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I26" sqref="I26"/>
    </sheetView>
  </sheetViews>
  <sheetFormatPr defaultColWidth="9.140625" defaultRowHeight="12.75"/>
  <sheetData>
    <row r="1" spans="1:18" ht="18">
      <c r="A1" s="20" t="s">
        <v>39</v>
      </c>
      <c r="R1" s="1"/>
    </row>
    <row r="2" spans="1:18" ht="12.75">
      <c r="A2" s="7" t="s">
        <v>36</v>
      </c>
      <c r="R2" s="1"/>
    </row>
    <row r="3" spans="3:18" ht="12.75">
      <c r="C3" s="11"/>
      <c r="D3" s="11" t="s">
        <v>32</v>
      </c>
      <c r="E3" s="11" t="s">
        <v>31</v>
      </c>
      <c r="F3" s="11" t="s">
        <v>29</v>
      </c>
      <c r="G3" s="11" t="s">
        <v>30</v>
      </c>
      <c r="H3" s="11" t="s">
        <v>33</v>
      </c>
      <c r="I3" s="11" t="s">
        <v>34</v>
      </c>
      <c r="J3" s="11" t="s">
        <v>35</v>
      </c>
      <c r="O3" t="s">
        <v>0</v>
      </c>
      <c r="P3">
        <v>0.05</v>
      </c>
      <c r="R3" s="1"/>
    </row>
    <row r="4" spans="3:18" ht="12.75">
      <c r="C4" t="s">
        <v>4</v>
      </c>
      <c r="D4">
        <v>6</v>
      </c>
      <c r="E4">
        <v>33</v>
      </c>
      <c r="F4">
        <v>61</v>
      </c>
      <c r="G4">
        <v>326</v>
      </c>
      <c r="H4">
        <v>610</v>
      </c>
      <c r="I4">
        <v>1203</v>
      </c>
      <c r="J4">
        <v>2239</v>
      </c>
      <c r="O4" t="s">
        <v>2</v>
      </c>
      <c r="P4">
        <f>NORMSINV(1-(P3/2))</f>
        <v>1.9599610823206604</v>
      </c>
      <c r="R4" s="1"/>
    </row>
    <row r="5" spans="3:18" ht="12.75">
      <c r="C5" t="s">
        <v>25</v>
      </c>
      <c r="D5">
        <v>0</v>
      </c>
      <c r="E5">
        <v>46</v>
      </c>
      <c r="F5">
        <v>96</v>
      </c>
      <c r="G5">
        <v>359</v>
      </c>
      <c r="H5">
        <v>499</v>
      </c>
      <c r="I5">
        <v>1057</v>
      </c>
      <c r="J5">
        <v>2057</v>
      </c>
      <c r="O5" t="s">
        <v>3</v>
      </c>
      <c r="P5">
        <f>P4^2</f>
        <v>3.8414474442115742</v>
      </c>
      <c r="R5" s="1"/>
    </row>
    <row r="6" ht="12.75">
      <c r="R6" s="1"/>
    </row>
    <row r="7" spans="8:18" ht="12.75">
      <c r="H7" t="s">
        <v>1</v>
      </c>
      <c r="I7">
        <v>6</v>
      </c>
      <c r="J7">
        <f>(I7+2)/I7</f>
        <v>1.3333333333333333</v>
      </c>
      <c r="L7" t="s">
        <v>43</v>
      </c>
      <c r="R7" s="1"/>
    </row>
    <row r="8" spans="11:18" ht="12.75">
      <c r="K8" s="1"/>
      <c r="L8" s="1"/>
      <c r="M8" s="1"/>
      <c r="N8" s="1"/>
      <c r="O8" s="1"/>
      <c r="P8" s="1"/>
      <c r="Q8" s="1"/>
      <c r="R8" s="1"/>
    </row>
    <row r="9" spans="1:19" ht="15.75">
      <c r="A9" s="2" t="s">
        <v>4</v>
      </c>
      <c r="M9" s="1"/>
      <c r="N9" s="1"/>
      <c r="O9" s="1"/>
      <c r="P9" s="1"/>
      <c r="Q9" s="1"/>
      <c r="S9" s="1"/>
    </row>
    <row r="10" spans="2:22" ht="12.75">
      <c r="B10" s="12" t="s">
        <v>5</v>
      </c>
      <c r="C10" s="13"/>
      <c r="D10" s="13" t="str">
        <f aca="true" t="shared" si="0" ref="D10:I10">D3</f>
        <v>CO</v>
      </c>
      <c r="E10" s="13" t="str">
        <f t="shared" si="0"/>
        <v>CS</v>
      </c>
      <c r="F10" s="13" t="str">
        <f t="shared" si="0"/>
        <v>SU</v>
      </c>
      <c r="G10" s="13" t="str">
        <f t="shared" si="0"/>
        <v>OD</v>
      </c>
      <c r="H10" s="13" t="str">
        <f t="shared" si="0"/>
        <v>A</v>
      </c>
      <c r="I10" s="13" t="str">
        <f t="shared" si="0"/>
        <v>PC</v>
      </c>
      <c r="L10" s="16" t="s">
        <v>7</v>
      </c>
      <c r="M10" s="17"/>
      <c r="N10" s="17" t="str">
        <f aca="true" t="shared" si="1" ref="N10:S10">D10</f>
        <v>CO</v>
      </c>
      <c r="O10" s="17" t="str">
        <f t="shared" si="1"/>
        <v>CS</v>
      </c>
      <c r="P10" s="17" t="str">
        <f t="shared" si="1"/>
        <v>SU</v>
      </c>
      <c r="Q10" s="17" t="str">
        <f t="shared" si="1"/>
        <v>OD</v>
      </c>
      <c r="R10" s="17" t="str">
        <f t="shared" si="1"/>
        <v>A</v>
      </c>
      <c r="S10" s="17" t="str">
        <f t="shared" si="1"/>
        <v>PC</v>
      </c>
      <c r="V10" s="11" t="s">
        <v>6</v>
      </c>
    </row>
    <row r="11" spans="2:22" ht="12.75">
      <c r="B11" s="12"/>
      <c r="C11" s="12" t="s">
        <v>8</v>
      </c>
      <c r="D11" s="14">
        <f aca="true" t="shared" si="2" ref="D11:I11">$J4</f>
        <v>2239</v>
      </c>
      <c r="E11" s="14">
        <f t="shared" si="2"/>
        <v>2239</v>
      </c>
      <c r="F11" s="14">
        <f t="shared" si="2"/>
        <v>2239</v>
      </c>
      <c r="G11" s="14">
        <f t="shared" si="2"/>
        <v>2239</v>
      </c>
      <c r="H11" s="14">
        <f t="shared" si="2"/>
        <v>2239</v>
      </c>
      <c r="I11" s="14">
        <f t="shared" si="2"/>
        <v>2239</v>
      </c>
      <c r="L11" s="16"/>
      <c r="M11" s="16" t="s">
        <v>8</v>
      </c>
      <c r="N11" s="18">
        <f aca="true" t="shared" si="3" ref="N11:S11">D11-1</f>
        <v>2238</v>
      </c>
      <c r="O11" s="18">
        <f t="shared" si="3"/>
        <v>2238</v>
      </c>
      <c r="P11" s="18">
        <f t="shared" si="3"/>
        <v>2238</v>
      </c>
      <c r="Q11" s="18">
        <f t="shared" si="3"/>
        <v>2238</v>
      </c>
      <c r="R11" s="18">
        <f t="shared" si="3"/>
        <v>2238</v>
      </c>
      <c r="S11" s="18">
        <f t="shared" si="3"/>
        <v>2238</v>
      </c>
      <c r="U11" t="s">
        <v>9</v>
      </c>
      <c r="V11">
        <f>(0.5*I11-1)/S11</f>
        <v>0.49977658623771226</v>
      </c>
    </row>
    <row r="12" spans="2:22" ht="12.75">
      <c r="B12" s="12"/>
      <c r="C12" s="12" t="s">
        <v>9</v>
      </c>
      <c r="D12" s="15">
        <f aca="true" t="shared" si="4" ref="D12:I12">D4/D11</f>
        <v>0.0026797677534613666</v>
      </c>
      <c r="E12" s="15">
        <f t="shared" si="4"/>
        <v>0.014738722644037517</v>
      </c>
      <c r="F12" s="15">
        <f t="shared" si="4"/>
        <v>0.027244305493523895</v>
      </c>
      <c r="G12" s="15">
        <f t="shared" si="4"/>
        <v>0.14560071460473425</v>
      </c>
      <c r="H12" s="15">
        <f t="shared" si="4"/>
        <v>0.27244305493523896</v>
      </c>
      <c r="I12" s="15">
        <f t="shared" si="4"/>
        <v>0.537293434569004</v>
      </c>
      <c r="L12" s="16"/>
      <c r="M12" s="16" t="s">
        <v>9</v>
      </c>
      <c r="N12" s="19">
        <f aca="true" t="shared" si="5" ref="N12:S12">MAX((D4-1)/N11,0)</f>
        <v>0.002234137622877569</v>
      </c>
      <c r="O12" s="19">
        <f t="shared" si="5"/>
        <v>0.014298480786416443</v>
      </c>
      <c r="P12" s="19">
        <f t="shared" si="5"/>
        <v>0.02680965147453083</v>
      </c>
      <c r="Q12" s="19">
        <f t="shared" si="5"/>
        <v>0.145218945487042</v>
      </c>
      <c r="R12" s="19">
        <f t="shared" si="5"/>
        <v>0.27211796246648795</v>
      </c>
      <c r="S12" s="19">
        <f t="shared" si="5"/>
        <v>0.5370866845397676</v>
      </c>
      <c r="U12" t="s">
        <v>18</v>
      </c>
      <c r="V12">
        <f>0.5*(1-V11)</f>
        <v>0.25011170688114387</v>
      </c>
    </row>
    <row r="13" spans="2:19" ht="12.75">
      <c r="B13" s="12"/>
      <c r="C13" s="12" t="s">
        <v>10</v>
      </c>
      <c r="D13" s="15">
        <f aca="true" t="shared" si="6" ref="D13:I13">$P$5/D11</f>
        <v>0.0017156978312691264</v>
      </c>
      <c r="E13" s="15">
        <f t="shared" si="6"/>
        <v>0.0017156978312691264</v>
      </c>
      <c r="F13" s="15">
        <f t="shared" si="6"/>
        <v>0.0017156978312691264</v>
      </c>
      <c r="G13" s="15">
        <f t="shared" si="6"/>
        <v>0.0017156978312691264</v>
      </c>
      <c r="H13" s="15">
        <f t="shared" si="6"/>
        <v>0.0017156978312691264</v>
      </c>
      <c r="I13" s="15">
        <f t="shared" si="6"/>
        <v>0.0017156978312691264</v>
      </c>
      <c r="L13" s="16"/>
      <c r="M13" s="16" t="s">
        <v>10</v>
      </c>
      <c r="N13" s="19">
        <f aca="true" t="shared" si="7" ref="N13:S13">$P$5/N11</f>
        <v>0.0017164644522839922</v>
      </c>
      <c r="O13" s="19">
        <f t="shared" si="7"/>
        <v>0.0017164644522839922</v>
      </c>
      <c r="P13" s="19">
        <f t="shared" si="7"/>
        <v>0.0017164644522839922</v>
      </c>
      <c r="Q13" s="19">
        <f t="shared" si="7"/>
        <v>0.0017164644522839922</v>
      </c>
      <c r="R13" s="19">
        <f t="shared" si="7"/>
        <v>0.0017164644522839922</v>
      </c>
      <c r="S13" s="19">
        <f t="shared" si="7"/>
        <v>0.0017164644522839922</v>
      </c>
    </row>
    <row r="14" spans="2:19" ht="12.75">
      <c r="B14" s="12"/>
      <c r="C14" s="12" t="s">
        <v>11</v>
      </c>
      <c r="D14" s="15">
        <f aca="true" t="shared" si="8" ref="D14:I14">(D12+D13/2)/(1+D13)</f>
        <v>0.003531557583409073</v>
      </c>
      <c r="E14" s="15">
        <f t="shared" si="8"/>
        <v>0.015569858387403645</v>
      </c>
      <c r="F14" s="15">
        <f t="shared" si="8"/>
        <v>0.028054022184138754</v>
      </c>
      <c r="G14" s="15">
        <f t="shared" si="8"/>
        <v>0.14620771526038176</v>
      </c>
      <c r="H14" s="15">
        <f t="shared" si="8"/>
        <v>0.27283280519869507</v>
      </c>
      <c r="I14" s="15">
        <f t="shared" si="8"/>
        <v>0.537229559893835</v>
      </c>
      <c r="L14" s="16"/>
      <c r="M14" s="16" t="s">
        <v>11</v>
      </c>
      <c r="N14" s="19">
        <f aca="true" t="shared" si="9" ref="N14:S14">(N12+N13/2)/(1+N13)</f>
        <v>0.003087071001384013</v>
      </c>
      <c r="O14" s="19">
        <f t="shared" si="9"/>
        <v>0.015130741632409715</v>
      </c>
      <c r="P14" s="19">
        <f t="shared" si="9"/>
        <v>0.027620474138658587</v>
      </c>
      <c r="Q14" s="19">
        <f t="shared" si="9"/>
        <v>0.14582687107279976</v>
      </c>
      <c r="R14" s="19">
        <f t="shared" si="9"/>
        <v>0.2725084436361812</v>
      </c>
      <c r="S14" s="19">
        <f t="shared" si="9"/>
        <v>0.5370231356435234</v>
      </c>
    </row>
    <row r="15" spans="2:19" ht="12.75">
      <c r="B15" s="12"/>
      <c r="C15" s="12" t="s">
        <v>12</v>
      </c>
      <c r="D15" s="15">
        <f aca="true" t="shared" si="10" ref="D15:I15">$P$4*SQRT((D12*(1-D12)+D13/4)/D11)/(1+D13)</f>
        <v>0.0023028337635371916</v>
      </c>
      <c r="E15" s="15">
        <f t="shared" si="10"/>
        <v>0.005055947747433098</v>
      </c>
      <c r="F15" s="15">
        <f t="shared" si="10"/>
        <v>0.0067858144814652846</v>
      </c>
      <c r="G15" s="15">
        <f t="shared" si="10"/>
        <v>0.014609505969845041</v>
      </c>
      <c r="H15" s="15">
        <f t="shared" si="10"/>
        <v>0.018429632103233312</v>
      </c>
      <c r="I15" s="15">
        <f t="shared" si="10"/>
        <v>0.020635207472618624</v>
      </c>
      <c r="L15" s="16"/>
      <c r="M15" s="16" t="s">
        <v>12</v>
      </c>
      <c r="N15" s="19">
        <f aca="true" t="shared" si="11" ref="N15:S15">$P$4*SQRT((N12*(1-N12)+N13/4)/N11)/(1+N13)</f>
        <v>0.0021324139560012795</v>
      </c>
      <c r="O15" s="19">
        <f t="shared" si="11"/>
        <v>0.004984286655974993</v>
      </c>
      <c r="P15" s="19">
        <f t="shared" si="11"/>
        <v>0.0067353386697159125</v>
      </c>
      <c r="Q15" s="19">
        <f t="shared" si="11"/>
        <v>0.014596914255120953</v>
      </c>
      <c r="R15" s="19">
        <f t="shared" si="11"/>
        <v>0.01842687286573031</v>
      </c>
      <c r="S15" s="19">
        <f t="shared" si="11"/>
        <v>0.020640446536555987</v>
      </c>
    </row>
    <row r="16" spans="2:19" ht="12.75">
      <c r="B16" s="12"/>
      <c r="C16" s="12" t="s">
        <v>13</v>
      </c>
      <c r="D16" s="15">
        <f aca="true" t="shared" si="12" ref="D16:I16">D14-D15</f>
        <v>0.0012287238198718815</v>
      </c>
      <c r="E16" s="15">
        <f t="shared" si="12"/>
        <v>0.010513910639970547</v>
      </c>
      <c r="F16" s="15">
        <f t="shared" si="12"/>
        <v>0.02126820770267347</v>
      </c>
      <c r="G16" s="15">
        <f t="shared" si="12"/>
        <v>0.13159820929053673</v>
      </c>
      <c r="H16" s="15">
        <f t="shared" si="12"/>
        <v>0.2544031730954618</v>
      </c>
      <c r="I16" s="15">
        <f t="shared" si="12"/>
        <v>0.5165943524212164</v>
      </c>
      <c r="L16" s="16"/>
      <c r="M16" s="16" t="s">
        <v>13</v>
      </c>
      <c r="N16" s="19">
        <f aca="true" t="shared" si="13" ref="N16:S16">N14-N15</f>
        <v>0.0009546570453827334</v>
      </c>
      <c r="O16" s="19">
        <f t="shared" si="13"/>
        <v>0.01014645497643472</v>
      </c>
      <c r="P16" s="19">
        <f t="shared" si="13"/>
        <v>0.020885135468942675</v>
      </c>
      <c r="Q16" s="19">
        <f t="shared" si="13"/>
        <v>0.13122995681767882</v>
      </c>
      <c r="R16" s="19">
        <f t="shared" si="13"/>
        <v>0.2540815707704509</v>
      </c>
      <c r="S16" s="19">
        <f t="shared" si="13"/>
        <v>0.5163826891069675</v>
      </c>
    </row>
    <row r="17" spans="2:19" ht="12.75">
      <c r="B17" s="12"/>
      <c r="C17" s="12" t="s">
        <v>14</v>
      </c>
      <c r="D17" s="15">
        <f aca="true" t="shared" si="14" ref="D17:I17">D14+D15</f>
        <v>0.005834391346946265</v>
      </c>
      <c r="E17" s="15">
        <f t="shared" si="14"/>
        <v>0.020625806134836742</v>
      </c>
      <c r="F17" s="15">
        <f t="shared" si="14"/>
        <v>0.034839836665604036</v>
      </c>
      <c r="G17" s="15">
        <f t="shared" si="14"/>
        <v>0.1608172212302268</v>
      </c>
      <c r="H17" s="15">
        <f t="shared" si="14"/>
        <v>0.29126243730192836</v>
      </c>
      <c r="I17" s="15">
        <f t="shared" si="14"/>
        <v>0.5578647673664536</v>
      </c>
      <c r="L17" s="16"/>
      <c r="M17" s="16" t="s">
        <v>14</v>
      </c>
      <c r="N17" s="19">
        <f aca="true" t="shared" si="15" ref="N17:S17">N14+N15</f>
        <v>0.0052194849573852925</v>
      </c>
      <c r="O17" s="19">
        <f t="shared" si="15"/>
        <v>0.02011502828838471</v>
      </c>
      <c r="P17" s="19">
        <f t="shared" si="15"/>
        <v>0.0343558128083745</v>
      </c>
      <c r="Q17" s="19">
        <f t="shared" si="15"/>
        <v>0.1604237853279207</v>
      </c>
      <c r="R17" s="19">
        <f t="shared" si="15"/>
        <v>0.2909353165019115</v>
      </c>
      <c r="S17" s="19">
        <f t="shared" si="15"/>
        <v>0.5576635821800794</v>
      </c>
    </row>
    <row r="18" spans="2:19" ht="12.75">
      <c r="B18" s="12"/>
      <c r="C18" s="12" t="s">
        <v>15</v>
      </c>
      <c r="D18" s="15">
        <f aca="true" t="shared" si="16" ref="D18:I18">D12-D16</f>
        <v>0.0014510439335894852</v>
      </c>
      <c r="E18" s="15">
        <f t="shared" si="16"/>
        <v>0.00422481200406697</v>
      </c>
      <c r="F18" s="15">
        <f t="shared" si="16"/>
        <v>0.0059760977908504265</v>
      </c>
      <c r="G18" s="15">
        <f t="shared" si="16"/>
        <v>0.014002505314197528</v>
      </c>
      <c r="H18" s="15">
        <f t="shared" si="16"/>
        <v>0.018039881839777172</v>
      </c>
      <c r="I18" s="15">
        <f t="shared" si="16"/>
        <v>0.020699082147787595</v>
      </c>
      <c r="L18" s="16"/>
      <c r="M18" s="16" t="s">
        <v>15</v>
      </c>
      <c r="N18" s="19">
        <f aca="true" t="shared" si="17" ref="N18:S18">N12-N16</f>
        <v>0.0012794805774948357</v>
      </c>
      <c r="O18" s="19">
        <f t="shared" si="17"/>
        <v>0.0041520258099817225</v>
      </c>
      <c r="P18" s="19">
        <f t="shared" si="17"/>
        <v>0.005924516005588156</v>
      </c>
      <c r="Q18" s="19">
        <f t="shared" si="17"/>
        <v>0.013988988669363184</v>
      </c>
      <c r="R18" s="19">
        <f t="shared" si="17"/>
        <v>0.018036391696037046</v>
      </c>
      <c r="S18" s="19">
        <f t="shared" si="17"/>
        <v>0.020703995432800104</v>
      </c>
    </row>
    <row r="19" spans="2:19" ht="12.75">
      <c r="B19" s="12"/>
      <c r="C19" s="12" t="s">
        <v>16</v>
      </c>
      <c r="D19" s="15">
        <f aca="true" t="shared" si="18" ref="D19:I19">D17-D12</f>
        <v>0.003154623593484898</v>
      </c>
      <c r="E19" s="15">
        <f t="shared" si="18"/>
        <v>0.0058870834907992255</v>
      </c>
      <c r="F19" s="15">
        <f t="shared" si="18"/>
        <v>0.007595531172080141</v>
      </c>
      <c r="G19" s="15">
        <f t="shared" si="18"/>
        <v>0.015216506625492537</v>
      </c>
      <c r="H19" s="15">
        <f t="shared" si="18"/>
        <v>0.018819382366689397</v>
      </c>
      <c r="I19" s="15">
        <f t="shared" si="18"/>
        <v>0.020571332797449604</v>
      </c>
      <c r="L19" s="16"/>
      <c r="M19" s="16" t="s">
        <v>16</v>
      </c>
      <c r="N19" s="19">
        <f aca="true" t="shared" si="19" ref="N19:S19">N17-N12</f>
        <v>0.0029853473345077233</v>
      </c>
      <c r="O19" s="19">
        <f t="shared" si="19"/>
        <v>0.005816547501968266</v>
      </c>
      <c r="P19" s="19">
        <f t="shared" si="19"/>
        <v>0.007546161333843667</v>
      </c>
      <c r="Q19" s="19">
        <f t="shared" si="19"/>
        <v>0.015204839840878698</v>
      </c>
      <c r="R19" s="19">
        <f t="shared" si="19"/>
        <v>0.01881735403542356</v>
      </c>
      <c r="S19" s="19">
        <f t="shared" si="19"/>
        <v>0.020576897640311786</v>
      </c>
    </row>
    <row r="21" spans="2:11" ht="12.75">
      <c r="B21" s="4" t="s">
        <v>17</v>
      </c>
      <c r="C21" s="4" t="s">
        <v>18</v>
      </c>
      <c r="D21" s="5">
        <f aca="true" t="shared" si="20" ref="D21:I21">D12*(1-N12)</f>
        <v>0.0026737807835027845</v>
      </c>
      <c r="E21" s="5">
        <f t="shared" si="20"/>
        <v>0.014527981301495425</v>
      </c>
      <c r="F21" s="5">
        <f t="shared" si="20"/>
        <v>0.026513895158576873</v>
      </c>
      <c r="G21" s="5">
        <f t="shared" si="20"/>
        <v>0.12445673236767499</v>
      </c>
      <c r="H21" s="5">
        <f t="shared" si="20"/>
        <v>0.19830640593811627</v>
      </c>
      <c r="I21" s="5">
        <f t="shared" si="20"/>
        <v>0.24872028517135308</v>
      </c>
      <c r="K21" s="3">
        <f>SUM(D21:I21)</f>
        <v>0.6151990807207195</v>
      </c>
    </row>
    <row r="23" spans="1:10" ht="12.75">
      <c r="A23" s="7" t="s">
        <v>19</v>
      </c>
      <c r="B23" t="s">
        <v>22</v>
      </c>
      <c r="C23" s="1" t="s">
        <v>13</v>
      </c>
      <c r="D23" s="6">
        <f aca="true" t="shared" si="21" ref="D23:I23">D11*D24</f>
        <v>2.7511126326931428</v>
      </c>
      <c r="E23" s="6">
        <f t="shared" si="21"/>
        <v>23.540645922894054</v>
      </c>
      <c r="F23" s="6">
        <f t="shared" si="21"/>
        <v>47.6195170462859</v>
      </c>
      <c r="G23" s="6">
        <f t="shared" si="21"/>
        <v>294.6483906015117</v>
      </c>
      <c r="H23" s="6">
        <f t="shared" si="21"/>
        <v>569.6087045607389</v>
      </c>
      <c r="I23" s="6">
        <f t="shared" si="21"/>
        <v>1156.6547550711036</v>
      </c>
      <c r="J23" s="1"/>
    </row>
    <row r="24" spans="3:20" ht="12.75">
      <c r="C24" t="s">
        <v>9</v>
      </c>
      <c r="D24" s="3">
        <f aca="true" t="shared" si="22" ref="D24:I24">D16</f>
        <v>0.0012287238198718815</v>
      </c>
      <c r="E24" s="3">
        <f t="shared" si="22"/>
        <v>0.010513910639970547</v>
      </c>
      <c r="F24" s="3">
        <f t="shared" si="22"/>
        <v>0.02126820770267347</v>
      </c>
      <c r="G24" s="3">
        <f t="shared" si="22"/>
        <v>0.13159820929053673</v>
      </c>
      <c r="H24" s="3">
        <f t="shared" si="22"/>
        <v>0.2544031730954618</v>
      </c>
      <c r="I24" s="3">
        <f t="shared" si="22"/>
        <v>0.5165943524212164</v>
      </c>
      <c r="J24" s="1" t="s">
        <v>40</v>
      </c>
      <c r="Q24" t="s">
        <v>20</v>
      </c>
      <c r="R24" s="5">
        <f>K21</f>
        <v>0.6151990807207195</v>
      </c>
      <c r="S24" s="5">
        <f>R24</f>
        <v>0.6151990807207195</v>
      </c>
      <c r="T24" s="3"/>
    </row>
    <row r="25" spans="3:20" ht="12.75">
      <c r="C25" t="s">
        <v>7</v>
      </c>
      <c r="D25" s="3">
        <f aca="true" t="shared" si="23" ref="D25:I25">(D23-1)/$N11</f>
        <v>0.000782445322919188</v>
      </c>
      <c r="E25" s="3">
        <f t="shared" si="23"/>
        <v>0.010071781020059898</v>
      </c>
      <c r="F25" s="3">
        <f t="shared" si="23"/>
        <v>0.0208308833986979</v>
      </c>
      <c r="G25" s="3">
        <f t="shared" si="23"/>
        <v>0.13121018346805707</v>
      </c>
      <c r="H25" s="3">
        <f t="shared" si="23"/>
        <v>0.2540700199109647</v>
      </c>
      <c r="I25" s="3">
        <f t="shared" si="23"/>
        <v>0.516378353472343</v>
      </c>
      <c r="J25" s="1" t="s">
        <v>41</v>
      </c>
      <c r="M25" s="1"/>
      <c r="T25" s="3"/>
    </row>
    <row r="26" spans="3:19" ht="12.75">
      <c r="C26" s="1" t="s">
        <v>37</v>
      </c>
      <c r="D26" s="3">
        <f>MIN(D21,D24*(1-D25))</f>
        <v>0.0012277624106658634</v>
      </c>
      <c r="E26" s="3">
        <f>MIN(E21,E24*(1-E25))</f>
        <v>0.010408016834340285</v>
      </c>
      <c r="F26" s="3">
        <f>MIN(F21,F24*(1-F25))</f>
        <v>0.02082517214791979</v>
      </c>
      <c r="G26" s="3">
        <f>MIN(G21,G24*(1-G25))</f>
        <v>0.11433118410545763</v>
      </c>
      <c r="H26" s="3">
        <f>MIN(H21,H24*(1-H25))</f>
        <v>0.1897669538416852</v>
      </c>
      <c r="I26" s="3">
        <f>MIN(I24*(1-I25),I31*(1-I32))</f>
        <v>0.24676187945218284</v>
      </c>
      <c r="J26" s="1"/>
      <c r="K26" s="1"/>
      <c r="Q26" t="s">
        <v>22</v>
      </c>
      <c r="R26" s="3"/>
      <c r="S26" s="3">
        <f>S24-J27</f>
        <v>0.5976601347806771</v>
      </c>
    </row>
    <row r="27" spans="3:19" ht="12.75">
      <c r="C27" s="1" t="s">
        <v>23</v>
      </c>
      <c r="D27" s="3">
        <f>(D21-D26)^2</f>
        <v>2.090969134581937E-06</v>
      </c>
      <c r="E27" s="3">
        <f aca="true" t="shared" si="24" ref="D27:I27">(E21-E26)^2</f>
        <v>1.6974107210620932E-05</v>
      </c>
      <c r="F27" s="3">
        <f t="shared" si="24"/>
        <v>3.236156949197938E-05</v>
      </c>
      <c r="G27" s="3">
        <f t="shared" si="24"/>
        <v>0.00010252672761049293</v>
      </c>
      <c r="H27" s="3">
        <f t="shared" si="24"/>
        <v>7.292224210724084E-05</v>
      </c>
      <c r="I27" s="3">
        <f t="shared" si="24"/>
        <v>3.835352960878734E-06</v>
      </c>
      <c r="J27" s="1">
        <f>SQRT($J$7*SUM(D27:I27))</f>
        <v>0.0175389459400423</v>
      </c>
      <c r="K27" s="1"/>
      <c r="Q27" t="s">
        <v>21</v>
      </c>
      <c r="R27" s="3"/>
      <c r="S27" s="3">
        <f>S24+J34</f>
        <v>0.6342804339314537</v>
      </c>
    </row>
    <row r="28" spans="10:19" ht="12.75">
      <c r="J28" s="1"/>
      <c r="K28" s="1"/>
      <c r="L28" s="7"/>
      <c r="Q28" t="s">
        <v>15</v>
      </c>
      <c r="R28" s="3"/>
      <c r="S28" s="3">
        <f>J27</f>
        <v>0.0175389459400423</v>
      </c>
    </row>
    <row r="29" spans="3:19" ht="12.75">
      <c r="C29" s="1"/>
      <c r="D29" s="1"/>
      <c r="E29" s="1"/>
      <c r="F29" s="1"/>
      <c r="G29" s="1"/>
      <c r="H29" s="1"/>
      <c r="I29" s="1"/>
      <c r="J29" s="1"/>
      <c r="Q29" t="s">
        <v>16</v>
      </c>
      <c r="S29" s="3">
        <f>J34</f>
        <v>0.019081353210734196</v>
      </c>
    </row>
    <row r="30" spans="2:10" ht="12.75">
      <c r="B30" t="s">
        <v>21</v>
      </c>
      <c r="C30" t="s">
        <v>14</v>
      </c>
      <c r="D30" s="6">
        <f aca="true" t="shared" si="25" ref="D30:I30">$D11*D31</f>
        <v>13.063202225812686</v>
      </c>
      <c r="E30" s="6">
        <f t="shared" si="25"/>
        <v>46.181179935899465</v>
      </c>
      <c r="F30" s="6">
        <f t="shared" si="25"/>
        <v>78.00639429428743</v>
      </c>
      <c r="G30" s="6">
        <f t="shared" si="25"/>
        <v>360.0697583344778</v>
      </c>
      <c r="H30" s="6">
        <f t="shared" si="25"/>
        <v>652.1365971190176</v>
      </c>
      <c r="I30" s="6">
        <f t="shared" si="25"/>
        <v>1249.0592141334896</v>
      </c>
      <c r="J30" s="1"/>
    </row>
    <row r="31" spans="3:10" ht="12.75">
      <c r="C31" t="s">
        <v>9</v>
      </c>
      <c r="D31" s="3">
        <f aca="true" t="shared" si="26" ref="D31:I31">D17</f>
        <v>0.005834391346946265</v>
      </c>
      <c r="E31" s="3">
        <f t="shared" si="26"/>
        <v>0.020625806134836742</v>
      </c>
      <c r="F31" s="3">
        <f t="shared" si="26"/>
        <v>0.034839836665604036</v>
      </c>
      <c r="G31" s="3">
        <f t="shared" si="26"/>
        <v>0.1608172212302268</v>
      </c>
      <c r="H31" s="3">
        <f t="shared" si="26"/>
        <v>0.29126243730192836</v>
      </c>
      <c r="I31" s="3">
        <f t="shared" si="26"/>
        <v>0.5578647673664536</v>
      </c>
      <c r="J31" s="1" t="s">
        <v>42</v>
      </c>
    </row>
    <row r="32" spans="3:13" ht="12.75">
      <c r="C32" t="s">
        <v>7</v>
      </c>
      <c r="D32" s="3">
        <f aca="true" t="shared" si="27" ref="D32:I32">(D30-1)/$N11</f>
        <v>0.005390170789013712</v>
      </c>
      <c r="E32" s="3">
        <f t="shared" si="27"/>
        <v>0.020188194788158833</v>
      </c>
      <c r="F32" s="3">
        <f t="shared" si="27"/>
        <v>0.03440857653900243</v>
      </c>
      <c r="G32" s="3">
        <f t="shared" si="27"/>
        <v>0.1604422512665227</v>
      </c>
      <c r="H32" s="3">
        <f t="shared" si="27"/>
        <v>0.2909457538512143</v>
      </c>
      <c r="I32" s="3">
        <f t="shared" si="27"/>
        <v>0.5576672091749283</v>
      </c>
      <c r="J32" s="1" t="s">
        <v>41</v>
      </c>
      <c r="M32" s="1"/>
    </row>
    <row r="33" spans="3:11" ht="12.75">
      <c r="C33" t="s">
        <v>38</v>
      </c>
      <c r="D33" s="3">
        <f>MAX(D24*(1-D25),D31*(1-D32))</f>
        <v>0.005802942981136281</v>
      </c>
      <c r="E33" s="3">
        <f>MAX(E24*(1-E25),E31*(1-E32))</f>
        <v>0.020209408342923858</v>
      </c>
      <c r="F33" s="3">
        <f>MAX(F24*(1-F25),F31*(1-F32))</f>
        <v>0.033641047479089255</v>
      </c>
      <c r="G33" s="3">
        <f>MAX(G24*(1-G25),G31*(1-G32))</f>
        <v>0.13501534421362277</v>
      </c>
      <c r="H33" s="3">
        <f>MAX(H24*(1-H25),H31*(1-H32))</f>
        <v>0.20652086791257676</v>
      </c>
      <c r="I33" s="3">
        <f>IF(AND((I16&lt;0.5),(I17&gt;0.5)),$V$41,MAX(I24*(1-I25),I31*(1-I32)))</f>
        <v>0.24983621130483744</v>
      </c>
      <c r="K33" s="1"/>
    </row>
    <row r="34" spans="3:11" ht="12.75">
      <c r="C34" t="s">
        <v>24</v>
      </c>
      <c r="D34" s="3">
        <f aca="true" t="shared" si="28" ref="D34:I34">(D21-D33)^2</f>
        <v>9.791656059098493E-06</v>
      </c>
      <c r="E34" s="3">
        <f t="shared" si="28"/>
        <v>3.2278613227074234E-05</v>
      </c>
      <c r="F34" s="3">
        <f t="shared" si="28"/>
        <v>5.0796300199785026E-05</v>
      </c>
      <c r="G34" s="3">
        <f t="shared" si="28"/>
        <v>0.00011148428411338877</v>
      </c>
      <c r="H34" s="3">
        <f t="shared" si="28"/>
        <v>6.747738552985734E-05</v>
      </c>
      <c r="I34" s="3">
        <f t="shared" si="28"/>
        <v>1.2452911353933353E-06</v>
      </c>
      <c r="J34" s="1">
        <f>SQRT($J$7*SUM(D34:I34))</f>
        <v>0.019081353210734196</v>
      </c>
      <c r="K34" s="1"/>
    </row>
    <row r="35" spans="11:12" ht="12.75">
      <c r="K35" s="1"/>
      <c r="L35" s="7"/>
    </row>
    <row r="38" ht="15.75">
      <c r="A38" s="2" t="s">
        <v>25</v>
      </c>
    </row>
    <row r="39" spans="2:22" ht="12.75">
      <c r="B39" s="12" t="s">
        <v>5</v>
      </c>
      <c r="C39" s="13"/>
      <c r="D39" s="13" t="str">
        <f aca="true" t="shared" si="29" ref="D39:I39">D10</f>
        <v>CO</v>
      </c>
      <c r="E39" s="13" t="str">
        <f t="shared" si="29"/>
        <v>CS</v>
      </c>
      <c r="F39" s="13" t="str">
        <f t="shared" si="29"/>
        <v>SU</v>
      </c>
      <c r="G39" s="13" t="str">
        <f t="shared" si="29"/>
        <v>OD</v>
      </c>
      <c r="H39" s="13" t="str">
        <f t="shared" si="29"/>
        <v>A</v>
      </c>
      <c r="I39" s="13" t="str">
        <f t="shared" si="29"/>
        <v>PC</v>
      </c>
      <c r="L39" s="16" t="s">
        <v>7</v>
      </c>
      <c r="M39" s="17"/>
      <c r="N39" s="17" t="str">
        <f aca="true" t="shared" si="30" ref="N39:S39">N10</f>
        <v>CO</v>
      </c>
      <c r="O39" s="17" t="str">
        <f t="shared" si="30"/>
        <v>CS</v>
      </c>
      <c r="P39" s="17" t="str">
        <f t="shared" si="30"/>
        <v>SU</v>
      </c>
      <c r="Q39" s="17" t="str">
        <f t="shared" si="30"/>
        <v>OD</v>
      </c>
      <c r="R39" s="17" t="str">
        <f t="shared" si="30"/>
        <v>A</v>
      </c>
      <c r="S39" s="17" t="str">
        <f t="shared" si="30"/>
        <v>PC</v>
      </c>
      <c r="V39" s="11" t="s">
        <v>6</v>
      </c>
    </row>
    <row r="40" spans="2:22" ht="12.75">
      <c r="B40" s="12"/>
      <c r="C40" s="12" t="s">
        <v>8</v>
      </c>
      <c r="D40" s="14">
        <f aca="true" t="shared" si="31" ref="D40:I40">$J5</f>
        <v>2057</v>
      </c>
      <c r="E40" s="14">
        <f t="shared" si="31"/>
        <v>2057</v>
      </c>
      <c r="F40" s="14">
        <f t="shared" si="31"/>
        <v>2057</v>
      </c>
      <c r="G40" s="14">
        <f t="shared" si="31"/>
        <v>2057</v>
      </c>
      <c r="H40" s="14">
        <f t="shared" si="31"/>
        <v>2057</v>
      </c>
      <c r="I40" s="14">
        <f t="shared" si="31"/>
        <v>2057</v>
      </c>
      <c r="L40" s="16"/>
      <c r="M40" s="16" t="s">
        <v>8</v>
      </c>
      <c r="N40" s="18">
        <f aca="true" t="shared" si="32" ref="N40:S40">D40-1</f>
        <v>2056</v>
      </c>
      <c r="O40" s="18">
        <f t="shared" si="32"/>
        <v>2056</v>
      </c>
      <c r="P40" s="18">
        <f t="shared" si="32"/>
        <v>2056</v>
      </c>
      <c r="Q40" s="18">
        <f t="shared" si="32"/>
        <v>2056</v>
      </c>
      <c r="R40" s="18">
        <f t="shared" si="32"/>
        <v>2056</v>
      </c>
      <c r="S40" s="18">
        <f t="shared" si="32"/>
        <v>2056</v>
      </c>
      <c r="U40" t="s">
        <v>9</v>
      </c>
      <c r="V40">
        <f>(0.5*I40-1)/S40</f>
        <v>0.4997568093385214</v>
      </c>
    </row>
    <row r="41" spans="2:22" ht="12.75">
      <c r="B41" s="12"/>
      <c r="C41" s="12" t="s">
        <v>9</v>
      </c>
      <c r="D41" s="15">
        <f aca="true" t="shared" si="33" ref="D41:I41">D5/D40</f>
        <v>0</v>
      </c>
      <c r="E41" s="15">
        <f t="shared" si="33"/>
        <v>0.02236266407389402</v>
      </c>
      <c r="F41" s="15">
        <f t="shared" si="33"/>
        <v>0.04666990763247448</v>
      </c>
      <c r="G41" s="15">
        <f t="shared" si="33"/>
        <v>0.17452600875060767</v>
      </c>
      <c r="H41" s="15">
        <f t="shared" si="33"/>
        <v>0.24258629071463297</v>
      </c>
      <c r="I41" s="15">
        <f t="shared" si="33"/>
        <v>0.5138551288283909</v>
      </c>
      <c r="J41" s="3"/>
      <c r="L41" s="16"/>
      <c r="M41" s="16" t="s">
        <v>9</v>
      </c>
      <c r="N41" s="19">
        <f aca="true" t="shared" si="34" ref="N41:S41">MAX((D5-1)/N40,0)</f>
        <v>0</v>
      </c>
      <c r="O41" s="19">
        <f t="shared" si="34"/>
        <v>0.02188715953307393</v>
      </c>
      <c r="P41" s="19">
        <f t="shared" si="34"/>
        <v>0.046206225680933855</v>
      </c>
      <c r="Q41" s="19">
        <f t="shared" si="34"/>
        <v>0.17412451361867703</v>
      </c>
      <c r="R41" s="19">
        <f t="shared" si="34"/>
        <v>0.24221789883268482</v>
      </c>
      <c r="S41" s="19">
        <f t="shared" si="34"/>
        <v>0.5136186770428015</v>
      </c>
      <c r="U41" t="s">
        <v>18</v>
      </c>
      <c r="V41">
        <f>0.5*(1-V40)</f>
        <v>0.2501215953307393</v>
      </c>
    </row>
    <row r="42" spans="2:22" ht="12.75">
      <c r="B42" s="12"/>
      <c r="C42" s="12" t="s">
        <v>10</v>
      </c>
      <c r="D42" s="15">
        <f aca="true" t="shared" si="35" ref="D42:I42">$P$5/D40</f>
        <v>0.001867499972878743</v>
      </c>
      <c r="E42" s="15">
        <f t="shared" si="35"/>
        <v>0.001867499972878743</v>
      </c>
      <c r="F42" s="15">
        <f t="shared" si="35"/>
        <v>0.001867499972878743</v>
      </c>
      <c r="G42" s="15">
        <f t="shared" si="35"/>
        <v>0.001867499972878743</v>
      </c>
      <c r="H42" s="15">
        <f t="shared" si="35"/>
        <v>0.001867499972878743</v>
      </c>
      <c r="I42" s="15">
        <f t="shared" si="35"/>
        <v>0.001867499972878743</v>
      </c>
      <c r="J42" s="3"/>
      <c r="L42" s="16"/>
      <c r="M42" s="16" t="s">
        <v>10</v>
      </c>
      <c r="N42" s="19">
        <f aca="true" t="shared" si="36" ref="N42:S42">$P$5/N40</f>
        <v>0.0018684082899861742</v>
      </c>
      <c r="O42" s="19">
        <f t="shared" si="36"/>
        <v>0.0018684082899861742</v>
      </c>
      <c r="P42" s="19">
        <f t="shared" si="36"/>
        <v>0.0018684082899861742</v>
      </c>
      <c r="Q42" s="19">
        <f t="shared" si="36"/>
        <v>0.0018684082899861742</v>
      </c>
      <c r="R42" s="19">
        <f t="shared" si="36"/>
        <v>0.0018684082899861742</v>
      </c>
      <c r="S42" s="19">
        <f t="shared" si="36"/>
        <v>0.0018684082899861742</v>
      </c>
      <c r="V42" s="3"/>
    </row>
    <row r="43" spans="2:19" ht="12.75">
      <c r="B43" s="12"/>
      <c r="C43" s="12" t="s">
        <v>11</v>
      </c>
      <c r="D43" s="15">
        <f aca="true" t="shared" si="37" ref="D43:I43">(D41+D42/2)/(1+D42)</f>
        <v>0.0009320094588003391</v>
      </c>
      <c r="E43" s="15">
        <f t="shared" si="37"/>
        <v>0.023252989103812672</v>
      </c>
      <c r="F43" s="15">
        <f t="shared" si="37"/>
        <v>0.047514923500565215</v>
      </c>
      <c r="G43" s="15">
        <f t="shared" si="37"/>
        <v>0.17513269842748352</v>
      </c>
      <c r="H43" s="15">
        <f t="shared" si="37"/>
        <v>0.24306611473839065</v>
      </c>
      <c r="I43" s="15">
        <f t="shared" si="37"/>
        <v>0.513829302606149</v>
      </c>
      <c r="J43" s="3"/>
      <c r="L43" s="16"/>
      <c r="M43" s="16" t="s">
        <v>11</v>
      </c>
      <c r="N43" s="19">
        <f aca="true" t="shared" si="38" ref="N43:S43">(N41+N42/2)/(1+N42)</f>
        <v>0.0009324619254015702</v>
      </c>
      <c r="O43" s="19">
        <f t="shared" si="38"/>
        <v>0.022778803572635935</v>
      </c>
      <c r="P43" s="19">
        <f t="shared" si="38"/>
        <v>0.04705251651400746</v>
      </c>
      <c r="Q43" s="19">
        <f t="shared" si="38"/>
        <v>0.17473224658562164</v>
      </c>
      <c r="R43" s="19">
        <f t="shared" si="38"/>
        <v>0.2426986428214619</v>
      </c>
      <c r="S43" s="19">
        <f t="shared" si="38"/>
        <v>0.513593279247168</v>
      </c>
    </row>
    <row r="44" spans="2:19" ht="12.75">
      <c r="B44" s="12"/>
      <c r="C44" s="12" t="s">
        <v>12</v>
      </c>
      <c r="D44" s="15">
        <f aca="true" t="shared" si="39" ref="D44:I44">$P$4*SQRT((D41*(1-D41)+D42/4)/D40)/(1+D42)</f>
        <v>0.0009320094588003391</v>
      </c>
      <c r="E44" s="15">
        <f t="shared" si="39"/>
        <v>0.006445535870693285</v>
      </c>
      <c r="F44" s="15">
        <f t="shared" si="39"/>
        <v>0.0091459094508911</v>
      </c>
      <c r="G44" s="15">
        <f t="shared" si="39"/>
        <v>0.016398508809693808</v>
      </c>
      <c r="H44" s="15">
        <f t="shared" si="39"/>
        <v>0.01851274368466891</v>
      </c>
      <c r="I44" s="15">
        <f t="shared" si="39"/>
        <v>0.021578868616255405</v>
      </c>
      <c r="J44" s="3"/>
      <c r="L44" s="16"/>
      <c r="M44" s="16" t="s">
        <v>12</v>
      </c>
      <c r="N44" s="19">
        <f aca="true" t="shared" si="40" ref="N44:S44">$P$4*SQRT((N41*(1-N41)+N42/4)/N40)/(1+N42)</f>
        <v>0.0009324619254015702</v>
      </c>
      <c r="O44" s="19">
        <f t="shared" si="40"/>
        <v>0.0063811854191581086</v>
      </c>
      <c r="P44" s="19">
        <f t="shared" si="40"/>
        <v>0.009105254502913796</v>
      </c>
      <c r="Q44" s="19">
        <f t="shared" si="40"/>
        <v>0.016387648576499905</v>
      </c>
      <c r="R44" s="19">
        <f t="shared" si="40"/>
        <v>0.018507697910140525</v>
      </c>
      <c r="S44" s="19">
        <f t="shared" si="40"/>
        <v>0.021584386101357534</v>
      </c>
    </row>
    <row r="45" spans="2:19" ht="12.75">
      <c r="B45" s="12"/>
      <c r="C45" s="12" t="s">
        <v>13</v>
      </c>
      <c r="D45" s="15">
        <f aca="true" t="shared" si="41" ref="D45:I45">D43-D44</f>
        <v>0</v>
      </c>
      <c r="E45" s="15">
        <f t="shared" si="41"/>
        <v>0.016807453233119385</v>
      </c>
      <c r="F45" s="15">
        <f t="shared" si="41"/>
        <v>0.03836901404967412</v>
      </c>
      <c r="G45" s="15">
        <f t="shared" si="41"/>
        <v>0.1587341896177897</v>
      </c>
      <c r="H45" s="15">
        <f t="shared" si="41"/>
        <v>0.22455337105372175</v>
      </c>
      <c r="I45" s="15">
        <f t="shared" si="41"/>
        <v>0.4922504339898936</v>
      </c>
      <c r="J45" s="3"/>
      <c r="L45" s="16"/>
      <c r="M45" s="16" t="s">
        <v>13</v>
      </c>
      <c r="N45" s="19">
        <f aca="true" t="shared" si="42" ref="N45:S45">N43-N44</f>
        <v>0</v>
      </c>
      <c r="O45" s="19">
        <f t="shared" si="42"/>
        <v>0.016397618153477827</v>
      </c>
      <c r="P45" s="19">
        <f t="shared" si="42"/>
        <v>0.03794726201109366</v>
      </c>
      <c r="Q45" s="19">
        <f t="shared" si="42"/>
        <v>0.15834459800912173</v>
      </c>
      <c r="R45" s="19">
        <f t="shared" si="42"/>
        <v>0.22419094491132135</v>
      </c>
      <c r="S45" s="19">
        <f t="shared" si="42"/>
        <v>0.4920088931458105</v>
      </c>
    </row>
    <row r="46" spans="2:19" ht="12.75">
      <c r="B46" s="12"/>
      <c r="C46" s="12" t="s">
        <v>14</v>
      </c>
      <c r="D46" s="15">
        <f aca="true" t="shared" si="43" ref="D46:I46">D43+D44</f>
        <v>0.0018640189176006782</v>
      </c>
      <c r="E46" s="15">
        <f t="shared" si="43"/>
        <v>0.02969852497450596</v>
      </c>
      <c r="F46" s="15">
        <f t="shared" si="43"/>
        <v>0.05666083295145631</v>
      </c>
      <c r="G46" s="15">
        <f t="shared" si="43"/>
        <v>0.19153120723717734</v>
      </c>
      <c r="H46" s="15">
        <f t="shared" si="43"/>
        <v>0.26157885842305956</v>
      </c>
      <c r="I46" s="15">
        <f t="shared" si="43"/>
        <v>0.5354081712224044</v>
      </c>
      <c r="J46" s="3"/>
      <c r="L46" s="16"/>
      <c r="M46" s="16" t="s">
        <v>14</v>
      </c>
      <c r="N46" s="19">
        <f aca="true" t="shared" si="44" ref="N46:S46">N43+N44</f>
        <v>0.0018649238508031405</v>
      </c>
      <c r="O46" s="19">
        <f t="shared" si="44"/>
        <v>0.029159988991794044</v>
      </c>
      <c r="P46" s="19">
        <f t="shared" si="44"/>
        <v>0.05615777101692125</v>
      </c>
      <c r="Q46" s="19">
        <f t="shared" si="44"/>
        <v>0.19111989516212155</v>
      </c>
      <c r="R46" s="19">
        <f t="shared" si="44"/>
        <v>0.2612063407316024</v>
      </c>
      <c r="S46" s="19">
        <f t="shared" si="44"/>
        <v>0.5351776653485255</v>
      </c>
    </row>
    <row r="47" spans="2:19" ht="12.75">
      <c r="B47" s="12"/>
      <c r="C47" s="12" t="s">
        <v>15</v>
      </c>
      <c r="D47" s="15">
        <f aca="true" t="shared" si="45" ref="D47:I47">D41-D45</f>
        <v>0</v>
      </c>
      <c r="E47" s="15">
        <f t="shared" si="45"/>
        <v>0.005555210840774635</v>
      </c>
      <c r="F47" s="15">
        <f t="shared" si="45"/>
        <v>0.00830089358280036</v>
      </c>
      <c r="G47" s="15">
        <f t="shared" si="45"/>
        <v>0.015791819132817964</v>
      </c>
      <c r="H47" s="15">
        <f t="shared" si="45"/>
        <v>0.018032919660911223</v>
      </c>
      <c r="I47" s="15">
        <f t="shared" si="45"/>
        <v>0.021604694838497307</v>
      </c>
      <c r="L47" s="16"/>
      <c r="M47" s="16" t="s">
        <v>15</v>
      </c>
      <c r="N47" s="19">
        <f aca="true" t="shared" si="46" ref="N47:S47">N41-N45</f>
        <v>0</v>
      </c>
      <c r="O47" s="19">
        <f t="shared" si="46"/>
        <v>0.005489541379596102</v>
      </c>
      <c r="P47" s="19">
        <f t="shared" si="46"/>
        <v>0.008258963669840191</v>
      </c>
      <c r="Q47" s="19">
        <f t="shared" si="46"/>
        <v>0.0157799156095553</v>
      </c>
      <c r="R47" s="19">
        <f t="shared" si="46"/>
        <v>0.01802695392136347</v>
      </c>
      <c r="S47" s="19">
        <f t="shared" si="46"/>
        <v>0.02160978389699103</v>
      </c>
    </row>
    <row r="48" spans="2:19" ht="12.75">
      <c r="B48" s="12"/>
      <c r="C48" s="12" t="s">
        <v>16</v>
      </c>
      <c r="D48" s="15">
        <f aca="true" t="shared" si="47" ref="D48:I48">D46-D41</f>
        <v>0.0018640189176006782</v>
      </c>
      <c r="E48" s="15">
        <f t="shared" si="47"/>
        <v>0.007335860900611939</v>
      </c>
      <c r="F48" s="15">
        <f t="shared" si="47"/>
        <v>0.009990925318981832</v>
      </c>
      <c r="G48" s="15">
        <f t="shared" si="47"/>
        <v>0.017005198486569673</v>
      </c>
      <c r="H48" s="15">
        <f t="shared" si="47"/>
        <v>0.018992567708426583</v>
      </c>
      <c r="I48" s="15">
        <f t="shared" si="47"/>
        <v>0.021553042394013455</v>
      </c>
      <c r="L48" s="16"/>
      <c r="M48" s="16" t="s">
        <v>16</v>
      </c>
      <c r="N48" s="19">
        <f aca="true" t="shared" si="48" ref="N48:S48">N46-N41</f>
        <v>0.0018649238508031405</v>
      </c>
      <c r="O48" s="19">
        <f t="shared" si="48"/>
        <v>0.0072728294587201155</v>
      </c>
      <c r="P48" s="19">
        <f t="shared" si="48"/>
        <v>0.009951545335987397</v>
      </c>
      <c r="Q48" s="19">
        <f t="shared" si="48"/>
        <v>0.016995381543444515</v>
      </c>
      <c r="R48" s="19">
        <f t="shared" si="48"/>
        <v>0.018988441898917602</v>
      </c>
      <c r="S48" s="19">
        <f t="shared" si="48"/>
        <v>0.021558988305724003</v>
      </c>
    </row>
    <row r="50" spans="2:11" ht="12.75">
      <c r="B50" s="4" t="s">
        <v>17</v>
      </c>
      <c r="C50" s="4" t="s">
        <v>18</v>
      </c>
      <c r="D50" s="5">
        <f aca="true" t="shared" si="49" ref="D50:I50">D41*(1-N41)</f>
        <v>0</v>
      </c>
      <c r="E50" s="5">
        <f t="shared" si="49"/>
        <v>0.02187320887772416</v>
      </c>
      <c r="F50" s="5">
        <f t="shared" si="49"/>
        <v>0.04451346734790002</v>
      </c>
      <c r="G50" s="5">
        <f t="shared" si="49"/>
        <v>0.14413675236309914</v>
      </c>
      <c r="H50" s="5">
        <f t="shared" si="49"/>
        <v>0.18382754909211974</v>
      </c>
      <c r="I50" s="5">
        <f t="shared" si="49"/>
        <v>0.24992953736789444</v>
      </c>
      <c r="J50" s="1"/>
      <c r="K50" s="3">
        <f>SUM(D50:I50)</f>
        <v>0.6442805150487375</v>
      </c>
    </row>
    <row r="51" ht="12.75">
      <c r="J51" s="1"/>
    </row>
    <row r="52" spans="1:10" ht="12.75">
      <c r="A52" s="7" t="s">
        <v>19</v>
      </c>
      <c r="B52" t="s">
        <v>22</v>
      </c>
      <c r="C52" s="1" t="s">
        <v>13</v>
      </c>
      <c r="D52" s="6">
        <f aca="true" t="shared" si="50" ref="D52:I52">D40*D53</f>
        <v>0</v>
      </c>
      <c r="E52" s="6">
        <f t="shared" si="50"/>
        <v>34.57293130052658</v>
      </c>
      <c r="F52" s="6">
        <f t="shared" si="50"/>
        <v>78.92506190017966</v>
      </c>
      <c r="G52" s="6">
        <f t="shared" si="50"/>
        <v>326.51622804379343</v>
      </c>
      <c r="H52" s="6">
        <f t="shared" si="50"/>
        <v>461.90628425750566</v>
      </c>
      <c r="I52" s="6">
        <f t="shared" si="50"/>
        <v>1012.5591427172111</v>
      </c>
      <c r="J52" s="1"/>
    </row>
    <row r="53" spans="3:23" ht="12.75">
      <c r="C53" t="s">
        <v>9</v>
      </c>
      <c r="D53" s="1">
        <f aca="true" t="shared" si="51" ref="D53:I53">D45</f>
        <v>0</v>
      </c>
      <c r="E53" s="1">
        <f t="shared" si="51"/>
        <v>0.016807453233119385</v>
      </c>
      <c r="F53" s="1">
        <f t="shared" si="51"/>
        <v>0.03836901404967412</v>
      </c>
      <c r="G53" s="1">
        <f t="shared" si="51"/>
        <v>0.1587341896177897</v>
      </c>
      <c r="H53" s="1">
        <f t="shared" si="51"/>
        <v>0.22455337105372175</v>
      </c>
      <c r="I53" s="1">
        <f t="shared" si="51"/>
        <v>0.4922504339898936</v>
      </c>
      <c r="J53" s="8"/>
      <c r="M53" s="7"/>
      <c r="Q53" t="s">
        <v>26</v>
      </c>
      <c r="R53" s="5">
        <f>SUM(D50:I50)</f>
        <v>0.6442805150487375</v>
      </c>
      <c r="S53" s="5">
        <f>R53</f>
        <v>0.6442805150487375</v>
      </c>
      <c r="U53" s="1" t="s">
        <v>27</v>
      </c>
      <c r="V53" s="9"/>
      <c r="W53" s="9">
        <f>S24-S53</f>
        <v>-0.02908143432801802</v>
      </c>
    </row>
    <row r="54" spans="3:22" ht="12.75">
      <c r="C54" t="s">
        <v>7</v>
      </c>
      <c r="D54">
        <f aca="true" t="shared" si="52" ref="D54:I54">(D52-1)/$N40</f>
        <v>-0.00048638132295719845</v>
      </c>
      <c r="E54">
        <f t="shared" si="52"/>
        <v>0.016329246741501255</v>
      </c>
      <c r="F54">
        <f t="shared" si="52"/>
        <v>0.037901294698530964</v>
      </c>
      <c r="G54">
        <f t="shared" si="52"/>
        <v>0.15832501363997736</v>
      </c>
      <c r="H54">
        <f t="shared" si="52"/>
        <v>0.22417620829645216</v>
      </c>
      <c r="I54">
        <f t="shared" si="52"/>
        <v>0.49200347408424666</v>
      </c>
      <c r="J54" s="1"/>
      <c r="M54" s="1"/>
      <c r="U54" s="1"/>
      <c r="V54" s="3"/>
    </row>
    <row r="55" spans="3:23" ht="12.75">
      <c r="C55" s="1" t="s">
        <v>37</v>
      </c>
      <c r="D55">
        <f aca="true" t="shared" si="53" ref="D55:I55">MIN(D60*(1-D61),D53*(1-D54))</f>
        <v>0</v>
      </c>
      <c r="E55">
        <f t="shared" si="53"/>
        <v>0.016533000182179534</v>
      </c>
      <c r="F55">
        <f t="shared" si="53"/>
        <v>0.03691477874088534</v>
      </c>
      <c r="G55">
        <f t="shared" si="53"/>
        <v>0.1336025968814224</v>
      </c>
      <c r="H55">
        <f t="shared" si="53"/>
        <v>0.1742138477707121</v>
      </c>
      <c r="I55">
        <f t="shared" si="53"/>
        <v>0.24886724694639054</v>
      </c>
      <c r="K55" s="1"/>
      <c r="Q55" t="s">
        <v>22</v>
      </c>
      <c r="R55" s="3"/>
      <c r="S55" s="3">
        <f>S53-J56</f>
        <v>0.6245903129774081</v>
      </c>
      <c r="U55" s="1" t="s">
        <v>28</v>
      </c>
      <c r="V55" s="3" t="s">
        <v>22</v>
      </c>
      <c r="W55" s="3">
        <f>-SQRT(S29^2+S57^2)</f>
        <v>-0.027419009791795575</v>
      </c>
    </row>
    <row r="56" spans="3:23" ht="12.75">
      <c r="C56" s="1" t="s">
        <v>23</v>
      </c>
      <c r="D56" s="3">
        <f aca="true" t="shared" si="54" ref="D56:I56">(D50-D55)^2</f>
        <v>0</v>
      </c>
      <c r="E56" s="3">
        <f t="shared" si="54"/>
        <v>2.851782891197042E-05</v>
      </c>
      <c r="F56" s="3">
        <f t="shared" si="54"/>
        <v>5.774006854637471E-05</v>
      </c>
      <c r="G56" s="3">
        <f t="shared" si="54"/>
        <v>0.00011096843171214018</v>
      </c>
      <c r="H56" s="3">
        <f t="shared" si="54"/>
        <v>9.242325309723472E-05</v>
      </c>
      <c r="I56" s="3">
        <f t="shared" si="54"/>
        <v>1.128460939618952E-06</v>
      </c>
      <c r="J56" s="1">
        <f>SQRT($J$7*SUM(D56:I56))</f>
        <v>0.01969020207132942</v>
      </c>
      <c r="K56" s="1"/>
      <c r="Q56" t="s">
        <v>21</v>
      </c>
      <c r="R56" s="3"/>
      <c r="S56" s="3">
        <f>S53+J63</f>
        <v>0.6654886289294012</v>
      </c>
      <c r="V56" s="3" t="s">
        <v>21</v>
      </c>
      <c r="W56" s="3">
        <f>SQRT(S28^2+S58^2)</f>
        <v>0.02752087787594945</v>
      </c>
    </row>
    <row r="57" spans="10:23" ht="12.75">
      <c r="J57" s="1"/>
      <c r="K57" s="1"/>
      <c r="L57" s="7"/>
      <c r="Q57" t="s">
        <v>15</v>
      </c>
      <c r="R57" s="3"/>
      <c r="S57" s="3">
        <f>J56</f>
        <v>0.01969020207132942</v>
      </c>
      <c r="V57" s="10"/>
      <c r="W57" s="10" t="str">
        <f>IF(W53&lt;W55,"sig+",IF(W53&gt;W56,"sig-","ns"))</f>
        <v>sig+</v>
      </c>
    </row>
    <row r="58" spans="3:19" ht="12.75">
      <c r="C58" s="1"/>
      <c r="D58" s="1"/>
      <c r="E58" s="1"/>
      <c r="F58" s="1"/>
      <c r="G58" s="1"/>
      <c r="H58" s="1"/>
      <c r="I58" s="1"/>
      <c r="J58" s="1"/>
      <c r="Q58" t="s">
        <v>16</v>
      </c>
      <c r="S58" s="3">
        <f>J63</f>
        <v>0.02120811388066364</v>
      </c>
    </row>
    <row r="59" spans="2:10" ht="12.75">
      <c r="B59" t="s">
        <v>21</v>
      </c>
      <c r="C59" t="s">
        <v>14</v>
      </c>
      <c r="D59" s="6">
        <f aca="true" t="shared" si="55" ref="D59:I59">$D40*D60</f>
        <v>3.834286913504595</v>
      </c>
      <c r="E59" s="6">
        <f t="shared" si="55"/>
        <v>61.08986587255876</v>
      </c>
      <c r="F59" s="6">
        <f t="shared" si="55"/>
        <v>116.55133338114562</v>
      </c>
      <c r="G59" s="6">
        <f t="shared" si="55"/>
        <v>393.9796932868738</v>
      </c>
      <c r="H59" s="6">
        <f t="shared" si="55"/>
        <v>538.0677117762335</v>
      </c>
      <c r="I59" s="6">
        <f t="shared" si="55"/>
        <v>1101.3346082044857</v>
      </c>
      <c r="J59" s="1"/>
    </row>
    <row r="60" spans="3:18" ht="12.75">
      <c r="C60" t="s">
        <v>9</v>
      </c>
      <c r="D60" s="3">
        <f aca="true" t="shared" si="56" ref="D60:I60">D46</f>
        <v>0.0018640189176006782</v>
      </c>
      <c r="E60" s="3">
        <f t="shared" si="56"/>
        <v>0.02969852497450596</v>
      </c>
      <c r="F60" s="3">
        <f t="shared" si="56"/>
        <v>0.05666083295145631</v>
      </c>
      <c r="G60" s="3">
        <f t="shared" si="56"/>
        <v>0.19153120723717734</v>
      </c>
      <c r="H60" s="3">
        <f t="shared" si="56"/>
        <v>0.26157885842305956</v>
      </c>
      <c r="I60" s="3">
        <f t="shared" si="56"/>
        <v>0.5354081712224044</v>
      </c>
      <c r="J60" s="1"/>
      <c r="R60" s="1"/>
    </row>
    <row r="61" spans="3:13" ht="12.75">
      <c r="C61" t="s">
        <v>7</v>
      </c>
      <c r="D61">
        <f aca="true" t="shared" si="57" ref="D61:I61">(D59-1)/$N40</f>
        <v>0.0013785442186306396</v>
      </c>
      <c r="E61">
        <f t="shared" si="57"/>
        <v>0.02922658845941574</v>
      </c>
      <c r="F61">
        <f t="shared" si="57"/>
        <v>0.05620201039938989</v>
      </c>
      <c r="G61">
        <f t="shared" si="57"/>
        <v>0.19113798311618374</v>
      </c>
      <c r="H61">
        <f t="shared" si="57"/>
        <v>0.2612197041713198</v>
      </c>
      <c r="I61">
        <f t="shared" si="57"/>
        <v>0.5351822024340883</v>
      </c>
      <c r="J61" s="1"/>
      <c r="M61" s="1"/>
    </row>
    <row r="62" spans="3:11" ht="12.75">
      <c r="C62" t="s">
        <v>38</v>
      </c>
      <c r="D62">
        <f aca="true" t="shared" si="58" ref="D62:I62">IF(AND((D45&lt;0.5),(D46&gt;0.5)),$V$41,MAX(D53*(1-D54),D60*(1-D61)))</f>
        <v>0.0018614492850984017</v>
      </c>
      <c r="E62">
        <f t="shared" si="58"/>
        <v>0.028830538407224392</v>
      </c>
      <c r="F62">
        <f t="shared" si="58"/>
        <v>0.05347638022868047</v>
      </c>
      <c r="G62">
        <f t="shared" si="58"/>
        <v>0.15492231858205546</v>
      </c>
      <c r="H62">
        <f t="shared" si="58"/>
        <v>0.1932493064083164</v>
      </c>
      <c r="I62">
        <f t="shared" si="58"/>
        <v>0.2501215953307393</v>
      </c>
      <c r="K62" s="1"/>
    </row>
    <row r="63" spans="3:11" ht="12.75">
      <c r="C63" t="s">
        <v>24</v>
      </c>
      <c r="D63" s="3">
        <f aca="true" t="shared" si="59" ref="D63:I63">(D50-D62)^2</f>
        <v>3.464993440993351E-06</v>
      </c>
      <c r="E63" s="3">
        <f t="shared" si="59"/>
        <v>4.840443418205594E-05</v>
      </c>
      <c r="F63" s="3">
        <f t="shared" si="59"/>
        <v>8.033380730846002E-05</v>
      </c>
      <c r="G63" s="3">
        <f t="shared" si="59"/>
        <v>0.00011632843866349176</v>
      </c>
      <c r="H63" s="3">
        <f t="shared" si="59"/>
        <v>8.87695109253052E-05</v>
      </c>
      <c r="I63" s="3">
        <f t="shared" si="59"/>
        <v>3.688626109211566E-08</v>
      </c>
      <c r="J63" s="1">
        <f>SQRT($J$7*SUM(D63:I63))</f>
        <v>0.02120811388066364</v>
      </c>
      <c r="K63" s="1"/>
    </row>
    <row r="64" spans="11:12" ht="12.75">
      <c r="K64" s="1"/>
      <c r="L64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2017-09-05T06:57:20Z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